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activeX/activeX13.xml" ContentType="application/vnd.ms-office.activeX+xml"/>
  <Override PartName="/xl/activeX/activeX13.bin" ContentType="application/vnd.ms-office.activeX"/>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drawings/drawing35.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6" rupBuild="26327" codeName="{37A63EE7-654F-3FA9-A528-636911D70600}"/>
  <x:workbookPr codeName="ThisWorkbook"/>
  <mc:AlternateContent xmlns:mc="http://schemas.openxmlformats.org/markup-compatibility/2006">
    <mc:Choice Requires="x15">
      <x15ac:absPath xmlns:x15ac="http://schemas.microsoft.com/office/spreadsheetml/2010/11/ac" url="C:\JDS\Projects\NN22-0071\NN22-0071 B.O.M.s\"/>
    </mc:Choice>
  </mc:AlternateContent>
  <xr:revisionPtr revIDLastSave="0" documentId="13_ncr:1_{A91E56E7-6C19-4F0E-9B95-4478486BCAA7}" xr6:coauthVersionLast="47" xr6:coauthVersionMax="47" xr10:uidLastSave="{00000000-0000-0000-0000-000000000000}"/>
  <x:workbookProtection lockStructure="1"/>
  <x:bookViews>
    <x:workbookView xWindow="-120" yWindow="-120" windowWidth="29040" windowHeight="15840" tabRatio="815" firstSheet="16" activeTab="23" xr2:uid="{00000000-000D-0000-FFFF-FFFF00000000}"/>
  </x:bookViews>
  <x:sheets>
    <x:sheet name="TblJoistSize" sheetId="115" state="hidden" r:id="rId1"/>
    <x:sheet name="tblGirderData" sheetId="167" state="hidden" r:id="rId2"/>
    <x:sheet name="tblJoistData" sheetId="168" state="hidden" r:id="rId3"/>
    <x:sheet name="C_A" sheetId="2" state="hidden" r:id="rId4"/>
    <x:sheet name="P_A" sheetId="164" state="hidden" r:id="rId5"/>
    <x:sheet name="P_B" sheetId="169" state="hidden" r:id="rId6"/>
    <x:sheet name="L_A" sheetId="114" state="hidden" r:id="rId7"/>
    <x:sheet name="N_A" sheetId="80" state="hidden" r:id="rId8"/>
    <x:sheet name="K_A" sheetId="117" state="hidden" r:id="rId9"/>
    <x:sheet name="S_A" sheetId="145" state="hidden" r:id="rId10"/>
    <x:sheet name="G_A" sheetId="84" state="hidden" r:id="rId11"/>
    <x:sheet name="G_B" sheetId="160" state="hidden" r:id="rId12"/>
    <x:sheet name="J_A" sheetId="147" state="hidden" r:id="rId13"/>
    <x:sheet name="J_B" sheetId="165" state="hidden" r:id="rId14"/>
    <x:sheet name="B_A" sheetId="162" state="hidden" r:id="rId15"/>
    <x:sheet name="B_B" sheetId="163" state="hidden" r:id="rId16"/>
    <x:sheet name="Discrepancy Check" sheetId="116" r:id="rId17"/>
    <x:sheet name="SectInfo" sheetId="146" state="hidden" r:id="rId18"/>
    <x:sheet name="Job Info." sheetId="13" r:id="rId19"/>
    <x:sheet name="C (1)" sheetId="181" r:id="rId20"/>
    <x:sheet name="P (1)" sheetId="188" r:id="rId21"/>
    <x:sheet name="N (1)" sheetId="178" r:id="rId22"/>
    <x:sheet name="L (1)" sheetId="175" r:id="rId23"/>
    <x:sheet name="L (2)" sheetId="176" r:id="rId24"/>
    <x:sheet name="L (3)" sheetId="177" r:id="rId25"/>
    <x:sheet name="K (1)" sheetId="170" r:id="rId26"/>
    <x:sheet name="S (1)" sheetId="171" r:id="rId27"/>
    <x:sheet name="S (2)" sheetId="172" r:id="rId28"/>
    <x:sheet name="S (3)" sheetId="173" r:id="rId29"/>
    <x:sheet name="S (4)" sheetId="174" r:id="rId30"/>
    <x:sheet name="G (1)" sheetId="179" r:id="rId31"/>
    <x:sheet name="G (2)" sheetId="180" r:id="rId32"/>
    <x:sheet name="J (1)" sheetId="182" r:id="rId33"/>
    <x:sheet name="J (2)" sheetId="183" r:id="rId34"/>
    <x:sheet name="J (3)" sheetId="184" r:id="rId35"/>
    <x:sheet name="J (4)" sheetId="185" r:id="rId36"/>
    <x:sheet name="B (1)" sheetId="186" r:id="rId37"/>
  </x:sheets>
  <x:functionGroups builtInGroupCount="19"/>
  <x:definedNames>
    <x:definedName name="_xlpm.highlightRed" hidden="1" xlm="1">#NAME?</x:definedName>
    <x:definedName name="_xlpm.Load1IsPresent" hidden="1" xlm="1">#NAME?</x:definedName>
    <x:definedName name="_xlpm.Load2IsPresent" hidden="1" xlm="1">#NAME?</x:definedName>
    <x:definedName name="_xlpm.ThisCellIsEmpty" hidden="1" xlm="1">#NAME?</x:definedName>
    <x:definedName name="masterFinishList" localSheetId="36">tblFinishList[Finish Types]</x:definedName>
    <x:definedName name="masterFinishList" comment="Lists all the options for joist, girder, and bridging paint/finishes." localSheetId="19">tblFinishList[Finish Types]</x:definedName>
    <x:definedName name="masterFinishList" localSheetId="30">tblFinishList[Finish Types]</x:definedName>
    <x:definedName name="masterFinishList" localSheetId="31">tblFinishList[Finish Types]</x:definedName>
    <x:definedName name="masterFinishList" localSheetId="32">tblFinishList[Finish Types]</x:definedName>
    <x:definedName name="masterFinishList" localSheetId="33">tblFinishList[Finish Types]</x:definedName>
    <x:definedName name="masterFinishList" localSheetId="34">tblFinishList[Finish Types]</x:definedName>
    <x:definedName name="masterFinishList" localSheetId="35">tblFinishList[Finish Types]</x:definedName>
    <x:definedName name="masterFinishList" comment="Lists all the options for joist, girder, and bridging paint/finishes." localSheetId="25">tblFinishList[Finish Types]</x:definedName>
    <x:definedName name="masterFinishList" comment="Lists all the options for joist, girder, and bridging paint/finishes." localSheetId="22">tblFinishList[Finish Types]</x:definedName>
    <x:definedName name="masterFinishList" comment="Lists all the options for joist, girder, and bridging paint/finishes." localSheetId="23">tblFinishList[Finish Types]</x:definedName>
    <x:definedName name="masterFinishList" comment="Lists all the options for joist, girder, and bridging paint/finishes." localSheetId="24">tblFinishList[Finish Types]</x:definedName>
    <x:definedName name="masterFinishList" comment="Lists all the options for joist, girder, and bridging paint/finishes." localSheetId="21">tblFinishList[Finish Types]</x:definedName>
    <x:definedName name="masterFinishList" comment="Lists all the options for joist, girder, and bridging paint/finishes." localSheetId="20">tblFinishList[Finish Types]</x:definedName>
    <x:definedName name="masterFinishList" comment="Lists all the options for joist, girder, and bridging paint/finishes." localSheetId="26">tblFinishList[Finish Types]</x:definedName>
    <x:definedName name="masterFinishList" comment="Lists all the options for joist, girder, and bridging paint/finishes." localSheetId="27">tblFinishList[Finish Types]</x:definedName>
    <x:definedName name="masterFinishList" comment="Lists all the options for joist, girder, and bridging paint/finishes." localSheetId="28">tblFinishList[Finish Types]</x:definedName>
    <x:definedName name="masterFinishList" comment="Lists all the options for joist, girder, and bridging paint/finishes." localSheetId="29">tblFinishList[Finish Types]</x:definedName>
    <x:definedName name="masterFinishList" comment="Lists all the options for joist, girder, and bridging paint/finishes.">tblFinishList[Finish Types]</x:definedName>
    <x:definedName name="Pos" localSheetId="22">'L (1)'!$BF$14:$BS$14</x:definedName>
    <x:definedName name="Pos" localSheetId="23">'L (2)'!$BF$14:$BS$14</x:definedName>
    <x:definedName name="Pos" localSheetId="24">'L (3)'!$BF$14:$BS$14</x:definedName>
    <x:definedName name="Pos">L_A!$BF$14:$BS$14</x:definedName>
    <x:definedName name="_xlnm.Print_Area" localSheetId="36">'B (1)'!$A$1:$P$42</x:definedName>
    <x:definedName name="_xlnm.Print_Area" localSheetId="14">B_A!$A$1:$P$42</x:definedName>
    <x:definedName name="_xlnm.Print_Area" localSheetId="15">B_B!$A$1:$P$42</x:definedName>
    <x:definedName name="_xlnm.Print_Area" localSheetId="19">'C (1)'!$A$1:$H$47</x:definedName>
    <x:definedName name="_xlnm.Print_Area" localSheetId="3">C_A!$A$1:$H$47</x:definedName>
    <x:definedName name="_xlnm.Print_Area" localSheetId="16">'Discrepancy Check'!$A$1:$AB$54</x:definedName>
    <x:definedName name="_xlnm.Print_Area" localSheetId="30">'G (1)'!$CB$1:$DE$45,'G (1)'!$DH$1:$EU$45</x:definedName>
    <x:definedName name="_xlnm.Print_Area" localSheetId="31">'G (2)'!$A$1:$BG$45</x:definedName>
    <x:definedName name="_xlnm.Print_Area" localSheetId="10">G_A!$CB$1:$DE$45,G_A!$DH$1:$EU$45</x:definedName>
    <x:definedName name="_xlnm.Print_Area" localSheetId="11">G_B!$A$1:$BG$45</x:definedName>
    <x:definedName name="_xlnm.Print_Area" localSheetId="32">'J (1)'!$A$1:$AA$40</x:definedName>
    <x:definedName name="_xlnm.Print_Area" localSheetId="33">'J (2)'!$A$1:$AA$45</x:definedName>
    <x:definedName name="_xlnm.Print_Area" localSheetId="34">'J (3)'!$A$1:$AA$45</x:definedName>
    <x:definedName name="_xlnm.Print_Area" localSheetId="35">'J (4)'!$A$1:$AA$45</x:definedName>
    <x:definedName name="_xlnm.Print_Area" localSheetId="12">J_A!$A$1:$AA$40</x:definedName>
    <x:definedName name="_xlnm.Print_Area" localSheetId="13">J_B!$A$1:$AA$45</x:definedName>
    <x:definedName name="_xlnm.Print_Area" localSheetId="18">'Job Info.'!$A$1:$F$50</x:definedName>
    <x:definedName name="_xlnm.Print_Area" localSheetId="25">'K (1)'!$A$1:$N$49</x:definedName>
    <x:definedName name="_xlnm.Print_Area" localSheetId="8">K_A!$A$1:$N$49</x:definedName>
    <x:definedName name="_xlnm.Print_Area" localSheetId="22">'L (1)'!$A$1:$N$55</x:definedName>
    <x:definedName name="_xlnm.Print_Area" localSheetId="23">'L (2)'!$A$1:$N$55</x:definedName>
    <x:definedName name="_xlnm.Print_Area" localSheetId="24">'L (3)'!$A$1:$N$55</x:definedName>
    <x:definedName name="_xlnm.Print_Area" localSheetId="6">L_A!$A$1:$N$55</x:definedName>
    <x:definedName name="_xlnm.Print_Area" localSheetId="21">'N (1)'!$A$1:$J$51</x:definedName>
    <x:definedName name="_xlnm.Print_Area" localSheetId="7">N_A!$A$1:$J$51</x:definedName>
    <x:definedName name="_xlnm.Print_Area" localSheetId="20">'P (1)'!$A$1:$J$51</x:definedName>
    <x:definedName name="_xlnm.Print_Area" localSheetId="4">P_A!$A$1:$H$47</x:definedName>
    <x:definedName name="_xlnm.Print_Area" localSheetId="5">P_B!$A$1:$J$51</x:definedName>
    <x:definedName name="_xlnm.Print_Area" localSheetId="26">'S (1)'!$A$1:$P$50</x:definedName>
    <x:definedName name="_xlnm.Print_Area" localSheetId="27">'S (2)'!$A$1:$P$50</x:definedName>
    <x:definedName name="_xlnm.Print_Area" localSheetId="28">'S (3)'!$A$1:$P$50</x:definedName>
    <x:definedName name="_xlnm.Print_Area" localSheetId="29">'S (4)'!$A$1:$P$50</x:definedName>
    <x:definedName name="_xlnm.Print_Area" localSheetId="9">S_A!$A$1:$P$50</x:definedName>
    <x:definedName name="_xlnm.Print_Area" localSheetId="17">SectInfo!$A$1:$T$64</x:definedName>
    <x:definedName name="_xlnm.Print_Titles" localSheetId="32">'J (1)'!$BB:$BB</x:definedName>
    <x:definedName name="_xlnm.Print_Titles" localSheetId="12">J_A!$BB:$BB</x:definedName>
    <x:definedName name="_xlnm.Print_Titles" localSheetId="17">SectInfo!$1:$2</x:definedName>
    <x:definedName name="Type" localSheetId="22">'L (1)'!$BF$15:$BU$15</x:definedName>
    <x:definedName name="Type" localSheetId="23">'L (2)'!$BF$15:$BU$15</x:definedName>
    <x:definedName name="Type" localSheetId="24">'L (3)'!$BF$15:$BU$15</x:definedName>
    <x:definedName name="Type">L_A!$BF$15:$BU$15</x:definedName>
  </x:definedNames>
  <x:calcPr calcId="191029"/>
  <x:extLst>
    <x: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x:ext>
  </x:extLst>
</x:workbook>
</file>

<file path=xl/calcChain.xml><?xml version="1.0" encoding="utf-8"?>
<calcChain xmlns="http://schemas.openxmlformats.org/spreadsheetml/2006/main">
  <c r="O7" i="186" l="1"/>
  <c r="Y7" i="185"/>
  <c r="Y7" i="184"/>
  <c r="Y7" i="183"/>
  <c r="Y7" i="182"/>
  <c r="X7" i="180"/>
  <c r="X7" i="179"/>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E45" i="180" s="1"/>
  <c r="GH85" i="180"/>
  <c r="GG85" i="180"/>
  <c r="AW45" i="180" s="1"/>
  <c r="GF85" i="180"/>
  <c r="GE85" i="180"/>
  <c r="AQ45" i="180" s="1"/>
  <c r="GD85" i="180"/>
  <c r="AP45" i="180" s="1"/>
  <c r="FM85" i="180"/>
  <c r="FD85" i="180"/>
  <c r="FB85" i="180"/>
  <c r="EX85" i="180"/>
  <c r="EO85" i="180"/>
  <c r="EM85" i="180"/>
  <c r="EI85" i="180"/>
  <c r="ED85" i="180"/>
  <c r="EB85" i="180"/>
  <c r="DU85" i="180"/>
  <c r="DY85" i="180" s="1"/>
  <c r="DS85" i="180"/>
  <c r="DT85" i="180" s="1"/>
  <c r="DX85" i="180" s="1"/>
  <c r="DH85" i="180"/>
  <c r="DG85" i="180"/>
  <c r="DE85" i="180"/>
  <c r="DD85" i="180"/>
  <c r="I45" i="180" s="1"/>
  <c r="BS45" i="180" s="1"/>
  <c r="DC85" i="180"/>
  <c r="DB85" i="180"/>
  <c r="DA85" i="180"/>
  <c r="CY85" i="180"/>
  <c r="CX85" i="180"/>
  <c r="CW85" i="180"/>
  <c r="CU85" i="180"/>
  <c r="CT85" i="180"/>
  <c r="EP85" i="180" s="1"/>
  <c r="CS85" i="180"/>
  <c r="CR85" i="180"/>
  <c r="CQ85" i="180"/>
  <c r="CP85" i="180"/>
  <c r="CO85" i="180"/>
  <c r="FE85" i="180" s="1"/>
  <c r="CN85" i="180"/>
  <c r="CM85" i="180"/>
  <c r="CL85" i="180"/>
  <c r="EH85" i="180" s="1"/>
  <c r="EJ85" i="180" s="1"/>
  <c r="CK85" i="180"/>
  <c r="EK85" i="180" s="1"/>
  <c r="EL85" i="180" s="1"/>
  <c r="CJ85" i="180"/>
  <c r="CI85" i="180"/>
  <c r="CH85" i="180"/>
  <c r="CG85" i="180"/>
  <c r="DZ85" i="180" s="1"/>
  <c r="CF85" i="180"/>
  <c r="CE85" i="180"/>
  <c r="CD85" i="180"/>
  <c r="CV85" i="180" s="1"/>
  <c r="DK85" i="180" s="1"/>
  <c r="CC85" i="180"/>
  <c r="EF85" i="180" s="1"/>
  <c r="CB85" i="180"/>
  <c r="GI84" i="180"/>
  <c r="BE44" i="180" s="1"/>
  <c r="GH84" i="180"/>
  <c r="BA44" i="180" s="1"/>
  <c r="GG84" i="180"/>
  <c r="GF84" i="180"/>
  <c r="AR44" i="180" s="1"/>
  <c r="FF84" i="180" s="1"/>
  <c r="GE84" i="180"/>
  <c r="GD84" i="180"/>
  <c r="AP44" i="180" s="1"/>
  <c r="FM84" i="180"/>
  <c r="FD84" i="180"/>
  <c r="FB84" i="180"/>
  <c r="EX84" i="180"/>
  <c r="EO84" i="180"/>
  <c r="EK84" i="180"/>
  <c r="EI84" i="180"/>
  <c r="EH84" i="180"/>
  <c r="EJ84" i="180" s="1"/>
  <c r="ED84" i="180"/>
  <c r="EB84" i="180"/>
  <c r="EA84" i="180"/>
  <c r="DZ84" i="180"/>
  <c r="DE84" i="180"/>
  <c r="DC84" i="180"/>
  <c r="DB84" i="180"/>
  <c r="CY84" i="180"/>
  <c r="CU84" i="180"/>
  <c r="CT84" i="180"/>
  <c r="EP84" i="180" s="1"/>
  <c r="CS84" i="180"/>
  <c r="CR84" i="180"/>
  <c r="CQ84" i="180"/>
  <c r="DS84" i="180" s="1"/>
  <c r="CP84" i="180"/>
  <c r="FC84" i="180" s="1"/>
  <c r="CO84" i="180"/>
  <c r="FE84" i="180" s="1"/>
  <c r="CN84" i="180"/>
  <c r="CM84" i="180"/>
  <c r="DJ84" i="180" s="1"/>
  <c r="CL84" i="180"/>
  <c r="CK84" i="180"/>
  <c r="CJ84" i="180"/>
  <c r="CI84" i="180"/>
  <c r="CH84" i="180"/>
  <c r="CG84" i="180"/>
  <c r="CF84" i="180"/>
  <c r="CW84" i="180" s="1"/>
  <c r="CE84" i="180"/>
  <c r="CD84" i="180"/>
  <c r="CC84" i="180"/>
  <c r="EE84" i="180" s="1"/>
  <c r="EG84" i="180" s="1"/>
  <c r="DL84" i="180" s="1"/>
  <c r="CB84" i="180"/>
  <c r="GI83" i="180"/>
  <c r="BD43" i="180" s="1"/>
  <c r="FI83" i="180" s="1"/>
  <c r="GH83" i="180"/>
  <c r="BA43" i="180" s="1"/>
  <c r="GG83" i="180"/>
  <c r="AW43" i="180" s="1"/>
  <c r="GF83" i="180"/>
  <c r="GE83" i="180"/>
  <c r="AQ43" i="180" s="1"/>
  <c r="GD83" i="180"/>
  <c r="FM83" i="180"/>
  <c r="FC83" i="180"/>
  <c r="EX83" i="180"/>
  <c r="EL83" i="180"/>
  <c r="EM83" i="180" s="1"/>
  <c r="EK83" i="180"/>
  <c r="EI83" i="180"/>
  <c r="EH83" i="180"/>
  <c r="EJ83" i="180" s="1"/>
  <c r="DS83" i="180" s="1"/>
  <c r="ED83" i="180"/>
  <c r="EB83" i="180"/>
  <c r="EA83" i="180"/>
  <c r="DJ83" i="180"/>
  <c r="DI83" i="180"/>
  <c r="DH83" i="180"/>
  <c r="DG83" i="180"/>
  <c r="DE83" i="180"/>
  <c r="CY83" i="180"/>
  <c r="CV83" i="180"/>
  <c r="DK83" i="180" s="1"/>
  <c r="CU83" i="180"/>
  <c r="CT83" i="180"/>
  <c r="EP83" i="180" s="1"/>
  <c r="CS83" i="180"/>
  <c r="EW83" i="180" s="1"/>
  <c r="CR83" i="180"/>
  <c r="CQ83" i="180"/>
  <c r="CP83" i="180"/>
  <c r="CO83" i="180"/>
  <c r="CN83" i="180"/>
  <c r="CM83" i="180"/>
  <c r="CL83" i="180"/>
  <c r="CK83" i="180"/>
  <c r="CJ83" i="180"/>
  <c r="CI83" i="180"/>
  <c r="CH83" i="180"/>
  <c r="CG83" i="180"/>
  <c r="DZ83" i="180" s="1"/>
  <c r="CF83" i="180"/>
  <c r="EO83" i="180" s="1"/>
  <c r="CE83" i="180"/>
  <c r="CD83" i="180"/>
  <c r="DA83" i="180" s="1"/>
  <c r="CC83" i="180"/>
  <c r="CB83" i="180"/>
  <c r="GI82" i="180"/>
  <c r="BD42" i="180" s="1"/>
  <c r="FI82" i="180" s="1"/>
  <c r="GH82" i="180"/>
  <c r="BA42" i="180" s="1"/>
  <c r="GG82" i="180"/>
  <c r="GF82" i="180"/>
  <c r="GE82" i="180"/>
  <c r="AQ42" i="180" s="1"/>
  <c r="GD82" i="180"/>
  <c r="FM82" i="180"/>
  <c r="FE82" i="180"/>
  <c r="FD82" i="180"/>
  <c r="FB82" i="180"/>
  <c r="EX82" i="180"/>
  <c r="EO82" i="180"/>
  <c r="EL82" i="180"/>
  <c r="EM82" i="180" s="1"/>
  <c r="EK82" i="180"/>
  <c r="ED82" i="180"/>
  <c r="EB82" i="180"/>
  <c r="EA82" i="180"/>
  <c r="DZ82" i="180"/>
  <c r="DJ82" i="180"/>
  <c r="DI82" i="180"/>
  <c r="DH82" i="180"/>
  <c r="DG82" i="180"/>
  <c r="DE82" i="180"/>
  <c r="CY82" i="180"/>
  <c r="CW82" i="180"/>
  <c r="CU82" i="180"/>
  <c r="CT82" i="180"/>
  <c r="EP82" i="180" s="1"/>
  <c r="CS82" i="180"/>
  <c r="EW82" i="180" s="1"/>
  <c r="CR82" i="180"/>
  <c r="CQ82" i="180"/>
  <c r="CP82" i="180"/>
  <c r="FC82" i="180" s="1"/>
  <c r="CO82" i="180"/>
  <c r="ET82" i="180" s="1"/>
  <c r="CN82" i="180"/>
  <c r="CM82" i="180"/>
  <c r="CL82" i="180"/>
  <c r="EI82" i="180" s="1"/>
  <c r="CK82" i="180"/>
  <c r="CJ82" i="180"/>
  <c r="CI82" i="180"/>
  <c r="CH82" i="180"/>
  <c r="CG82" i="180"/>
  <c r="CF82" i="180"/>
  <c r="CE82" i="180"/>
  <c r="CD82" i="180"/>
  <c r="CC82" i="180"/>
  <c r="EF82" i="180" s="1"/>
  <c r="CB82" i="180"/>
  <c r="GI81" i="180"/>
  <c r="GH81" i="180"/>
  <c r="AZ41" i="180" s="1"/>
  <c r="FH81" i="180" s="1"/>
  <c r="GG81" i="180"/>
  <c r="GF81" i="180"/>
  <c r="AR41" i="180" s="1"/>
  <c r="FF81" i="180" s="1"/>
  <c r="GE81" i="180"/>
  <c r="GD81" i="180"/>
  <c r="FM81" i="180"/>
  <c r="FE81" i="180"/>
  <c r="EX81" i="180"/>
  <c r="ET81" i="180"/>
  <c r="EL81" i="180"/>
  <c r="EM81" i="180" s="1"/>
  <c r="EH81" i="180"/>
  <c r="EJ81" i="180" s="1"/>
  <c r="DS81" i="180" s="1"/>
  <c r="ED81" i="180"/>
  <c r="EB81" i="180"/>
  <c r="DJ81" i="180"/>
  <c r="DI81" i="180"/>
  <c r="DH81" i="180"/>
  <c r="DG81" i="180"/>
  <c r="DE81" i="180"/>
  <c r="CY81" i="180"/>
  <c r="CX81" i="180"/>
  <c r="CW81" i="180"/>
  <c r="CV81" i="180"/>
  <c r="DK81" i="180" s="1"/>
  <c r="CU81" i="180"/>
  <c r="CT81" i="180"/>
  <c r="EP81" i="180" s="1"/>
  <c r="CS81" i="180"/>
  <c r="CR81" i="180"/>
  <c r="CQ81" i="180"/>
  <c r="CP81" i="180"/>
  <c r="FC81" i="180" s="1"/>
  <c r="CO81" i="180"/>
  <c r="CN81" i="180"/>
  <c r="CM81" i="180"/>
  <c r="CL81" i="180"/>
  <c r="EI81" i="180" s="1"/>
  <c r="CK81" i="180"/>
  <c r="EK81" i="180" s="1"/>
  <c r="CJ81" i="180"/>
  <c r="CI81" i="180"/>
  <c r="CH81" i="180"/>
  <c r="CG81" i="180"/>
  <c r="DZ81" i="180" s="1"/>
  <c r="CF81" i="180"/>
  <c r="EO81" i="180" s="1"/>
  <c r="CE81" i="180"/>
  <c r="CD81" i="180"/>
  <c r="CC81" i="180"/>
  <c r="EF81" i="180" s="1"/>
  <c r="CB81" i="180"/>
  <c r="GI80" i="180"/>
  <c r="BE40" i="180" s="1"/>
  <c r="GH80" i="180"/>
  <c r="BA40" i="180" s="1"/>
  <c r="GG80" i="180"/>
  <c r="GF80" i="180"/>
  <c r="GE80" i="180"/>
  <c r="AQ40" i="180" s="1"/>
  <c r="GD80" i="180"/>
  <c r="FM80" i="180"/>
  <c r="FE80" i="180"/>
  <c r="FD80" i="180"/>
  <c r="EX80" i="180"/>
  <c r="ET80" i="180"/>
  <c r="EK80" i="180"/>
  <c r="EJ80" i="180"/>
  <c r="DS80" i="180" s="1"/>
  <c r="EI80" i="180"/>
  <c r="ED80" i="180"/>
  <c r="EB80" i="180"/>
  <c r="EA80" i="180"/>
  <c r="DZ80" i="180"/>
  <c r="DJ80" i="180"/>
  <c r="DH80" i="180"/>
  <c r="DG80" i="180"/>
  <c r="DE80" i="180"/>
  <c r="DD80" i="180"/>
  <c r="G40" i="180" s="1"/>
  <c r="CY80" i="180"/>
  <c r="CX80" i="180"/>
  <c r="CU80" i="180"/>
  <c r="CT80" i="180"/>
  <c r="EP80" i="180" s="1"/>
  <c r="CS80" i="180"/>
  <c r="EW80" i="180" s="1"/>
  <c r="CR80" i="180"/>
  <c r="CQ80" i="180"/>
  <c r="CP80" i="180"/>
  <c r="FC80" i="180" s="1"/>
  <c r="CO80" i="180"/>
  <c r="CN80" i="180"/>
  <c r="CM80" i="180"/>
  <c r="DI80" i="180" s="1"/>
  <c r="CL80" i="180"/>
  <c r="EH80" i="180" s="1"/>
  <c r="CK80" i="180"/>
  <c r="CJ80" i="180"/>
  <c r="CI80" i="180"/>
  <c r="CH80" i="180"/>
  <c r="CG80" i="180"/>
  <c r="FB80" i="180" s="1"/>
  <c r="CF80" i="180"/>
  <c r="CW80" i="180" s="1"/>
  <c r="CE80" i="180"/>
  <c r="CD80" i="180"/>
  <c r="DC80" i="180" s="1"/>
  <c r="CC80" i="180"/>
  <c r="EF80" i="180" s="1"/>
  <c r="CB80" i="180"/>
  <c r="GI79" i="180"/>
  <c r="BD39" i="180" s="1"/>
  <c r="FI79" i="180" s="1"/>
  <c r="GH79" i="180"/>
  <c r="BA39" i="180" s="1"/>
  <c r="GG79" i="180"/>
  <c r="GF79" i="180"/>
  <c r="AS39" i="180" s="1"/>
  <c r="GE79" i="180"/>
  <c r="GD79" i="180"/>
  <c r="FM79" i="180"/>
  <c r="FE79" i="180"/>
  <c r="FB79" i="180"/>
  <c r="EX79" i="180"/>
  <c r="EL79" i="180"/>
  <c r="EM79" i="180" s="1"/>
  <c r="EK79" i="180"/>
  <c r="EI79" i="180"/>
  <c r="ED79" i="180"/>
  <c r="EB79" i="180"/>
  <c r="DJ79" i="180"/>
  <c r="DI79" i="180"/>
  <c r="DH79" i="180"/>
  <c r="DG79" i="180"/>
  <c r="DE79" i="180"/>
  <c r="CY79" i="180"/>
  <c r="CW79" i="180"/>
  <c r="M39" i="180" s="1"/>
  <c r="CV79" i="180"/>
  <c r="DK79" i="180" s="1"/>
  <c r="CU79" i="180"/>
  <c r="CT79" i="180"/>
  <c r="EP79" i="180" s="1"/>
  <c r="CS79" i="180"/>
  <c r="EW79" i="180" s="1"/>
  <c r="CR79" i="180"/>
  <c r="CQ79" i="180"/>
  <c r="CP79" i="180"/>
  <c r="CO79" i="180"/>
  <c r="ET79" i="180" s="1"/>
  <c r="CN79" i="180"/>
  <c r="CM79" i="180"/>
  <c r="CL79" i="180"/>
  <c r="EH79" i="180" s="1"/>
  <c r="EJ79" i="180" s="1"/>
  <c r="DS79" i="180" s="1"/>
  <c r="CK79" i="180"/>
  <c r="CJ79" i="180"/>
  <c r="CI79" i="180"/>
  <c r="CH79" i="180"/>
  <c r="CG79" i="180"/>
  <c r="DZ79" i="180" s="1"/>
  <c r="CF79" i="180"/>
  <c r="EO79" i="180" s="1"/>
  <c r="CE79" i="180"/>
  <c r="CD79" i="180"/>
  <c r="DD79" i="180" s="1"/>
  <c r="H39" i="180" s="1"/>
  <c r="CC79" i="180"/>
  <c r="EE79" i="180" s="1"/>
  <c r="EG79" i="180" s="1"/>
  <c r="DL79" i="180" s="1"/>
  <c r="CB79" i="180"/>
  <c r="GI78" i="180"/>
  <c r="BD38" i="180" s="1"/>
  <c r="FI78" i="180" s="1"/>
  <c r="GH78" i="180"/>
  <c r="GG78" i="180"/>
  <c r="GF78" i="180"/>
  <c r="AS38" i="180" s="1"/>
  <c r="GE78" i="180"/>
  <c r="AQ38" i="180" s="1"/>
  <c r="GD78" i="180"/>
  <c r="AP38" i="180" s="1"/>
  <c r="FM78" i="180"/>
  <c r="FE78" i="180"/>
  <c r="FD78" i="180"/>
  <c r="FC78" i="180"/>
  <c r="EX78" i="180"/>
  <c r="ET78" i="180"/>
  <c r="EK78" i="180"/>
  <c r="ED78" i="180"/>
  <c r="EB78" i="180"/>
  <c r="EA78" i="180"/>
  <c r="DZ78" i="180"/>
  <c r="DJ78" i="180"/>
  <c r="DI78" i="180"/>
  <c r="DH78" i="180"/>
  <c r="DG78" i="180"/>
  <c r="DE78" i="180"/>
  <c r="DB78" i="180"/>
  <c r="CY78" i="180"/>
  <c r="CX78" i="180"/>
  <c r="CU78" i="180"/>
  <c r="EL78" i="180" s="1"/>
  <c r="EM78" i="180" s="1"/>
  <c r="CT78" i="180"/>
  <c r="EP78" i="180" s="1"/>
  <c r="CS78" i="180"/>
  <c r="CR78" i="180"/>
  <c r="CQ78" i="180"/>
  <c r="CP78" i="180"/>
  <c r="CO78" i="180"/>
  <c r="CN78" i="180"/>
  <c r="CM78" i="180"/>
  <c r="CL78" i="180"/>
  <c r="EI78" i="180" s="1"/>
  <c r="CK78" i="180"/>
  <c r="CJ78" i="180"/>
  <c r="CI78" i="180"/>
  <c r="CH78" i="180"/>
  <c r="CG78" i="180"/>
  <c r="FB78" i="180" s="1"/>
  <c r="CF78" i="180"/>
  <c r="CW78" i="180" s="1"/>
  <c r="M38" i="180" s="1"/>
  <c r="CE78" i="180"/>
  <c r="CD78" i="180"/>
  <c r="DD78" i="180" s="1"/>
  <c r="CC78" i="180"/>
  <c r="EF78" i="180" s="1"/>
  <c r="CB78" i="180"/>
  <c r="GI77" i="180"/>
  <c r="BE37" i="180" s="1"/>
  <c r="GH77" i="180"/>
  <c r="GG77" i="180"/>
  <c r="AW37" i="180" s="1"/>
  <c r="GF77" i="180"/>
  <c r="AR37" i="180" s="1"/>
  <c r="FF77" i="180" s="1"/>
  <c r="GE77" i="180"/>
  <c r="GD77" i="180"/>
  <c r="FM77" i="180"/>
  <c r="FE77" i="180"/>
  <c r="FC77" i="180"/>
  <c r="EX77" i="180"/>
  <c r="EW77" i="180"/>
  <c r="ET77" i="180"/>
  <c r="ED77" i="180"/>
  <c r="EB77" i="180"/>
  <c r="EA77" i="180"/>
  <c r="DZ77" i="180"/>
  <c r="DJ77" i="180"/>
  <c r="DI77" i="180"/>
  <c r="DH77" i="180"/>
  <c r="DG77" i="180"/>
  <c r="DE77" i="180"/>
  <c r="CY77" i="180"/>
  <c r="CX77" i="180"/>
  <c r="CU77" i="180"/>
  <c r="EL77" i="180" s="1"/>
  <c r="EM77" i="180" s="1"/>
  <c r="CT77" i="180"/>
  <c r="EP77" i="180" s="1"/>
  <c r="CS77" i="180"/>
  <c r="CR77" i="180"/>
  <c r="CQ77" i="180"/>
  <c r="CP77" i="180"/>
  <c r="CO77" i="180"/>
  <c r="CN77" i="180"/>
  <c r="CM77" i="180"/>
  <c r="CL77" i="180"/>
  <c r="EI77" i="180" s="1"/>
  <c r="CK77" i="180"/>
  <c r="EK77" i="180" s="1"/>
  <c r="CJ77" i="180"/>
  <c r="CI77" i="180"/>
  <c r="CH77" i="180"/>
  <c r="CG77" i="180"/>
  <c r="FB77" i="180" s="1"/>
  <c r="CF77" i="180"/>
  <c r="EO77" i="180" s="1"/>
  <c r="CE77" i="180"/>
  <c r="CD77" i="180"/>
  <c r="CC77" i="180"/>
  <c r="EE77" i="180" s="1"/>
  <c r="EG77" i="180" s="1"/>
  <c r="DL77" i="180" s="1"/>
  <c r="CB77" i="180"/>
  <c r="GI76" i="180"/>
  <c r="BD36" i="180" s="1"/>
  <c r="FI76" i="180" s="1"/>
  <c r="GH76" i="180"/>
  <c r="GG76" i="180"/>
  <c r="AW36" i="180" s="1"/>
  <c r="GF76" i="180"/>
  <c r="AS36" i="180" s="1"/>
  <c r="GE76" i="180"/>
  <c r="GD76" i="180"/>
  <c r="FM76" i="180"/>
  <c r="FE76" i="180"/>
  <c r="FB76" i="180"/>
  <c r="EX76" i="180"/>
  <c r="ET76" i="180"/>
  <c r="EI76" i="180"/>
  <c r="ED76" i="180"/>
  <c r="EB76" i="180"/>
  <c r="DZ76" i="180"/>
  <c r="DE76" i="180"/>
  <c r="DC76" i="180"/>
  <c r="DB76" i="180"/>
  <c r="CY76" i="180"/>
  <c r="CX76" i="180"/>
  <c r="CV76" i="180"/>
  <c r="DK76" i="180" s="1"/>
  <c r="CU76" i="180"/>
  <c r="CT76" i="180"/>
  <c r="EP76" i="180" s="1"/>
  <c r="CS76" i="180"/>
  <c r="CR76" i="180"/>
  <c r="CQ76" i="180"/>
  <c r="CP76" i="180"/>
  <c r="EA76" i="180" s="1"/>
  <c r="CO76" i="180"/>
  <c r="CN76" i="180"/>
  <c r="CM76" i="180"/>
  <c r="DJ76" i="180" s="1"/>
  <c r="CL76" i="180"/>
  <c r="CK76" i="180"/>
  <c r="EK76" i="180" s="1"/>
  <c r="EL76" i="180" s="1"/>
  <c r="EM76" i="180" s="1"/>
  <c r="CJ76" i="180"/>
  <c r="EV76" i="180" s="1"/>
  <c r="CI76" i="180"/>
  <c r="CH76" i="180"/>
  <c r="CG76" i="180"/>
  <c r="CF76" i="180"/>
  <c r="CE76" i="180"/>
  <c r="CD76" i="180"/>
  <c r="DD76" i="180" s="1"/>
  <c r="CC76" i="180"/>
  <c r="EF76" i="180" s="1"/>
  <c r="CB76" i="180"/>
  <c r="GI75" i="180"/>
  <c r="GH75" i="180"/>
  <c r="GG75" i="180"/>
  <c r="GF75" i="180"/>
  <c r="GE75" i="180"/>
  <c r="AQ35" i="180" s="1"/>
  <c r="GD75" i="180"/>
  <c r="AP35" i="180" s="1"/>
  <c r="FM75" i="180"/>
  <c r="FD75" i="180"/>
  <c r="EX75" i="180"/>
  <c r="ET75" i="180"/>
  <c r="EK75" i="180"/>
  <c r="EL75" i="180" s="1"/>
  <c r="EM75" i="180" s="1"/>
  <c r="ED75" i="180"/>
  <c r="EB75" i="180"/>
  <c r="DH75" i="180"/>
  <c r="DE75" i="180"/>
  <c r="DD75" i="180"/>
  <c r="I35" i="180" s="1"/>
  <c r="BS35" i="180" s="1"/>
  <c r="DC75" i="180"/>
  <c r="DB75" i="180"/>
  <c r="DA75" i="180"/>
  <c r="CY75" i="180"/>
  <c r="CX75" i="180"/>
  <c r="CV75" i="180"/>
  <c r="DK75" i="180" s="1"/>
  <c r="CU75" i="180"/>
  <c r="CT75" i="180"/>
  <c r="EP75" i="180" s="1"/>
  <c r="CS75" i="180"/>
  <c r="CR75" i="180"/>
  <c r="CQ75" i="180"/>
  <c r="CP75" i="180"/>
  <c r="EA75" i="180" s="1"/>
  <c r="CO75" i="180"/>
  <c r="FE75" i="180" s="1"/>
  <c r="CN75" i="180"/>
  <c r="CM75" i="180"/>
  <c r="DJ75" i="180" s="1"/>
  <c r="CL75" i="180"/>
  <c r="CK75" i="180"/>
  <c r="CJ75" i="180"/>
  <c r="CI75" i="180"/>
  <c r="CH75" i="180"/>
  <c r="CG75" i="180"/>
  <c r="DZ75" i="180" s="1"/>
  <c r="CF75" i="180"/>
  <c r="CW75" i="180" s="1"/>
  <c r="CE75" i="180"/>
  <c r="CD75" i="180"/>
  <c r="CC75" i="180"/>
  <c r="EE75" i="180" s="1"/>
  <c r="EG75" i="180" s="1"/>
  <c r="CB75" i="180"/>
  <c r="GI74" i="180"/>
  <c r="BE34" i="180" s="1"/>
  <c r="GH74" i="180"/>
  <c r="GG74" i="180"/>
  <c r="AV34" i="180" s="1"/>
  <c r="FG74" i="180" s="1"/>
  <c r="GF74" i="180"/>
  <c r="GE74" i="180"/>
  <c r="AQ34" i="180" s="1"/>
  <c r="GD74" i="180"/>
  <c r="AP34" i="180" s="1"/>
  <c r="FM74" i="180"/>
  <c r="FD74" i="180"/>
  <c r="FC74" i="180"/>
  <c r="FB74" i="180"/>
  <c r="EX74" i="180"/>
  <c r="ET74" i="180"/>
  <c r="ED74" i="180"/>
  <c r="EB74" i="180"/>
  <c r="DZ74" i="180"/>
  <c r="DJ74" i="180"/>
  <c r="DG74" i="180"/>
  <c r="DE74" i="180"/>
  <c r="EW74" i="180" s="1"/>
  <c r="DD74" i="180"/>
  <c r="CY74" i="180"/>
  <c r="CX74" i="180"/>
  <c r="CW74" i="180"/>
  <c r="CU74" i="180"/>
  <c r="CT74" i="180"/>
  <c r="EP74" i="180" s="1"/>
  <c r="CS74" i="180"/>
  <c r="CR74" i="180"/>
  <c r="CQ74" i="180"/>
  <c r="CP74" i="180"/>
  <c r="EA74" i="180" s="1"/>
  <c r="CO74" i="180"/>
  <c r="FE74" i="180" s="1"/>
  <c r="CN74" i="180"/>
  <c r="CM74" i="180"/>
  <c r="DI74" i="180" s="1"/>
  <c r="CL74" i="180"/>
  <c r="EI74" i="180" s="1"/>
  <c r="CK74" i="180"/>
  <c r="EK74" i="180" s="1"/>
  <c r="EL74" i="180" s="1"/>
  <c r="EM74" i="180" s="1"/>
  <c r="CJ74" i="180"/>
  <c r="CI74" i="180"/>
  <c r="CH74" i="180"/>
  <c r="CG74" i="180"/>
  <c r="CF74" i="180"/>
  <c r="EO74" i="180" s="1"/>
  <c r="CE74" i="180"/>
  <c r="CD74" i="180"/>
  <c r="CV74" i="180" s="1"/>
  <c r="CC74" i="180"/>
  <c r="EF74" i="180" s="1"/>
  <c r="CB74" i="180"/>
  <c r="GI73" i="180"/>
  <c r="BE33" i="180" s="1"/>
  <c r="GH73" i="180"/>
  <c r="GG73" i="180"/>
  <c r="AV33" i="180" s="1"/>
  <c r="FG73" i="180" s="1"/>
  <c r="GF73" i="180"/>
  <c r="AS33" i="180" s="1"/>
  <c r="GE73" i="180"/>
  <c r="AQ33" i="180" s="1"/>
  <c r="GD73" i="180"/>
  <c r="AP33" i="180" s="1"/>
  <c r="FM73" i="180"/>
  <c r="FE73" i="180"/>
  <c r="FD73" i="180"/>
  <c r="FB73" i="180"/>
  <c r="EX73" i="180"/>
  <c r="EO73" i="180"/>
  <c r="EL73" i="180"/>
  <c r="EM73" i="180" s="1"/>
  <c r="EK73" i="180"/>
  <c r="ED73" i="180"/>
  <c r="EB73" i="180"/>
  <c r="DZ73" i="180"/>
  <c r="DE73" i="180"/>
  <c r="DD73" i="180"/>
  <c r="H33" i="180" s="1"/>
  <c r="DC73" i="180"/>
  <c r="DB73" i="180"/>
  <c r="CY73" i="180"/>
  <c r="CU73" i="180"/>
  <c r="EQ73" i="180" s="1"/>
  <c r="ER73" i="180" s="1"/>
  <c r="CT73" i="180"/>
  <c r="EP73" i="180" s="1"/>
  <c r="CS73" i="180"/>
  <c r="CR73" i="180"/>
  <c r="CQ73" i="180"/>
  <c r="CP73" i="180"/>
  <c r="EA73" i="180" s="1"/>
  <c r="CO73" i="180"/>
  <c r="ET73" i="180" s="1"/>
  <c r="CN73" i="180"/>
  <c r="CM73" i="180"/>
  <c r="CL73" i="180"/>
  <c r="EI73" i="180" s="1"/>
  <c r="CK73" i="180"/>
  <c r="CJ73" i="180"/>
  <c r="CI73" i="180"/>
  <c r="CH73" i="180"/>
  <c r="CG73" i="180"/>
  <c r="CF73" i="180"/>
  <c r="CW73" i="180" s="1"/>
  <c r="M33" i="180" s="1"/>
  <c r="CE73" i="180"/>
  <c r="CD73" i="180"/>
  <c r="DA73" i="180" s="1"/>
  <c r="CC73" i="180"/>
  <c r="EF73" i="180" s="1"/>
  <c r="CB73" i="180"/>
  <c r="GI72" i="180"/>
  <c r="BD32" i="180" s="1"/>
  <c r="FI72" i="180" s="1"/>
  <c r="GH72" i="180"/>
  <c r="GG72" i="180"/>
  <c r="AV32" i="180" s="1"/>
  <c r="FG72" i="180" s="1"/>
  <c r="GF72" i="180"/>
  <c r="AS32" i="180" s="1"/>
  <c r="GE72" i="180"/>
  <c r="AQ32" i="180" s="1"/>
  <c r="GD72" i="180"/>
  <c r="AP32" i="180" s="1"/>
  <c r="FM72" i="180"/>
  <c r="FD72" i="180"/>
  <c r="FB72" i="180"/>
  <c r="EX72" i="180"/>
  <c r="EK72" i="180"/>
  <c r="ED72" i="180"/>
  <c r="EB72" i="180"/>
  <c r="EA72" i="180"/>
  <c r="DZ72" i="180"/>
  <c r="DJ72" i="180"/>
  <c r="DH72" i="180"/>
  <c r="DG72" i="180"/>
  <c r="DE72" i="180"/>
  <c r="DD72" i="180"/>
  <c r="G32" i="180" s="1"/>
  <c r="CY72" i="180"/>
  <c r="CU72" i="180"/>
  <c r="CT72" i="180"/>
  <c r="EP72" i="180" s="1"/>
  <c r="CS72" i="180"/>
  <c r="CR72" i="180"/>
  <c r="CQ72" i="180"/>
  <c r="CP72" i="180"/>
  <c r="FC72" i="180" s="1"/>
  <c r="CO72" i="180"/>
  <c r="CN72" i="180"/>
  <c r="CM72" i="180"/>
  <c r="DI72" i="180" s="1"/>
  <c r="CL72" i="180"/>
  <c r="EI72" i="180" s="1"/>
  <c r="CK72" i="180"/>
  <c r="CJ72" i="180"/>
  <c r="CI72" i="180"/>
  <c r="CH72" i="180"/>
  <c r="CG72" i="180"/>
  <c r="CF72" i="180"/>
  <c r="CW72" i="180" s="1"/>
  <c r="M32" i="180" s="1"/>
  <c r="CE72" i="180"/>
  <c r="CD72" i="180"/>
  <c r="DC72" i="180" s="1"/>
  <c r="CC72" i="180"/>
  <c r="EF72" i="180" s="1"/>
  <c r="CB72" i="180"/>
  <c r="GI71" i="180"/>
  <c r="BE31" i="180" s="1"/>
  <c r="GH71" i="180"/>
  <c r="AZ31" i="180" s="1"/>
  <c r="FH71" i="180" s="1"/>
  <c r="GG71" i="180"/>
  <c r="AW31" i="180" s="1"/>
  <c r="GF71" i="180"/>
  <c r="GE71" i="180"/>
  <c r="AQ31" i="180" s="1"/>
  <c r="GD71" i="180"/>
  <c r="FM71" i="180"/>
  <c r="FE71" i="180"/>
  <c r="FB71" i="180"/>
  <c r="EX71" i="180"/>
  <c r="EL71" i="180"/>
  <c r="EM71" i="180" s="1"/>
  <c r="EK71" i="180"/>
  <c r="EI71" i="180"/>
  <c r="ED71" i="180"/>
  <c r="EB71" i="180"/>
  <c r="DJ71" i="180"/>
  <c r="DI71" i="180"/>
  <c r="DH71" i="180"/>
  <c r="DG71" i="180"/>
  <c r="DE71" i="180"/>
  <c r="CY71" i="180"/>
  <c r="CW71" i="180"/>
  <c r="CU71" i="180"/>
  <c r="CT71" i="180"/>
  <c r="EP71" i="180" s="1"/>
  <c r="CS71" i="180"/>
  <c r="EW71" i="180" s="1"/>
  <c r="CR71" i="180"/>
  <c r="CQ71" i="180"/>
  <c r="CP71" i="180"/>
  <c r="EA71" i="180" s="1"/>
  <c r="CO71" i="180"/>
  <c r="ET71" i="180" s="1"/>
  <c r="CN71" i="180"/>
  <c r="CM71" i="180"/>
  <c r="CL71" i="180"/>
  <c r="EH71" i="180" s="1"/>
  <c r="EJ71" i="180" s="1"/>
  <c r="CK71" i="180"/>
  <c r="CJ71" i="180"/>
  <c r="CI71" i="180"/>
  <c r="CH71" i="180"/>
  <c r="CG71" i="180"/>
  <c r="DZ71" i="180" s="1"/>
  <c r="CF71" i="180"/>
  <c r="EO71" i="180" s="1"/>
  <c r="CE71" i="180"/>
  <c r="CD71" i="180"/>
  <c r="DD71" i="180" s="1"/>
  <c r="I31" i="180" s="1"/>
  <c r="BS31" i="180" s="1"/>
  <c r="CC71" i="180"/>
  <c r="EE71" i="180" s="1"/>
  <c r="EG71" i="180" s="1"/>
  <c r="DL71" i="180" s="1"/>
  <c r="DN71" i="180" s="1"/>
  <c r="CB71" i="180"/>
  <c r="GI70" i="180"/>
  <c r="BE30" i="180" s="1"/>
  <c r="GH70" i="180"/>
  <c r="BA30" i="180" s="1"/>
  <c r="GG70" i="180"/>
  <c r="AW30" i="180" s="1"/>
  <c r="GF70" i="180"/>
  <c r="AS30" i="180" s="1"/>
  <c r="GE70" i="180"/>
  <c r="GD70" i="180"/>
  <c r="FM70" i="180"/>
  <c r="FE70" i="180"/>
  <c r="FD70" i="180"/>
  <c r="EX70" i="180"/>
  <c r="ET70" i="180"/>
  <c r="EO70" i="180"/>
  <c r="EK70" i="180"/>
  <c r="ED70" i="180"/>
  <c r="EB70" i="180"/>
  <c r="DJ70" i="180"/>
  <c r="DI70" i="180"/>
  <c r="DH70" i="180"/>
  <c r="DG70" i="180"/>
  <c r="DE70" i="180"/>
  <c r="DB70" i="180"/>
  <c r="CY70" i="180"/>
  <c r="CX70" i="180"/>
  <c r="CV70" i="180"/>
  <c r="DK70" i="180" s="1"/>
  <c r="CU70" i="180"/>
  <c r="EL70" i="180" s="1"/>
  <c r="EM70" i="180" s="1"/>
  <c r="CT70" i="180"/>
  <c r="EP70" i="180" s="1"/>
  <c r="CS70" i="180"/>
  <c r="CR70" i="180"/>
  <c r="CQ70" i="180"/>
  <c r="CP70" i="180"/>
  <c r="FC70" i="180" s="1"/>
  <c r="CO70" i="180"/>
  <c r="CN70" i="180"/>
  <c r="CM70" i="180"/>
  <c r="CL70" i="180"/>
  <c r="EI70" i="180" s="1"/>
  <c r="CK70" i="180"/>
  <c r="CJ70" i="180"/>
  <c r="CI70" i="180"/>
  <c r="CH70" i="180"/>
  <c r="CG70" i="180"/>
  <c r="CF70" i="180"/>
  <c r="CW70" i="180" s="1"/>
  <c r="M30" i="180" s="1"/>
  <c r="CE70" i="180"/>
  <c r="CD70" i="180"/>
  <c r="DD70" i="180" s="1"/>
  <c r="CC70" i="180"/>
  <c r="EF70" i="180" s="1"/>
  <c r="CB70" i="180"/>
  <c r="GI69" i="180"/>
  <c r="GH69" i="180"/>
  <c r="BA29" i="180" s="1"/>
  <c r="GG69" i="180"/>
  <c r="GF69" i="180"/>
  <c r="AR29" i="180" s="1"/>
  <c r="FF69" i="180" s="1"/>
  <c r="GE69" i="180"/>
  <c r="AQ29" i="180" s="1"/>
  <c r="GD69" i="180"/>
  <c r="AP29" i="180" s="1"/>
  <c r="FM69" i="180"/>
  <c r="FE69" i="180"/>
  <c r="FC69" i="180"/>
  <c r="EX69" i="180"/>
  <c r="EW69" i="180"/>
  <c r="ET69" i="180"/>
  <c r="ED69" i="180"/>
  <c r="EB69" i="180"/>
  <c r="EA69" i="180"/>
  <c r="DZ69" i="180"/>
  <c r="DJ69" i="180"/>
  <c r="DI69" i="180"/>
  <c r="DH69" i="180"/>
  <c r="DG69" i="180"/>
  <c r="DE69" i="180"/>
  <c r="DA69" i="180"/>
  <c r="CY69" i="180"/>
  <c r="CX69" i="180"/>
  <c r="CU69" i="180"/>
  <c r="CT69" i="180"/>
  <c r="EP69" i="180" s="1"/>
  <c r="EQ69" i="180" s="1"/>
  <c r="ER69" i="180" s="1"/>
  <c r="ES69" i="180" s="1"/>
  <c r="Y29" i="180" s="1"/>
  <c r="CS69" i="180"/>
  <c r="CR69" i="180"/>
  <c r="CQ69" i="180"/>
  <c r="CP69" i="180"/>
  <c r="CO69" i="180"/>
  <c r="CN69" i="180"/>
  <c r="CM69" i="180"/>
  <c r="CL69" i="180"/>
  <c r="EI69" i="180" s="1"/>
  <c r="CK69" i="180"/>
  <c r="EK69" i="180" s="1"/>
  <c r="CJ69" i="180"/>
  <c r="CI69" i="180"/>
  <c r="CH69" i="180"/>
  <c r="CG69" i="180"/>
  <c r="FB69" i="180" s="1"/>
  <c r="CF69" i="180"/>
  <c r="EO69" i="180" s="1"/>
  <c r="CE69" i="180"/>
  <c r="CD69" i="180"/>
  <c r="CC69" i="180"/>
  <c r="EF69" i="180" s="1"/>
  <c r="CB69" i="180"/>
  <c r="GI68" i="180"/>
  <c r="BE28" i="180" s="1"/>
  <c r="GH68" i="180"/>
  <c r="GG68" i="180"/>
  <c r="AW28" i="180" s="1"/>
  <c r="GF68" i="180"/>
  <c r="GE68" i="180"/>
  <c r="GD68" i="180"/>
  <c r="FM68" i="180"/>
  <c r="FE68" i="180"/>
  <c r="EX68" i="180"/>
  <c r="ET68" i="180"/>
  <c r="ER68" i="180"/>
  <c r="EI68" i="180"/>
  <c r="EF68" i="180"/>
  <c r="ED68" i="180"/>
  <c r="EB68" i="180"/>
  <c r="DE68" i="180"/>
  <c r="DD68" i="180"/>
  <c r="DC68" i="180"/>
  <c r="DB68" i="180"/>
  <c r="DA68" i="180"/>
  <c r="CY68" i="180"/>
  <c r="CX68" i="180"/>
  <c r="CW68" i="180"/>
  <c r="M28" i="180" s="1"/>
  <c r="CU68" i="180"/>
  <c r="EQ68" i="180" s="1"/>
  <c r="CT68" i="180"/>
  <c r="EP68" i="180" s="1"/>
  <c r="CS68" i="180"/>
  <c r="CR68" i="180"/>
  <c r="CQ68" i="180"/>
  <c r="CP68" i="180"/>
  <c r="EA68" i="180" s="1"/>
  <c r="CO68" i="180"/>
  <c r="CN68" i="180"/>
  <c r="CM68" i="180"/>
  <c r="CL68" i="180"/>
  <c r="CK68" i="180"/>
  <c r="EK68" i="180" s="1"/>
  <c r="EL68" i="180" s="1"/>
  <c r="EM68" i="180" s="1"/>
  <c r="CJ68" i="180"/>
  <c r="CI68" i="180"/>
  <c r="CH68" i="180"/>
  <c r="CG68" i="180"/>
  <c r="CF68" i="180"/>
  <c r="CE68" i="180"/>
  <c r="CD68" i="180"/>
  <c r="CC68" i="180"/>
  <c r="EE68" i="180" s="1"/>
  <c r="EG68" i="180" s="1"/>
  <c r="DL68" i="180" s="1"/>
  <c r="CB68" i="180"/>
  <c r="GI67" i="180"/>
  <c r="BE27" i="180" s="1"/>
  <c r="GH67" i="180"/>
  <c r="BA27" i="180" s="1"/>
  <c r="GG67" i="180"/>
  <c r="GF67" i="180"/>
  <c r="AS27" i="180" s="1"/>
  <c r="GE67" i="180"/>
  <c r="GD67" i="180"/>
  <c r="FM67" i="180"/>
  <c r="FD67" i="180"/>
  <c r="FB67" i="180"/>
  <c r="EX67" i="180"/>
  <c r="EK67" i="180"/>
  <c r="EL67" i="180" s="1"/>
  <c r="EM67" i="180" s="1"/>
  <c r="EI67" i="180"/>
  <c r="ED67" i="180"/>
  <c r="EB67" i="180"/>
  <c r="DE67" i="180"/>
  <c r="DD67" i="180"/>
  <c r="H27" i="180" s="1"/>
  <c r="DC67" i="180"/>
  <c r="DB67" i="180"/>
  <c r="DA67" i="180"/>
  <c r="CY67" i="180"/>
  <c r="CX67" i="180"/>
  <c r="N27" i="180" s="1"/>
  <c r="CU67" i="180"/>
  <c r="CT67" i="180"/>
  <c r="EP67" i="180" s="1"/>
  <c r="CS67" i="180"/>
  <c r="CR67" i="180"/>
  <c r="CQ67" i="180"/>
  <c r="CP67" i="180"/>
  <c r="CO67" i="180"/>
  <c r="FE67" i="180" s="1"/>
  <c r="CN67" i="180"/>
  <c r="CM67" i="180"/>
  <c r="CL67" i="180"/>
  <c r="EH67" i="180" s="1"/>
  <c r="EJ67" i="180" s="1"/>
  <c r="DS67" i="180" s="1"/>
  <c r="DT67" i="180" s="1"/>
  <c r="CK67" i="180"/>
  <c r="CJ67" i="180"/>
  <c r="EV67" i="180" s="1"/>
  <c r="CI67" i="180"/>
  <c r="CH67" i="180"/>
  <c r="CG67" i="180"/>
  <c r="DZ67" i="180" s="1"/>
  <c r="CF67" i="180"/>
  <c r="CW67" i="180" s="1"/>
  <c r="M27" i="180" s="1"/>
  <c r="CE67" i="180"/>
  <c r="CD67" i="180"/>
  <c r="CC67" i="180"/>
  <c r="EF67" i="180" s="1"/>
  <c r="CB67" i="180"/>
  <c r="GI66" i="180"/>
  <c r="BE26" i="180" s="1"/>
  <c r="GH66" i="180"/>
  <c r="GG66" i="180"/>
  <c r="AV26" i="180" s="1"/>
  <c r="FG66" i="180" s="1"/>
  <c r="GF66" i="180"/>
  <c r="GE66" i="180"/>
  <c r="AQ26" i="180" s="1"/>
  <c r="GD66" i="180"/>
  <c r="FM66" i="180"/>
  <c r="FF66" i="180"/>
  <c r="FD66" i="180"/>
  <c r="FB66" i="180"/>
  <c r="EX66" i="180"/>
  <c r="EW66" i="180"/>
  <c r="EP66" i="180"/>
  <c r="EI66" i="180"/>
  <c r="ED66" i="180"/>
  <c r="EB66" i="180"/>
  <c r="DZ66" i="180"/>
  <c r="DE66" i="180"/>
  <c r="DD66" i="180"/>
  <c r="DC66" i="180"/>
  <c r="DB66" i="180"/>
  <c r="DA66" i="180"/>
  <c r="CY66" i="180"/>
  <c r="CW66" i="180"/>
  <c r="CU66" i="180"/>
  <c r="CT66" i="180"/>
  <c r="CS66" i="180"/>
  <c r="CR66" i="180"/>
  <c r="CQ66" i="180"/>
  <c r="CP66" i="180"/>
  <c r="EA66" i="180" s="1"/>
  <c r="CO66" i="180"/>
  <c r="CN66" i="180"/>
  <c r="CM66" i="180"/>
  <c r="DI66" i="180" s="1"/>
  <c r="CL66" i="180"/>
  <c r="EH66" i="180" s="1"/>
  <c r="EJ66" i="180" s="1"/>
  <c r="DS66" i="180" s="1"/>
  <c r="CK66" i="180"/>
  <c r="EK66" i="180" s="1"/>
  <c r="EL66" i="180" s="1"/>
  <c r="EM66" i="180" s="1"/>
  <c r="CJ66" i="180"/>
  <c r="CI66" i="180"/>
  <c r="CH66" i="180"/>
  <c r="CG66" i="180"/>
  <c r="CF66" i="180"/>
  <c r="EO66" i="180" s="1"/>
  <c r="CE66" i="180"/>
  <c r="CD66" i="180"/>
  <c r="CC66" i="180"/>
  <c r="EE66" i="180" s="1"/>
  <c r="EG66" i="180" s="1"/>
  <c r="DL66" i="180" s="1"/>
  <c r="CB66" i="180"/>
  <c r="GI65" i="180"/>
  <c r="GH65" i="180"/>
  <c r="GG65" i="180"/>
  <c r="AW25" i="180" s="1"/>
  <c r="GF65" i="180"/>
  <c r="AS25" i="180" s="1"/>
  <c r="GE65" i="180"/>
  <c r="GD65" i="180"/>
  <c r="FM65" i="180"/>
  <c r="FD65" i="180"/>
  <c r="FC65" i="180"/>
  <c r="FB65" i="180"/>
  <c r="EX65" i="180"/>
  <c r="EO65" i="180"/>
  <c r="EL65" i="180"/>
  <c r="EM65" i="180" s="1"/>
  <c r="EK65" i="180"/>
  <c r="ED65" i="180"/>
  <c r="EB65" i="180"/>
  <c r="DZ65" i="180"/>
  <c r="DI65" i="180"/>
  <c r="DE65" i="180"/>
  <c r="CY65" i="180"/>
  <c r="CU65" i="180"/>
  <c r="CT65" i="180"/>
  <c r="EP65" i="180" s="1"/>
  <c r="CS65" i="180"/>
  <c r="CR65" i="180"/>
  <c r="CQ65" i="180"/>
  <c r="CP65" i="180"/>
  <c r="EA65" i="180" s="1"/>
  <c r="CO65" i="180"/>
  <c r="FE65" i="180" s="1"/>
  <c r="CN65" i="180"/>
  <c r="CM65" i="180"/>
  <c r="DJ65" i="180" s="1"/>
  <c r="CL65" i="180"/>
  <c r="CK65" i="180"/>
  <c r="CJ65" i="180"/>
  <c r="CI65" i="180"/>
  <c r="CH65" i="180"/>
  <c r="CG65" i="180"/>
  <c r="CF65" i="180"/>
  <c r="CW65" i="180" s="1"/>
  <c r="CE65" i="180"/>
  <c r="CD65" i="180"/>
  <c r="DA65" i="180" s="1"/>
  <c r="CC65" i="180"/>
  <c r="CB65" i="180"/>
  <c r="GI64" i="180"/>
  <c r="GH64" i="180"/>
  <c r="BA24" i="180" s="1"/>
  <c r="GG64" i="180"/>
  <c r="AW24" i="180" s="1"/>
  <c r="GF64" i="180"/>
  <c r="GE64" i="180"/>
  <c r="GD64" i="180"/>
  <c r="FM64" i="180"/>
  <c r="FF64" i="180"/>
  <c r="FE64" i="180"/>
  <c r="FB64" i="180"/>
  <c r="EX64" i="180"/>
  <c r="ET64" i="180"/>
  <c r="EP64" i="180"/>
  <c r="EQ64" i="180" s="1"/>
  <c r="ER64" i="180" s="1"/>
  <c r="ED64" i="180"/>
  <c r="EB64" i="180"/>
  <c r="EA64" i="180"/>
  <c r="DZ64" i="180"/>
  <c r="DJ64" i="180"/>
  <c r="DI64" i="180"/>
  <c r="DH64" i="180"/>
  <c r="DG64" i="180"/>
  <c r="DE64" i="180"/>
  <c r="CY64" i="180"/>
  <c r="CX64" i="180"/>
  <c r="CV64" i="180"/>
  <c r="DK64" i="180" s="1"/>
  <c r="CU64" i="180"/>
  <c r="CT64" i="180"/>
  <c r="CS64" i="180"/>
  <c r="CR64" i="180"/>
  <c r="CQ64" i="180"/>
  <c r="CP64" i="180"/>
  <c r="FC64" i="180" s="1"/>
  <c r="CO64" i="180"/>
  <c r="CN64" i="180"/>
  <c r="CM64" i="180"/>
  <c r="CL64" i="180"/>
  <c r="EI64" i="180" s="1"/>
  <c r="CK64" i="180"/>
  <c r="EK64" i="180" s="1"/>
  <c r="EL64" i="180" s="1"/>
  <c r="EM64" i="180" s="1"/>
  <c r="EN64" i="180" s="1"/>
  <c r="X24" i="180" s="1"/>
  <c r="CJ64" i="180"/>
  <c r="CI64" i="180"/>
  <c r="CH64" i="180"/>
  <c r="CG64" i="180"/>
  <c r="CF64" i="180"/>
  <c r="CW64" i="180" s="1"/>
  <c r="CE64" i="180"/>
  <c r="CD64" i="180"/>
  <c r="CC64" i="180"/>
  <c r="CB64" i="180"/>
  <c r="GI63" i="180"/>
  <c r="GH63" i="180"/>
  <c r="BA23" i="180" s="1"/>
  <c r="GG63" i="180"/>
  <c r="AV23" i="180" s="1"/>
  <c r="GF63" i="180"/>
  <c r="GE63" i="180"/>
  <c r="GD63" i="180"/>
  <c r="FM63" i="180"/>
  <c r="FF63" i="180"/>
  <c r="FE63" i="180"/>
  <c r="FC63" i="180"/>
  <c r="FB63" i="180"/>
  <c r="EX63" i="180"/>
  <c r="ET63" i="180"/>
  <c r="EL63" i="180"/>
  <c r="EM63" i="180" s="1"/>
  <c r="EK63" i="180"/>
  <c r="EI63" i="180"/>
  <c r="ED63" i="180"/>
  <c r="EB63" i="180"/>
  <c r="DJ63" i="180"/>
  <c r="DE63" i="180"/>
  <c r="CY63" i="180"/>
  <c r="CX63" i="180"/>
  <c r="CW63" i="180"/>
  <c r="CU63" i="180"/>
  <c r="CT63" i="180"/>
  <c r="EP63" i="180" s="1"/>
  <c r="EQ63" i="180" s="1"/>
  <c r="ER63" i="180" s="1"/>
  <c r="CS63" i="180"/>
  <c r="CR63" i="180"/>
  <c r="CQ63" i="180"/>
  <c r="CP63" i="180"/>
  <c r="EA63" i="180" s="1"/>
  <c r="CO63" i="180"/>
  <c r="CN63" i="180"/>
  <c r="CM63" i="180"/>
  <c r="DI63" i="180" s="1"/>
  <c r="CL63" i="180"/>
  <c r="EH63" i="180" s="1"/>
  <c r="EJ63" i="180" s="1"/>
  <c r="DS63" i="180" s="1"/>
  <c r="CK63" i="180"/>
  <c r="CJ63" i="180"/>
  <c r="CI63" i="180"/>
  <c r="CH63" i="180"/>
  <c r="CG63" i="180"/>
  <c r="DZ63" i="180" s="1"/>
  <c r="CF63" i="180"/>
  <c r="EO63" i="180" s="1"/>
  <c r="CE63" i="180"/>
  <c r="CD63" i="180"/>
  <c r="CC63" i="180"/>
  <c r="EE63" i="180" s="1"/>
  <c r="EG63" i="180" s="1"/>
  <c r="DL63" i="180" s="1"/>
  <c r="CB63" i="180"/>
  <c r="GI62" i="180"/>
  <c r="BE22" i="180" s="1"/>
  <c r="GH62" i="180"/>
  <c r="GG62" i="180"/>
  <c r="AW22" i="180" s="1"/>
  <c r="GF62" i="180"/>
  <c r="AS22" i="180" s="1"/>
  <c r="GE62" i="180"/>
  <c r="GD62" i="180"/>
  <c r="FM62" i="180"/>
  <c r="FE62" i="180"/>
  <c r="FD62" i="180"/>
  <c r="EX62" i="180"/>
  <c r="ET62" i="180"/>
  <c r="EL62" i="180"/>
  <c r="EM62" i="180" s="1"/>
  <c r="EK62" i="180"/>
  <c r="EH62" i="180"/>
  <c r="EJ62" i="180" s="1"/>
  <c r="DS62" i="180" s="1"/>
  <c r="DT62" i="180" s="1"/>
  <c r="ED62" i="180"/>
  <c r="EB62" i="180"/>
  <c r="DX62" i="180"/>
  <c r="DJ62" i="180"/>
  <c r="DI62" i="180"/>
  <c r="DH62" i="180"/>
  <c r="DG62" i="180"/>
  <c r="DE62" i="180"/>
  <c r="DB62" i="180"/>
  <c r="CY62" i="180"/>
  <c r="CX62" i="180"/>
  <c r="CV62" i="180"/>
  <c r="DK62" i="180" s="1"/>
  <c r="CU62" i="180"/>
  <c r="EU62" i="180" s="1"/>
  <c r="CT62" i="180"/>
  <c r="EP62" i="180" s="1"/>
  <c r="CS62" i="180"/>
  <c r="CR62" i="180"/>
  <c r="CQ62" i="180"/>
  <c r="CP62" i="180"/>
  <c r="FC62" i="180" s="1"/>
  <c r="CO62" i="180"/>
  <c r="CN62" i="180"/>
  <c r="CM62" i="180"/>
  <c r="CL62" i="180"/>
  <c r="EI62" i="180" s="1"/>
  <c r="CK62" i="180"/>
  <c r="CJ62" i="180"/>
  <c r="CI62" i="180"/>
  <c r="CH62" i="180"/>
  <c r="CG62" i="180"/>
  <c r="FB62" i="180" s="1"/>
  <c r="CF62" i="180"/>
  <c r="EO62" i="180" s="1"/>
  <c r="CE62" i="180"/>
  <c r="CD62" i="180"/>
  <c r="CC62" i="180"/>
  <c r="EE62" i="180" s="1"/>
  <c r="EG62" i="180" s="1"/>
  <c r="DL62" i="180" s="1"/>
  <c r="CB62" i="180"/>
  <c r="GI61" i="180"/>
  <c r="BD21" i="180" s="1"/>
  <c r="FI61" i="180" s="1"/>
  <c r="GH61" i="180"/>
  <c r="GG61" i="180"/>
  <c r="AW21" i="180" s="1"/>
  <c r="GF61" i="180"/>
  <c r="GE61" i="180"/>
  <c r="GD61" i="180"/>
  <c r="FM61" i="180"/>
  <c r="FF61" i="180"/>
  <c r="FE61" i="180"/>
  <c r="FD61" i="180"/>
  <c r="FC61" i="180"/>
  <c r="EX61" i="180"/>
  <c r="ET61" i="180"/>
  <c r="EP61" i="180"/>
  <c r="EO61" i="180"/>
  <c r="EH61" i="180"/>
  <c r="EJ61" i="180" s="1"/>
  <c r="DS61" i="180" s="1"/>
  <c r="EF61" i="180"/>
  <c r="ED61" i="180"/>
  <c r="EB61" i="180"/>
  <c r="EA61" i="180"/>
  <c r="DJ61" i="180"/>
  <c r="DI61" i="180"/>
  <c r="DH61" i="180"/>
  <c r="DG61" i="180"/>
  <c r="DE61" i="180"/>
  <c r="DD61" i="180"/>
  <c r="DB61" i="180"/>
  <c r="DA61" i="180"/>
  <c r="CY61" i="180"/>
  <c r="CX61" i="180"/>
  <c r="CW61" i="180"/>
  <c r="CV61" i="180"/>
  <c r="DK61" i="180" s="1"/>
  <c r="CU61" i="180"/>
  <c r="EU61" i="180" s="1"/>
  <c r="CT61" i="180"/>
  <c r="CS61" i="180"/>
  <c r="CR61" i="180"/>
  <c r="CQ61" i="180"/>
  <c r="CP61" i="180"/>
  <c r="CO61" i="180"/>
  <c r="CN61" i="180"/>
  <c r="CM61" i="180"/>
  <c r="CL61" i="180"/>
  <c r="EI61" i="180" s="1"/>
  <c r="CK61" i="180"/>
  <c r="EK61" i="180" s="1"/>
  <c r="CJ61" i="180"/>
  <c r="EV61" i="180" s="1"/>
  <c r="CI61" i="180"/>
  <c r="CH61" i="180"/>
  <c r="CG61" i="180"/>
  <c r="CF61" i="180"/>
  <c r="CE61" i="180"/>
  <c r="CD61" i="180"/>
  <c r="DC61" i="180" s="1"/>
  <c r="CC61" i="180"/>
  <c r="EE61" i="180" s="1"/>
  <c r="EG61" i="180" s="1"/>
  <c r="DL61" i="180" s="1"/>
  <c r="CB61" i="180"/>
  <c r="GI60" i="180"/>
  <c r="GH60" i="180"/>
  <c r="BA20" i="180" s="1"/>
  <c r="GG60" i="180"/>
  <c r="GF60" i="180"/>
  <c r="AR20" i="180" s="1"/>
  <c r="FF60" i="180" s="1"/>
  <c r="GE60" i="180"/>
  <c r="GD60" i="180"/>
  <c r="FM60" i="180"/>
  <c r="FE60" i="180"/>
  <c r="EX60" i="180"/>
  <c r="ET60" i="180"/>
  <c r="EO60" i="180"/>
  <c r="EL60" i="180"/>
  <c r="EM60" i="180" s="1"/>
  <c r="EI60" i="180"/>
  <c r="ED60" i="180"/>
  <c r="EB60" i="180"/>
  <c r="DZ60" i="180"/>
  <c r="DJ60" i="180"/>
  <c r="DE60" i="180"/>
  <c r="DD60" i="180"/>
  <c r="DC60" i="180"/>
  <c r="DA60" i="180"/>
  <c r="CY60" i="180"/>
  <c r="CX60" i="180"/>
  <c r="CU60" i="180"/>
  <c r="CT60" i="180"/>
  <c r="EP60" i="180" s="1"/>
  <c r="EQ60" i="180" s="1"/>
  <c r="ER60" i="180" s="1"/>
  <c r="CS60" i="180"/>
  <c r="CR60" i="180"/>
  <c r="CQ60" i="180"/>
  <c r="CP60" i="180"/>
  <c r="FC60" i="180" s="1"/>
  <c r="CO60" i="180"/>
  <c r="CN60" i="180"/>
  <c r="CM60" i="180"/>
  <c r="CL60" i="180"/>
  <c r="EH60" i="180" s="1"/>
  <c r="EJ60" i="180" s="1"/>
  <c r="DS60" i="180" s="1"/>
  <c r="CK60" i="180"/>
  <c r="EK60" i="180" s="1"/>
  <c r="CJ60" i="180"/>
  <c r="CI60" i="180"/>
  <c r="CH60" i="180"/>
  <c r="CG60" i="180"/>
  <c r="FB60" i="180" s="1"/>
  <c r="CF60" i="180"/>
  <c r="FD60" i="180" s="1"/>
  <c r="CE60" i="180"/>
  <c r="CD60" i="180"/>
  <c r="CV60" i="180" s="1"/>
  <c r="DK60" i="180" s="1"/>
  <c r="CC60" i="180"/>
  <c r="EF60" i="180" s="1"/>
  <c r="CB60" i="180"/>
  <c r="GI59" i="180"/>
  <c r="BE19" i="180" s="1"/>
  <c r="GH59" i="180"/>
  <c r="BA19" i="180" s="1"/>
  <c r="GG59" i="180"/>
  <c r="AV19" i="180" s="1"/>
  <c r="FG59" i="180" s="1"/>
  <c r="GF59" i="180"/>
  <c r="GE59" i="180"/>
  <c r="GD59" i="180"/>
  <c r="FM59" i="180"/>
  <c r="EX59" i="180"/>
  <c r="EQ59" i="180"/>
  <c r="ER59" i="180" s="1"/>
  <c r="EF59" i="180"/>
  <c r="ED59" i="180"/>
  <c r="EB59" i="180"/>
  <c r="EA59" i="180"/>
  <c r="DE59" i="180"/>
  <c r="DD59" i="180"/>
  <c r="DC59" i="180"/>
  <c r="DB59" i="180"/>
  <c r="DA59" i="180"/>
  <c r="CY59" i="180"/>
  <c r="CU59" i="180"/>
  <c r="CT59" i="180"/>
  <c r="EP59" i="180" s="1"/>
  <c r="CS59" i="180"/>
  <c r="CR59" i="180"/>
  <c r="CQ59" i="180"/>
  <c r="CP59" i="180"/>
  <c r="FC59" i="180" s="1"/>
  <c r="CO59" i="180"/>
  <c r="FE59" i="180" s="1"/>
  <c r="CN59" i="180"/>
  <c r="CM59" i="180"/>
  <c r="CL59" i="180"/>
  <c r="CK59" i="180"/>
  <c r="EK59" i="180" s="1"/>
  <c r="EL59" i="180" s="1"/>
  <c r="EM59" i="180" s="1"/>
  <c r="CJ59" i="180"/>
  <c r="CI59" i="180"/>
  <c r="CH59" i="180"/>
  <c r="CG59" i="180"/>
  <c r="DZ59" i="180" s="1"/>
  <c r="CF59" i="180"/>
  <c r="EO59" i="180" s="1"/>
  <c r="CE59" i="180"/>
  <c r="CD59" i="180"/>
  <c r="CC59" i="180"/>
  <c r="EE59" i="180" s="1"/>
  <c r="EG59" i="180" s="1"/>
  <c r="DL59" i="180" s="1"/>
  <c r="CB59" i="180"/>
  <c r="GI58" i="180"/>
  <c r="GH58" i="180"/>
  <c r="BA18" i="180" s="1"/>
  <c r="GG58" i="180"/>
  <c r="AW18" i="180" s="1"/>
  <c r="GF58" i="180"/>
  <c r="GE58" i="180"/>
  <c r="GD58" i="180"/>
  <c r="FM58" i="180"/>
  <c r="FF58" i="180"/>
  <c r="FD58" i="180"/>
  <c r="FC58" i="180"/>
  <c r="EX58" i="180"/>
  <c r="ES58" i="180"/>
  <c r="Y18" i="180" s="1"/>
  <c r="EP58" i="180"/>
  <c r="EK58" i="180"/>
  <c r="EL58" i="180" s="1"/>
  <c r="EM58" i="180" s="1"/>
  <c r="EH58" i="180"/>
  <c r="EJ58" i="180" s="1"/>
  <c r="DS58" i="180" s="1"/>
  <c r="ED58" i="180"/>
  <c r="EB58" i="180"/>
  <c r="DZ58" i="180"/>
  <c r="DJ58" i="180"/>
  <c r="DH58" i="180"/>
  <c r="DE58" i="180"/>
  <c r="EW58" i="180" s="1"/>
  <c r="DD58" i="180"/>
  <c r="DC58" i="180"/>
  <c r="EV58" i="180" s="1"/>
  <c r="CY58" i="180"/>
  <c r="CW58" i="180"/>
  <c r="CU58" i="180"/>
  <c r="EQ58" i="180" s="1"/>
  <c r="ER58" i="180" s="1"/>
  <c r="CT58" i="180"/>
  <c r="CS58" i="180"/>
  <c r="CR58" i="180"/>
  <c r="CQ58" i="180"/>
  <c r="CP58" i="180"/>
  <c r="EA58" i="180" s="1"/>
  <c r="CO58" i="180"/>
  <c r="FE58" i="180" s="1"/>
  <c r="CN58" i="180"/>
  <c r="CM58" i="180"/>
  <c r="DI58" i="180" s="1"/>
  <c r="CL58" i="180"/>
  <c r="EI58" i="180" s="1"/>
  <c r="CK58" i="180"/>
  <c r="CJ58" i="180"/>
  <c r="CI58" i="180"/>
  <c r="CH58" i="180"/>
  <c r="CG58" i="180"/>
  <c r="FB58" i="180" s="1"/>
  <c r="CF58" i="180"/>
  <c r="EO58" i="180" s="1"/>
  <c r="CE58" i="180"/>
  <c r="CD58" i="180"/>
  <c r="CC58" i="180"/>
  <c r="EF58" i="180" s="1"/>
  <c r="CB58" i="180"/>
  <c r="GI57" i="180"/>
  <c r="GH57" i="180"/>
  <c r="BA17" i="180" s="1"/>
  <c r="GG57" i="180"/>
  <c r="GF57" i="180"/>
  <c r="AS17" i="180" s="1"/>
  <c r="GE57" i="180"/>
  <c r="AQ17" i="180" s="1"/>
  <c r="GD57" i="180"/>
  <c r="FM57" i="180"/>
  <c r="FD57" i="180"/>
  <c r="EX57" i="180"/>
  <c r="EK57" i="180"/>
  <c r="EL57" i="180" s="1"/>
  <c r="EM57" i="180" s="1"/>
  <c r="ED57" i="180"/>
  <c r="EB57" i="180"/>
  <c r="DZ57" i="180"/>
  <c r="DJ57" i="180"/>
  <c r="DI57" i="180"/>
  <c r="DG57" i="180"/>
  <c r="DE57" i="180"/>
  <c r="DD57" i="180"/>
  <c r="DC57" i="180"/>
  <c r="EV57" i="180" s="1"/>
  <c r="DA57" i="180"/>
  <c r="CY57" i="180"/>
  <c r="CV57" i="180"/>
  <c r="DK57" i="180" s="1"/>
  <c r="CU57" i="180"/>
  <c r="CT57" i="180"/>
  <c r="EP57" i="180" s="1"/>
  <c r="CS57" i="180"/>
  <c r="CR57" i="180"/>
  <c r="CQ57" i="180"/>
  <c r="CP57" i="180"/>
  <c r="EA57" i="180" s="1"/>
  <c r="CO57" i="180"/>
  <c r="FE57" i="180" s="1"/>
  <c r="CN57" i="180"/>
  <c r="CM57" i="180"/>
  <c r="DH57" i="180" s="1"/>
  <c r="CL57" i="180"/>
  <c r="EI57" i="180" s="1"/>
  <c r="CK57" i="180"/>
  <c r="CJ57" i="180"/>
  <c r="CI57" i="180"/>
  <c r="CH57" i="180"/>
  <c r="CG57" i="180"/>
  <c r="FB57" i="180" s="1"/>
  <c r="CF57" i="180"/>
  <c r="EO57" i="180" s="1"/>
  <c r="CE57" i="180"/>
  <c r="CD57" i="180"/>
  <c r="DB57" i="180" s="1"/>
  <c r="CC57" i="180"/>
  <c r="EE57" i="180" s="1"/>
  <c r="EG57" i="180" s="1"/>
  <c r="DL57" i="180" s="1"/>
  <c r="CB57" i="180"/>
  <c r="FL54" i="180" s="1"/>
  <c r="GI56" i="180"/>
  <c r="GH56" i="180"/>
  <c r="BA16" i="180" s="1"/>
  <c r="GG56" i="180"/>
  <c r="GF56" i="180"/>
  <c r="AR16" i="180" s="1"/>
  <c r="FF56" i="180" s="1"/>
  <c r="GE56" i="180"/>
  <c r="GD56" i="180"/>
  <c r="FM56" i="180"/>
  <c r="FK56" i="180"/>
  <c r="FK57" i="180" s="1"/>
  <c r="FE56" i="180"/>
  <c r="FB56" i="180"/>
  <c r="EX56" i="180"/>
  <c r="EJ56" i="180"/>
  <c r="DS56" i="180" s="1"/>
  <c r="EH56" i="180"/>
  <c r="ED56" i="180"/>
  <c r="EB56" i="180"/>
  <c r="DZ56" i="180"/>
  <c r="DJ56" i="180"/>
  <c r="DH56" i="180"/>
  <c r="DG56" i="180"/>
  <c r="DE56" i="180"/>
  <c r="DD56" i="180"/>
  <c r="DC56" i="180"/>
  <c r="DB56" i="180"/>
  <c r="DA56" i="180"/>
  <c r="CY56" i="180"/>
  <c r="CX56" i="180"/>
  <c r="CV56" i="180"/>
  <c r="DK56" i="180" s="1"/>
  <c r="CU56" i="180"/>
  <c r="CT56" i="180"/>
  <c r="EP56" i="180" s="1"/>
  <c r="EQ56" i="180" s="1"/>
  <c r="ER56" i="180" s="1"/>
  <c r="CS56" i="180"/>
  <c r="EW56" i="180" s="1"/>
  <c r="CR56" i="180"/>
  <c r="CQ56" i="180"/>
  <c r="CP56" i="180"/>
  <c r="EA56" i="180" s="1"/>
  <c r="CO56" i="180"/>
  <c r="ET56" i="180" s="1"/>
  <c r="CN56" i="180"/>
  <c r="CM56" i="180"/>
  <c r="DI56" i="180" s="1"/>
  <c r="CL56" i="180"/>
  <c r="EI56" i="180" s="1"/>
  <c r="CK56" i="180"/>
  <c r="EK56" i="180" s="1"/>
  <c r="EL56" i="180" s="1"/>
  <c r="EM56" i="180" s="1"/>
  <c r="CJ56" i="180"/>
  <c r="CI56" i="180"/>
  <c r="CH56" i="180"/>
  <c r="CG56" i="180"/>
  <c r="CF56" i="180"/>
  <c r="CW56" i="180" s="1"/>
  <c r="CE56" i="180"/>
  <c r="CD56" i="180"/>
  <c r="CC56" i="180"/>
  <c r="EF56" i="180" s="1"/>
  <c r="CB56" i="180"/>
  <c r="GI55" i="180"/>
  <c r="BE15" i="180" s="1"/>
  <c r="GH55" i="180"/>
  <c r="GG55" i="180"/>
  <c r="AW15" i="180" s="1"/>
  <c r="GF55" i="180"/>
  <c r="GE55" i="180"/>
  <c r="GD55" i="180"/>
  <c r="FS55" i="180"/>
  <c r="FN55" i="180" s="1"/>
  <c r="FW55" i="180" s="1"/>
  <c r="FV55" i="180" s="1"/>
  <c r="FM55" i="180"/>
  <c r="FJ55" i="180"/>
  <c r="FD55" i="180"/>
  <c r="FC55" i="180"/>
  <c r="EX55" i="180"/>
  <c r="EW55" i="180"/>
  <c r="EJ55" i="180"/>
  <c r="EI55" i="180"/>
  <c r="ED55" i="180"/>
  <c r="EB55" i="180"/>
  <c r="EA55" i="180"/>
  <c r="DZ55" i="180"/>
  <c r="DJ55" i="180"/>
  <c r="DI55" i="180"/>
  <c r="DH55" i="180"/>
  <c r="DG55" i="180"/>
  <c r="DE55" i="180"/>
  <c r="CY55" i="180"/>
  <c r="CU55" i="180"/>
  <c r="CT55" i="180"/>
  <c r="EP55" i="180" s="1"/>
  <c r="CS55" i="180"/>
  <c r="CR55" i="180"/>
  <c r="CQ55" i="180"/>
  <c r="CP55" i="180"/>
  <c r="CO55" i="180"/>
  <c r="FE55" i="180" s="1"/>
  <c r="CN55" i="180"/>
  <c r="CM55" i="180"/>
  <c r="CL55" i="180"/>
  <c r="EH55" i="180" s="1"/>
  <c r="CK55" i="180"/>
  <c r="EK55" i="180" s="1"/>
  <c r="CJ55" i="180"/>
  <c r="CI55" i="180"/>
  <c r="CH55" i="180"/>
  <c r="CG55" i="180"/>
  <c r="FB55" i="180" s="1"/>
  <c r="CF55" i="180"/>
  <c r="EO55" i="180" s="1"/>
  <c r="CE55" i="180"/>
  <c r="CD55" i="180"/>
  <c r="DB55" i="180" s="1"/>
  <c r="CC55" i="180"/>
  <c r="EE55" i="180" s="1"/>
  <c r="EG55" i="180" s="1"/>
  <c r="DL55" i="180" s="1"/>
  <c r="CB55" i="180"/>
  <c r="GI54" i="180"/>
  <c r="BD14" i="180" s="1"/>
  <c r="FI54" i="180" s="1"/>
  <c r="GH54" i="180"/>
  <c r="GG54" i="180"/>
  <c r="AW14" i="180" s="1"/>
  <c r="GF54" i="180"/>
  <c r="AS14" i="180" s="1"/>
  <c r="GE54" i="180"/>
  <c r="GD54" i="180"/>
  <c r="GB54" i="180"/>
  <c r="GA54" i="180"/>
  <c r="FY54" i="180"/>
  <c r="FZ54" i="180" s="1"/>
  <c r="FX54" i="180"/>
  <c r="FW54" i="180"/>
  <c r="FV54" i="180" s="1"/>
  <c r="FU54" i="180"/>
  <c r="FT54" i="180"/>
  <c r="FS54" i="180"/>
  <c r="FR54" i="180"/>
  <c r="FQ54" i="180"/>
  <c r="FP54" i="180"/>
  <c r="FO54" i="180"/>
  <c r="FN54" i="180"/>
  <c r="FM54" i="180"/>
  <c r="FK54" i="180"/>
  <c r="FK55" i="180" s="1"/>
  <c r="FE54" i="180"/>
  <c r="FD54" i="180"/>
  <c r="FC54" i="180"/>
  <c r="EX54" i="180"/>
  <c r="EO54" i="180"/>
  <c r="EK54" i="180"/>
  <c r="EL54" i="180" s="1"/>
  <c r="EM54" i="180" s="1"/>
  <c r="ED54" i="180"/>
  <c r="EB54" i="180"/>
  <c r="EA54" i="180"/>
  <c r="DJ54" i="180"/>
  <c r="DI54" i="180"/>
  <c r="DH54" i="180"/>
  <c r="DG54" i="180"/>
  <c r="DE54" i="180"/>
  <c r="DD54" i="180"/>
  <c r="DA54" i="180"/>
  <c r="CY54" i="180"/>
  <c r="CX54" i="180"/>
  <c r="CW54" i="180"/>
  <c r="CU54" i="180"/>
  <c r="CT54" i="180"/>
  <c r="EP54" i="180" s="1"/>
  <c r="CS54" i="180"/>
  <c r="EW54" i="180" s="1"/>
  <c r="CR54" i="180"/>
  <c r="CQ54" i="180"/>
  <c r="CP54" i="180"/>
  <c r="CO54" i="180"/>
  <c r="ET54" i="180" s="1"/>
  <c r="CN54" i="180"/>
  <c r="CM54" i="180"/>
  <c r="CL54" i="180"/>
  <c r="EI54" i="180" s="1"/>
  <c r="CK54" i="180"/>
  <c r="CJ54" i="180"/>
  <c r="CI54" i="180"/>
  <c r="CH54" i="180"/>
  <c r="CG54" i="180"/>
  <c r="FB54" i="180" s="1"/>
  <c r="CF54" i="180"/>
  <c r="CE54" i="180"/>
  <c r="CD54" i="180"/>
  <c r="DC54" i="180" s="1"/>
  <c r="CC54" i="180"/>
  <c r="EF54" i="180" s="1"/>
  <c r="CB54" i="180"/>
  <c r="IU48" i="180"/>
  <c r="HP48" i="180" s="1"/>
  <c r="IK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D48" i="180"/>
  <c r="GC48" i="180"/>
  <c r="GB48" i="180"/>
  <c r="GA48" i="180"/>
  <c r="EZ45" i="180"/>
  <c r="EU45" i="180"/>
  <c r="ET45" i="180"/>
  <c r="EQ45" i="180" s="1"/>
  <c r="ES45" i="180"/>
  <c r="ER45" i="180"/>
  <c r="EO45" i="180"/>
  <c r="EM45" i="180"/>
  <c r="BQ45" i="180"/>
  <c r="BO45" i="180"/>
  <c r="BM45" i="180"/>
  <c r="BG45" i="180"/>
  <c r="BF45" i="180"/>
  <c r="BC45" i="180"/>
  <c r="BB45" i="180"/>
  <c r="BA45" i="180"/>
  <c r="AZ45" i="180"/>
  <c r="FH85" i="180" s="1"/>
  <c r="AY45" i="180"/>
  <c r="AX45" i="180"/>
  <c r="AU45" i="180"/>
  <c r="AT45" i="180"/>
  <c r="AS45" i="180"/>
  <c r="AR45" i="180"/>
  <c r="FF85" i="180" s="1"/>
  <c r="AO45" i="180"/>
  <c r="AN45" i="180"/>
  <c r="AM45" i="180"/>
  <c r="AL45" i="180"/>
  <c r="AK45" i="180"/>
  <c r="AC45" i="180"/>
  <c r="AB45" i="180"/>
  <c r="AA45" i="180"/>
  <c r="V45" i="180"/>
  <c r="U45" i="180"/>
  <c r="BV45" i="180" s="1"/>
  <c r="P45" i="180"/>
  <c r="O45" i="180"/>
  <c r="N45" i="180"/>
  <c r="M45" i="180"/>
  <c r="H45" i="180"/>
  <c r="F45" i="180"/>
  <c r="E45" i="180"/>
  <c r="D45" i="180"/>
  <c r="GK45" i="180" s="1"/>
  <c r="C45" i="180"/>
  <c r="BN45" i="180" s="1"/>
  <c r="A45" i="180"/>
  <c r="GF45" i="180" s="1"/>
  <c r="EZ44" i="180"/>
  <c r="EY44" i="180"/>
  <c r="EU44" i="180"/>
  <c r="ET44" i="180"/>
  <c r="EQ44" i="180" s="1"/>
  <c r="ES44" i="180"/>
  <c r="ER44" i="180"/>
  <c r="EM44" i="180"/>
  <c r="BU44" i="180"/>
  <c r="BO44" i="180"/>
  <c r="BG44" i="180"/>
  <c r="BF44" i="180"/>
  <c r="BC44" i="180"/>
  <c r="BB44" i="180"/>
  <c r="AY44" i="180"/>
  <c r="AX44" i="180"/>
  <c r="AW44" i="180"/>
  <c r="AV44" i="180"/>
  <c r="FG84" i="180" s="1"/>
  <c r="AU44" i="180"/>
  <c r="AT44" i="180"/>
  <c r="AS44" i="180"/>
  <c r="AQ44" i="180"/>
  <c r="AO44" i="180"/>
  <c r="AN44" i="180"/>
  <c r="AM44" i="180"/>
  <c r="AL44" i="180"/>
  <c r="AK44" i="180"/>
  <c r="AC44" i="180"/>
  <c r="AB44" i="180"/>
  <c r="AA44" i="180"/>
  <c r="R44" i="180"/>
  <c r="Q44" i="180"/>
  <c r="P44" i="180"/>
  <c r="O44" i="180"/>
  <c r="M44" i="180"/>
  <c r="L44" i="180"/>
  <c r="K44" i="180"/>
  <c r="J44" i="180"/>
  <c r="F44" i="180"/>
  <c r="C44" i="180"/>
  <c r="BN44" i="180" s="1"/>
  <c r="A44" i="180"/>
  <c r="BJ44" i="180" s="1"/>
  <c r="EU43" i="180"/>
  <c r="ET43" i="180"/>
  <c r="EQ43" i="180" s="1"/>
  <c r="ES43" i="180"/>
  <c r="ER43" i="180"/>
  <c r="EM43" i="180"/>
  <c r="BP43" i="180"/>
  <c r="BO43" i="180"/>
  <c r="BG43" i="180"/>
  <c r="BF43" i="180"/>
  <c r="BE43" i="180"/>
  <c r="BC43" i="180"/>
  <c r="BB43" i="180"/>
  <c r="AZ43" i="180"/>
  <c r="FH83" i="180" s="1"/>
  <c r="AY43" i="180"/>
  <c r="AX43" i="180"/>
  <c r="AV43" i="180"/>
  <c r="FG83" i="180" s="1"/>
  <c r="AU43" i="180"/>
  <c r="AT43" i="180"/>
  <c r="AS43" i="180"/>
  <c r="AR43" i="180"/>
  <c r="FF83" i="180" s="1"/>
  <c r="AP43" i="180"/>
  <c r="AO43" i="180"/>
  <c r="AN43" i="180"/>
  <c r="AM43" i="180"/>
  <c r="AL43" i="180"/>
  <c r="AK43" i="180"/>
  <c r="AC43" i="180"/>
  <c r="AB43" i="180"/>
  <c r="AA43" i="180"/>
  <c r="R43" i="180"/>
  <c r="Q43" i="180"/>
  <c r="L43" i="180"/>
  <c r="BU43" i="180" s="1"/>
  <c r="K43" i="180"/>
  <c r="J43" i="180"/>
  <c r="F43" i="180"/>
  <c r="E43" i="180"/>
  <c r="D43" i="180"/>
  <c r="GK43" i="180" s="1"/>
  <c r="C43" i="180"/>
  <c r="BQ43" i="180" s="1"/>
  <c r="A43" i="180"/>
  <c r="GF43" i="180" s="1"/>
  <c r="GF42" i="180"/>
  <c r="GB42" i="180" s="1"/>
  <c r="GC42" i="180"/>
  <c r="EY42" i="180"/>
  <c r="EU42" i="180"/>
  <c r="ET42" i="180"/>
  <c r="EQ42" i="180" s="1"/>
  <c r="ES42" i="180"/>
  <c r="ER42" i="180"/>
  <c r="EM42" i="180"/>
  <c r="BU42" i="180"/>
  <c r="BQ42" i="180"/>
  <c r="BO42" i="180"/>
  <c r="BG42" i="180"/>
  <c r="BF42" i="180"/>
  <c r="BE42" i="180"/>
  <c r="BC42" i="180"/>
  <c r="BB42" i="180"/>
  <c r="AZ42" i="180"/>
  <c r="FH82" i="180" s="1"/>
  <c r="AY42" i="180"/>
  <c r="AX42" i="180"/>
  <c r="AW42" i="180"/>
  <c r="AV42" i="180"/>
  <c r="FG82" i="180" s="1"/>
  <c r="AU42" i="180"/>
  <c r="AT42" i="180"/>
  <c r="AS42" i="180"/>
  <c r="AR42" i="180"/>
  <c r="FF82" i="180" s="1"/>
  <c r="AP42" i="180"/>
  <c r="AO42" i="180"/>
  <c r="AN42" i="180"/>
  <c r="AM42" i="180"/>
  <c r="AL42" i="180"/>
  <c r="AK42" i="180"/>
  <c r="AC42" i="180"/>
  <c r="AB42" i="180"/>
  <c r="AA42" i="180"/>
  <c r="BJ42" i="180"/>
  <c r="R42" i="180"/>
  <c r="Q42" i="180"/>
  <c r="P42" i="180"/>
  <c r="O42" i="180"/>
  <c r="M42" i="180"/>
  <c r="L42" i="180"/>
  <c r="K42" i="180"/>
  <c r="J42" i="180"/>
  <c r="F42" i="180"/>
  <c r="C42" i="180"/>
  <c r="BP42" i="180" s="1"/>
  <c r="B48" i="180"/>
  <c r="A42" i="180"/>
  <c r="GK41" i="180"/>
  <c r="GF41" i="180"/>
  <c r="GE41" i="180" s="1"/>
  <c r="GD41" i="180"/>
  <c r="GC41" i="180"/>
  <c r="EU41" i="180"/>
  <c r="ET41" i="180"/>
  <c r="EQ41" i="180" s="1"/>
  <c r="ES41" i="180"/>
  <c r="ER41" i="180"/>
  <c r="EM41" i="180"/>
  <c r="BJ41" i="180"/>
  <c r="BG41" i="180"/>
  <c r="BF41" i="180"/>
  <c r="BE41" i="180"/>
  <c r="BD41" i="180"/>
  <c r="FI81" i="180" s="1"/>
  <c r="BC41" i="180"/>
  <c r="BB41" i="180"/>
  <c r="BA41" i="180"/>
  <c r="AY41" i="180"/>
  <c r="AX41" i="180"/>
  <c r="AW41" i="180"/>
  <c r="AV41" i="180"/>
  <c r="FG81" i="180" s="1"/>
  <c r="AU41" i="180"/>
  <c r="AT41" i="180"/>
  <c r="AS41" i="180"/>
  <c r="AQ41" i="180"/>
  <c r="AP41" i="180"/>
  <c r="AO41" i="180"/>
  <c r="AN41" i="180"/>
  <c r="AM41" i="180"/>
  <c r="AL41" i="180"/>
  <c r="AK41" i="180"/>
  <c r="AC41" i="180"/>
  <c r="AB41" i="180"/>
  <c r="AA41" i="180"/>
  <c r="P41" i="180"/>
  <c r="O41" i="180"/>
  <c r="N41" i="180"/>
  <c r="M41" i="180"/>
  <c r="L41" i="180"/>
  <c r="BU41" i="180" s="1"/>
  <c r="K41" i="180"/>
  <c r="J41" i="180"/>
  <c r="F41" i="180"/>
  <c r="E41" i="180"/>
  <c r="D41" i="180"/>
  <c r="C41" i="180"/>
  <c r="BQ41" i="180" s="1"/>
  <c r="A41" i="180"/>
  <c r="GF40" i="180"/>
  <c r="GD40" i="180" s="1"/>
  <c r="GE40" i="180"/>
  <c r="GC40" i="180"/>
  <c r="EU40" i="180"/>
  <c r="ET40" i="180"/>
  <c r="ES40" i="180"/>
  <c r="ER40" i="180"/>
  <c r="EM40" i="180"/>
  <c r="BQ40" i="180"/>
  <c r="BN40" i="180"/>
  <c r="BM40" i="180"/>
  <c r="BJ40" i="180"/>
  <c r="BG40" i="180"/>
  <c r="BF40" i="180"/>
  <c r="BC40" i="180"/>
  <c r="BB40" i="180"/>
  <c r="AY40" i="180"/>
  <c r="AX40" i="180"/>
  <c r="AW40" i="180"/>
  <c r="AV40" i="180"/>
  <c r="FG80" i="180" s="1"/>
  <c r="AU40" i="180"/>
  <c r="AT40" i="180"/>
  <c r="AS40" i="180"/>
  <c r="AR40" i="180"/>
  <c r="FF80" i="180" s="1"/>
  <c r="AP40" i="180"/>
  <c r="AO40" i="180"/>
  <c r="AN40" i="180"/>
  <c r="AM40" i="180"/>
  <c r="AL40" i="180"/>
  <c r="AK40" i="180"/>
  <c r="AC40" i="180"/>
  <c r="AB40" i="180"/>
  <c r="AA40" i="180"/>
  <c r="R40" i="180"/>
  <c r="Q40" i="180"/>
  <c r="P40" i="180"/>
  <c r="O40" i="180"/>
  <c r="N40" i="180"/>
  <c r="M40" i="180"/>
  <c r="L40" i="180"/>
  <c r="BU40" i="180" s="1"/>
  <c r="K40" i="180"/>
  <c r="J40" i="180"/>
  <c r="I40" i="180"/>
  <c r="BS40" i="180" s="1"/>
  <c r="H40" i="180"/>
  <c r="F40" i="180"/>
  <c r="C40" i="180"/>
  <c r="BP40" i="180" s="1"/>
  <c r="A40" i="180"/>
  <c r="GF39" i="180"/>
  <c r="GE39" i="180" s="1"/>
  <c r="EZ39" i="180"/>
  <c r="EU39" i="180"/>
  <c r="ET39" i="180"/>
  <c r="EQ39" i="180" s="1"/>
  <c r="ES39" i="180"/>
  <c r="ER39" i="180"/>
  <c r="EM39" i="180"/>
  <c r="BP39" i="180"/>
  <c r="BO39" i="180"/>
  <c r="BM39" i="180"/>
  <c r="BG39" i="180"/>
  <c r="BF39" i="180"/>
  <c r="BC39" i="180"/>
  <c r="BB39" i="180"/>
  <c r="AY39" i="180"/>
  <c r="AX39" i="180"/>
  <c r="AW39" i="180"/>
  <c r="AV39" i="180"/>
  <c r="FG79" i="180" s="1"/>
  <c r="AU39" i="180"/>
  <c r="AT39" i="180"/>
  <c r="AR39" i="180"/>
  <c r="FF79" i="180" s="1"/>
  <c r="AQ39" i="180"/>
  <c r="AP39" i="180"/>
  <c r="AO39" i="180"/>
  <c r="AN39" i="180"/>
  <c r="AM39" i="180"/>
  <c r="AL39" i="180"/>
  <c r="AK39" i="180"/>
  <c r="AC39" i="180"/>
  <c r="AB39" i="180"/>
  <c r="AA39" i="180"/>
  <c r="P39" i="180"/>
  <c r="O39" i="180"/>
  <c r="L39" i="180"/>
  <c r="BU39" i="180" s="1"/>
  <c r="K39" i="180"/>
  <c r="J39" i="180"/>
  <c r="I39" i="180"/>
  <c r="BS39" i="180" s="1"/>
  <c r="F39" i="180"/>
  <c r="E39" i="180"/>
  <c r="D39" i="180"/>
  <c r="GK39" i="180" s="1"/>
  <c r="C39" i="180"/>
  <c r="BQ39" i="180" s="1"/>
  <c r="A39" i="180"/>
  <c r="BJ39" i="180" s="1"/>
  <c r="EZ38" i="180"/>
  <c r="EY38" i="180"/>
  <c r="EU38" i="180"/>
  <c r="ET38" i="180"/>
  <c r="ES38" i="180"/>
  <c r="ER38" i="180"/>
  <c r="EM38" i="180"/>
  <c r="BU38" i="180"/>
  <c r="BP38" i="180"/>
  <c r="BO38" i="180"/>
  <c r="BM38" i="180"/>
  <c r="BG38" i="180"/>
  <c r="BF38" i="180"/>
  <c r="BC38" i="180"/>
  <c r="BB38" i="180"/>
  <c r="BA38" i="180"/>
  <c r="AZ38" i="180"/>
  <c r="FH78" i="180" s="1"/>
  <c r="AY38" i="180"/>
  <c r="AX38" i="180"/>
  <c r="AW38" i="180"/>
  <c r="AV38" i="180"/>
  <c r="FG78" i="180" s="1"/>
  <c r="AU38" i="180"/>
  <c r="AT38" i="180"/>
  <c r="AO38" i="180"/>
  <c r="AN38" i="180"/>
  <c r="AM38" i="180"/>
  <c r="AL38" i="180"/>
  <c r="AK38" i="180"/>
  <c r="AC38" i="180"/>
  <c r="AB38" i="180"/>
  <c r="FQ38" i="180" s="1"/>
  <c r="AA38" i="180"/>
  <c r="R38" i="180"/>
  <c r="Q38" i="180"/>
  <c r="P38" i="180"/>
  <c r="O38" i="180"/>
  <c r="N38" i="180"/>
  <c r="L38" i="180"/>
  <c r="K38" i="180"/>
  <c r="J38" i="180"/>
  <c r="F38" i="180"/>
  <c r="C38" i="180"/>
  <c r="BQ38" i="180" s="1"/>
  <c r="A38" i="180"/>
  <c r="GF38" i="180" s="1"/>
  <c r="GF37" i="180"/>
  <c r="GE37" i="180" s="1"/>
  <c r="GD37" i="180"/>
  <c r="GC37" i="180"/>
  <c r="GA37" i="180"/>
  <c r="EZ37" i="180"/>
  <c r="EY37" i="180"/>
  <c r="EU37" i="180"/>
  <c r="ET37" i="180"/>
  <c r="EQ37" i="180" s="1"/>
  <c r="ES37" i="180"/>
  <c r="ER37" i="180"/>
  <c r="EM37" i="180"/>
  <c r="BU37" i="180"/>
  <c r="BQ37" i="180"/>
  <c r="BN37" i="180"/>
  <c r="BG37" i="180"/>
  <c r="BF37" i="180"/>
  <c r="BD37" i="180"/>
  <c r="FI77" i="180" s="1"/>
  <c r="BC37" i="180"/>
  <c r="BB37" i="180"/>
  <c r="BA37" i="180"/>
  <c r="AZ37" i="180"/>
  <c r="FH77" i="180" s="1"/>
  <c r="AY37" i="180"/>
  <c r="AX37" i="180"/>
  <c r="AU37" i="180"/>
  <c r="AT37" i="180"/>
  <c r="AQ37" i="180"/>
  <c r="AP37" i="180"/>
  <c r="AO37" i="180"/>
  <c r="AN37" i="180"/>
  <c r="AM37" i="180"/>
  <c r="AL37" i="180"/>
  <c r="AK37" i="180"/>
  <c r="AC37" i="180"/>
  <c r="AB37" i="180"/>
  <c r="AA37" i="180"/>
  <c r="R37" i="180"/>
  <c r="Q37" i="180"/>
  <c r="P37" i="180"/>
  <c r="O37" i="180"/>
  <c r="N37" i="180"/>
  <c r="L37" i="180"/>
  <c r="K37" i="180"/>
  <c r="J37" i="180"/>
  <c r="F37" i="180"/>
  <c r="C37" i="180"/>
  <c r="BM37" i="180" s="1"/>
  <c r="A37" i="180"/>
  <c r="BJ37" i="180" s="1"/>
  <c r="GK36" i="180"/>
  <c r="EY36" i="180"/>
  <c r="EU36" i="180"/>
  <c r="ET36" i="180"/>
  <c r="EQ36" i="180" s="1"/>
  <c r="ES36" i="180"/>
  <c r="ER36" i="180"/>
  <c r="EM36" i="180"/>
  <c r="BU36" i="180"/>
  <c r="BQ36" i="180"/>
  <c r="BO36" i="180"/>
  <c r="BN36" i="180"/>
  <c r="BJ36" i="180"/>
  <c r="BG36" i="180"/>
  <c r="BF36" i="180"/>
  <c r="BE36" i="180"/>
  <c r="BC36" i="180"/>
  <c r="BB36" i="180"/>
  <c r="BA36" i="180"/>
  <c r="AZ36" i="180"/>
  <c r="FH76" i="180" s="1"/>
  <c r="AY36" i="180"/>
  <c r="AX36" i="180"/>
  <c r="AU36" i="180"/>
  <c r="AT36" i="180"/>
  <c r="AQ36" i="180"/>
  <c r="AP36" i="180"/>
  <c r="AO36" i="180"/>
  <c r="AN36" i="180"/>
  <c r="AM36" i="180"/>
  <c r="AL36" i="180"/>
  <c r="AK36" i="180"/>
  <c r="AC36" i="180"/>
  <c r="AB36" i="180"/>
  <c r="EZ36" i="180" s="1"/>
  <c r="AA36" i="180"/>
  <c r="R36" i="180"/>
  <c r="Q36" i="180"/>
  <c r="P36" i="180"/>
  <c r="O36" i="180"/>
  <c r="N36" i="180"/>
  <c r="L36" i="180"/>
  <c r="K36" i="180"/>
  <c r="J36" i="180"/>
  <c r="I36" i="180"/>
  <c r="BS36" i="180" s="1"/>
  <c r="H36" i="180"/>
  <c r="G36" i="180"/>
  <c r="F36" i="180"/>
  <c r="E36" i="180"/>
  <c r="D36" i="180"/>
  <c r="C36" i="180"/>
  <c r="BP36" i="180" s="1"/>
  <c r="A36" i="180"/>
  <c r="GF36" i="180" s="1"/>
  <c r="EU35" i="180"/>
  <c r="ET35" i="180"/>
  <c r="ES35" i="180"/>
  <c r="ER35" i="180"/>
  <c r="EM35" i="180"/>
  <c r="BQ35" i="180"/>
  <c r="BP35" i="180"/>
  <c r="BO35" i="180"/>
  <c r="BN35" i="180"/>
  <c r="BG35" i="180"/>
  <c r="BF35" i="180"/>
  <c r="BE35" i="180"/>
  <c r="BD35" i="180"/>
  <c r="FI75" i="180" s="1"/>
  <c r="BC35" i="180"/>
  <c r="BB35" i="180"/>
  <c r="BA35" i="180"/>
  <c r="AZ35" i="180"/>
  <c r="FH75" i="180" s="1"/>
  <c r="AY35" i="180"/>
  <c r="AX35" i="180"/>
  <c r="AW35" i="180"/>
  <c r="AV35" i="180"/>
  <c r="FG75" i="180" s="1"/>
  <c r="AU35" i="180"/>
  <c r="AT35" i="180"/>
  <c r="AS35" i="180"/>
  <c r="AR35" i="180"/>
  <c r="FF75" i="180" s="1"/>
  <c r="AO35" i="180"/>
  <c r="AN35" i="180"/>
  <c r="AM35" i="180"/>
  <c r="AL35" i="180"/>
  <c r="AK35" i="180"/>
  <c r="AC35" i="180"/>
  <c r="AB35" i="180"/>
  <c r="EZ35" i="180" s="1"/>
  <c r="AA35" i="180"/>
  <c r="R35" i="180"/>
  <c r="Q35" i="180"/>
  <c r="P35" i="180"/>
  <c r="O35" i="180"/>
  <c r="N35" i="180"/>
  <c r="M35" i="180"/>
  <c r="L35" i="180"/>
  <c r="BU35" i="180" s="1"/>
  <c r="K35" i="180"/>
  <c r="J35" i="180"/>
  <c r="H35" i="180"/>
  <c r="F35" i="180"/>
  <c r="E35" i="180"/>
  <c r="D35" i="180"/>
  <c r="GK35" i="180" s="1"/>
  <c r="C35" i="180"/>
  <c r="BM35" i="180" s="1"/>
  <c r="A35" i="180"/>
  <c r="EU34" i="180"/>
  <c r="ET34" i="180"/>
  <c r="ES34" i="180"/>
  <c r="ER34" i="180"/>
  <c r="EM34" i="180"/>
  <c r="BQ34" i="180"/>
  <c r="BP34" i="180"/>
  <c r="BO34" i="180"/>
  <c r="BM34" i="180"/>
  <c r="BG34" i="180"/>
  <c r="BF34" i="180"/>
  <c r="BC34" i="180"/>
  <c r="BB34" i="180"/>
  <c r="BA34" i="180"/>
  <c r="AZ34" i="180"/>
  <c r="FH74" i="180" s="1"/>
  <c r="AY34" i="180"/>
  <c r="AX34" i="180"/>
  <c r="AW34" i="180"/>
  <c r="AU34" i="180"/>
  <c r="AT34" i="180"/>
  <c r="AS34" i="180"/>
  <c r="AR34" i="180"/>
  <c r="FF74" i="180" s="1"/>
  <c r="AO34" i="180"/>
  <c r="AN34" i="180"/>
  <c r="AM34" i="180"/>
  <c r="AL34" i="180"/>
  <c r="AK34" i="180"/>
  <c r="AC34" i="180"/>
  <c r="AB34" i="180"/>
  <c r="EZ34" i="180" s="1"/>
  <c r="AA34" i="180"/>
  <c r="R34" i="180"/>
  <c r="Q34" i="180"/>
  <c r="P34" i="180"/>
  <c r="O34" i="180"/>
  <c r="N34" i="180"/>
  <c r="M34" i="180"/>
  <c r="L34" i="180"/>
  <c r="BU34" i="180" s="1"/>
  <c r="K34" i="180"/>
  <c r="J34" i="180"/>
  <c r="I34" i="180"/>
  <c r="BS34" i="180" s="1"/>
  <c r="H34" i="180"/>
  <c r="G34" i="180"/>
  <c r="F34" i="180"/>
  <c r="C34" i="180"/>
  <c r="BN34" i="180" s="1"/>
  <c r="A34" i="180"/>
  <c r="GF34" i="180" s="1"/>
  <c r="EZ33" i="180"/>
  <c r="EY33" i="180"/>
  <c r="EU33" i="180"/>
  <c r="ET33" i="180"/>
  <c r="EQ33" i="180" s="1"/>
  <c r="ES33" i="180"/>
  <c r="ER33" i="180"/>
  <c r="EM33" i="180"/>
  <c r="BG33" i="180"/>
  <c r="BF33" i="180"/>
  <c r="BD33" i="180"/>
  <c r="FI73" i="180" s="1"/>
  <c r="BC33" i="180"/>
  <c r="BB33" i="180"/>
  <c r="BA33" i="180"/>
  <c r="AZ33" i="180"/>
  <c r="FH73" i="180" s="1"/>
  <c r="AY33" i="180"/>
  <c r="AX33" i="180"/>
  <c r="AW33" i="180"/>
  <c r="AU33" i="180"/>
  <c r="AT33" i="180"/>
  <c r="AR33" i="180"/>
  <c r="FF73" i="180" s="1"/>
  <c r="AO33" i="180"/>
  <c r="AN33" i="180"/>
  <c r="AM33" i="180"/>
  <c r="AL33" i="180"/>
  <c r="AK33" i="180"/>
  <c r="AC33" i="180"/>
  <c r="AB33" i="180"/>
  <c r="AA33" i="180"/>
  <c r="R33" i="180"/>
  <c r="Q33" i="180"/>
  <c r="P33" i="180"/>
  <c r="O33" i="180"/>
  <c r="I33" i="180"/>
  <c r="BS33" i="180" s="1"/>
  <c r="F33" i="180"/>
  <c r="C33" i="180"/>
  <c r="A33" i="180"/>
  <c r="EU32" i="180"/>
  <c r="EQ32" i="180" s="1"/>
  <c r="ET32" i="180"/>
  <c r="ES32" i="180"/>
  <c r="ER32" i="180"/>
  <c r="EM32" i="180"/>
  <c r="BO32" i="180"/>
  <c r="BN32" i="180"/>
  <c r="BJ32" i="180"/>
  <c r="BG32" i="180"/>
  <c r="BF32" i="180"/>
  <c r="BE32" i="180"/>
  <c r="BC32" i="180"/>
  <c r="BB32" i="180"/>
  <c r="BA32" i="180"/>
  <c r="AZ32" i="180"/>
  <c r="FH72" i="180" s="1"/>
  <c r="AY32" i="180"/>
  <c r="AX32" i="180"/>
  <c r="AW32" i="180"/>
  <c r="AU32" i="180"/>
  <c r="AT32" i="180"/>
  <c r="AR32" i="180"/>
  <c r="FF72" i="180" s="1"/>
  <c r="AO32" i="180"/>
  <c r="AN32" i="180"/>
  <c r="AM32" i="180"/>
  <c r="AL32" i="180"/>
  <c r="AK32" i="180"/>
  <c r="AC32" i="180"/>
  <c r="AB32" i="180"/>
  <c r="AA32" i="180"/>
  <c r="R32" i="180"/>
  <c r="Q32" i="180"/>
  <c r="P32" i="180"/>
  <c r="O32" i="180"/>
  <c r="L32" i="180"/>
  <c r="BU32" i="180" s="1"/>
  <c r="K32" i="180"/>
  <c r="J32" i="180"/>
  <c r="I32" i="180"/>
  <c r="BS32" i="180" s="1"/>
  <c r="H32" i="180"/>
  <c r="F32" i="180"/>
  <c r="C32" i="180"/>
  <c r="BQ32" i="180" s="1"/>
  <c r="A32" i="180"/>
  <c r="GF32" i="180" s="1"/>
  <c r="GF31" i="180"/>
  <c r="EU31" i="180"/>
  <c r="ET31" i="180"/>
  <c r="EQ31" i="180" s="1"/>
  <c r="ES31" i="180"/>
  <c r="ER31" i="180"/>
  <c r="EM31" i="180"/>
  <c r="BJ31" i="180"/>
  <c r="BG31" i="180"/>
  <c r="BF31" i="180"/>
  <c r="BC31" i="180"/>
  <c r="BB31" i="180"/>
  <c r="AY31" i="180"/>
  <c r="AX31" i="180"/>
  <c r="AU31" i="180"/>
  <c r="AT31" i="180"/>
  <c r="AS31" i="180"/>
  <c r="AR31" i="180"/>
  <c r="FF71" i="180" s="1"/>
  <c r="AP31" i="180"/>
  <c r="AO31" i="180"/>
  <c r="AN31" i="180"/>
  <c r="AM31" i="180"/>
  <c r="AL31" i="180"/>
  <c r="AK31" i="180"/>
  <c r="AC31" i="180"/>
  <c r="AB31" i="180"/>
  <c r="EZ31" i="180" s="1"/>
  <c r="AA31" i="180"/>
  <c r="R31" i="180"/>
  <c r="Q31" i="180"/>
  <c r="P31" i="180"/>
  <c r="O31" i="180"/>
  <c r="M31" i="180"/>
  <c r="L31" i="180"/>
  <c r="BU31" i="180" s="1"/>
  <c r="K31" i="180"/>
  <c r="J31" i="180"/>
  <c r="G31" i="180"/>
  <c r="F31" i="180"/>
  <c r="C31" i="180"/>
  <c r="BQ31" i="180" s="1"/>
  <c r="A31" i="180"/>
  <c r="GK30" i="180"/>
  <c r="GF30" i="180"/>
  <c r="GB30" i="180" s="1"/>
  <c r="EU30" i="180"/>
  <c r="EQ30" i="180" s="1"/>
  <c r="ET30" i="180"/>
  <c r="ES30" i="180"/>
  <c r="ER30" i="180"/>
  <c r="EM30" i="180"/>
  <c r="BQ30" i="180"/>
  <c r="BP30" i="180"/>
  <c r="BO30" i="180"/>
  <c r="BN30" i="180"/>
  <c r="BM30" i="180"/>
  <c r="BR30" i="180" s="1"/>
  <c r="BG30" i="180"/>
  <c r="BF30" i="180"/>
  <c r="BD30" i="180"/>
  <c r="FI70" i="180" s="1"/>
  <c r="BC30" i="180"/>
  <c r="BB30" i="180"/>
  <c r="AY30" i="180"/>
  <c r="AX30" i="180"/>
  <c r="AV30" i="180"/>
  <c r="FG70" i="180" s="1"/>
  <c r="AU30" i="180"/>
  <c r="AT30" i="180"/>
  <c r="AQ30" i="180"/>
  <c r="AP30" i="180"/>
  <c r="AO30" i="180"/>
  <c r="AN30" i="180"/>
  <c r="AM30" i="180"/>
  <c r="AL30" i="180"/>
  <c r="AK30" i="180"/>
  <c r="AC30" i="180"/>
  <c r="AB30" i="180"/>
  <c r="AA30" i="180"/>
  <c r="N30" i="180"/>
  <c r="L30" i="180"/>
  <c r="BU30" i="180" s="1"/>
  <c r="K30" i="180"/>
  <c r="J30" i="180"/>
  <c r="I30" i="180"/>
  <c r="BS30" i="180" s="1"/>
  <c r="H30" i="180"/>
  <c r="G30" i="180"/>
  <c r="F30" i="180"/>
  <c r="E30" i="180"/>
  <c r="D30" i="180"/>
  <c r="C30" i="180"/>
  <c r="A30" i="180"/>
  <c r="BJ30" i="180" s="1"/>
  <c r="GF29" i="180"/>
  <c r="GE29" i="180" s="1"/>
  <c r="EZ29" i="180"/>
  <c r="EY29" i="180"/>
  <c r="EU29" i="180"/>
  <c r="ET29" i="180"/>
  <c r="EQ29" i="180" s="1"/>
  <c r="ES29" i="180"/>
  <c r="ER29" i="180"/>
  <c r="EM29" i="180"/>
  <c r="BU29" i="180"/>
  <c r="BQ29" i="180"/>
  <c r="BP29" i="180"/>
  <c r="BN29" i="180"/>
  <c r="BM29" i="180"/>
  <c r="BG29" i="180"/>
  <c r="BF29" i="180"/>
  <c r="BE29" i="180"/>
  <c r="BD29" i="180"/>
  <c r="FI69" i="180" s="1"/>
  <c r="BC29" i="180"/>
  <c r="BB29" i="180"/>
  <c r="AY29" i="180"/>
  <c r="AX29" i="180"/>
  <c r="AW29" i="180"/>
  <c r="AV29" i="180"/>
  <c r="FG69" i="180" s="1"/>
  <c r="AU29" i="180"/>
  <c r="AT29" i="180"/>
  <c r="AS29" i="180"/>
  <c r="AO29" i="180"/>
  <c r="AN29" i="180"/>
  <c r="AM29" i="180"/>
  <c r="AL29" i="180"/>
  <c r="AK29" i="180"/>
  <c r="AC29" i="180"/>
  <c r="AB29" i="180"/>
  <c r="AA29" i="180"/>
  <c r="R29" i="180"/>
  <c r="Q29" i="180"/>
  <c r="P29" i="180"/>
  <c r="O29" i="180"/>
  <c r="N29" i="180"/>
  <c r="L29" i="180"/>
  <c r="K29" i="180"/>
  <c r="J29" i="180"/>
  <c r="F29" i="180"/>
  <c r="C29" i="180"/>
  <c r="BO29" i="180" s="1"/>
  <c r="A29" i="180"/>
  <c r="BJ29" i="180" s="1"/>
  <c r="EZ28" i="180"/>
  <c r="EY28" i="180"/>
  <c r="EU28" i="180"/>
  <c r="ET28" i="180"/>
  <c r="ES28" i="180"/>
  <c r="ER28" i="180"/>
  <c r="EM28" i="180"/>
  <c r="BM28" i="180"/>
  <c r="BG28" i="180"/>
  <c r="BF28" i="180"/>
  <c r="BC28" i="180"/>
  <c r="BB28" i="180"/>
  <c r="BA28" i="180"/>
  <c r="AZ28" i="180"/>
  <c r="FH68" i="180" s="1"/>
  <c r="AY28" i="180"/>
  <c r="AX28" i="180"/>
  <c r="AV28" i="180"/>
  <c r="FG68" i="180" s="1"/>
  <c r="AU28" i="180"/>
  <c r="AT28" i="180"/>
  <c r="AS28" i="180"/>
  <c r="AR28" i="180"/>
  <c r="FF68" i="180" s="1"/>
  <c r="AQ28" i="180"/>
  <c r="AP28" i="180"/>
  <c r="AO28" i="180"/>
  <c r="AN28" i="180"/>
  <c r="AM28" i="180"/>
  <c r="AL28" i="180"/>
  <c r="AK28" i="180"/>
  <c r="AC28" i="180"/>
  <c r="AB28" i="180"/>
  <c r="AA28" i="180"/>
  <c r="R28" i="180"/>
  <c r="Q28" i="180"/>
  <c r="N28" i="180"/>
  <c r="I28" i="180"/>
  <c r="BS28" i="180" s="1"/>
  <c r="H28" i="180"/>
  <c r="G28" i="180"/>
  <c r="F28" i="180"/>
  <c r="C28" i="180"/>
  <c r="BO28" i="180" s="1"/>
  <c r="A28" i="180"/>
  <c r="BJ28" i="180" s="1"/>
  <c r="EU27" i="180"/>
  <c r="ET27" i="180"/>
  <c r="EQ27" i="180" s="1"/>
  <c r="ES27" i="180"/>
  <c r="ER27" i="180"/>
  <c r="EM27" i="180"/>
  <c r="BP27" i="180"/>
  <c r="BO27" i="180"/>
  <c r="BG27" i="180"/>
  <c r="BF27" i="180"/>
  <c r="BC27" i="180"/>
  <c r="BB27" i="180"/>
  <c r="AY27" i="180"/>
  <c r="AX27" i="180"/>
  <c r="AW27" i="180"/>
  <c r="AV27" i="180"/>
  <c r="FG67" i="180" s="1"/>
  <c r="AU27" i="180"/>
  <c r="AT27" i="180"/>
  <c r="AQ27" i="180"/>
  <c r="AP27" i="180"/>
  <c r="AO27" i="180"/>
  <c r="AN27" i="180"/>
  <c r="AM27" i="180"/>
  <c r="AL27" i="180"/>
  <c r="AK27" i="180"/>
  <c r="AC27" i="180"/>
  <c r="AB27" i="180"/>
  <c r="AA27" i="180"/>
  <c r="P27" i="180"/>
  <c r="O27" i="180"/>
  <c r="I27" i="180"/>
  <c r="BS27" i="180" s="1"/>
  <c r="G27" i="180"/>
  <c r="F27" i="180"/>
  <c r="C27" i="180"/>
  <c r="BQ27" i="180" s="1"/>
  <c r="A27" i="180"/>
  <c r="GK26" i="180"/>
  <c r="GF26" i="180"/>
  <c r="FQ26" i="180"/>
  <c r="FO26" i="180"/>
  <c r="FE26" i="180"/>
  <c r="FF26" i="180" s="1"/>
  <c r="FD26" i="180"/>
  <c r="FC26" i="180"/>
  <c r="EU26" i="180"/>
  <c r="ET26" i="180"/>
  <c r="ES26" i="180"/>
  <c r="ER26" i="180"/>
  <c r="EM26" i="180"/>
  <c r="BU26" i="180"/>
  <c r="BS26" i="180"/>
  <c r="BQ26" i="180"/>
  <c r="BP26" i="180"/>
  <c r="BN26" i="180"/>
  <c r="BO26" i="180" s="1"/>
  <c r="BM26" i="180"/>
  <c r="BR26" i="180" s="1"/>
  <c r="BJ26" i="180"/>
  <c r="BG26" i="180"/>
  <c r="BF26" i="180"/>
  <c r="BC26" i="180"/>
  <c r="BB26" i="180"/>
  <c r="BA26" i="180"/>
  <c r="AZ26" i="180"/>
  <c r="FH66" i="180" s="1"/>
  <c r="AY26" i="180"/>
  <c r="AX26" i="180"/>
  <c r="AW26" i="180"/>
  <c r="AK26" i="180"/>
  <c r="AA26" i="180"/>
  <c r="GK25" i="180"/>
  <c r="GF25" i="180"/>
  <c r="FQ25" i="180"/>
  <c r="FO25" i="180"/>
  <c r="FF25" i="180"/>
  <c r="FE25" i="180"/>
  <c r="FD25" i="180"/>
  <c r="FC25" i="180"/>
  <c r="EU25" i="180"/>
  <c r="ET25" i="180"/>
  <c r="EQ25" i="180" s="1"/>
  <c r="ES25" i="180"/>
  <c r="ER25" i="180"/>
  <c r="EM25" i="180"/>
  <c r="BU25" i="180"/>
  <c r="BS25" i="180"/>
  <c r="BQ25" i="180"/>
  <c r="BP25" i="180"/>
  <c r="BO25" i="180"/>
  <c r="BN25" i="180"/>
  <c r="BM25" i="180" s="1"/>
  <c r="BJ25" i="180"/>
  <c r="BG25" i="180"/>
  <c r="BF25" i="180"/>
  <c r="BE25" i="180"/>
  <c r="BD25" i="180"/>
  <c r="FI65" i="180" s="1"/>
  <c r="BC25" i="180"/>
  <c r="BB25" i="180"/>
  <c r="BA25" i="180"/>
  <c r="AZ25" i="180"/>
  <c r="FH65" i="180" s="1"/>
  <c r="AY25" i="180"/>
  <c r="AX25" i="180"/>
  <c r="AV25" i="180"/>
  <c r="FG65" i="180" s="1"/>
  <c r="AU25" i="180"/>
  <c r="AT25" i="180"/>
  <c r="AK25" i="180"/>
  <c r="AA25" i="180"/>
  <c r="GK24" i="180"/>
  <c r="GF24" i="180"/>
  <c r="FQ24" i="180"/>
  <c r="FO24" i="180"/>
  <c r="FE24" i="180"/>
  <c r="FD24" i="180"/>
  <c r="FC24" i="180"/>
  <c r="EU24" i="180"/>
  <c r="ET24" i="180"/>
  <c r="EQ24" i="180" s="1"/>
  <c r="ES24" i="180"/>
  <c r="ER24" i="180"/>
  <c r="EM24" i="180"/>
  <c r="BU24" i="180"/>
  <c r="BS24" i="180"/>
  <c r="BQ24" i="180"/>
  <c r="BP24" i="180"/>
  <c r="BN24" i="180"/>
  <c r="BJ24" i="180"/>
  <c r="BG24" i="180"/>
  <c r="BF24" i="180"/>
  <c r="BE24" i="180"/>
  <c r="BD24" i="180"/>
  <c r="FI64" i="180" s="1"/>
  <c r="BC24" i="180"/>
  <c r="BB24" i="180"/>
  <c r="AZ24" i="180"/>
  <c r="FH64" i="180" s="1"/>
  <c r="AY24" i="180"/>
  <c r="AX24" i="180"/>
  <c r="AQ24" i="180"/>
  <c r="AK24" i="180"/>
  <c r="AA24" i="180"/>
  <c r="GK23" i="180"/>
  <c r="GF23" i="180"/>
  <c r="FQ23" i="180"/>
  <c r="FO23" i="180"/>
  <c r="FE23" i="180"/>
  <c r="FD23" i="180"/>
  <c r="FC23" i="180"/>
  <c r="EU23" i="180"/>
  <c r="ET23" i="180"/>
  <c r="EQ23" i="180" s="1"/>
  <c r="ES23" i="180"/>
  <c r="ER23" i="180"/>
  <c r="EM23" i="180"/>
  <c r="BU23" i="180"/>
  <c r="BS23" i="180"/>
  <c r="BQ23" i="180"/>
  <c r="BP23" i="180"/>
  <c r="BO23" i="180"/>
  <c r="BN23" i="180"/>
  <c r="BM23" i="180" s="1"/>
  <c r="BR23" i="180" s="1"/>
  <c r="BJ23" i="180"/>
  <c r="BG23" i="180"/>
  <c r="BF23" i="180"/>
  <c r="BE23" i="180"/>
  <c r="BD23" i="180"/>
  <c r="FI63" i="180" s="1"/>
  <c r="BC23" i="180"/>
  <c r="BB23" i="180"/>
  <c r="AY23" i="180"/>
  <c r="AX23" i="180"/>
  <c r="AW23" i="180"/>
  <c r="AQ23" i="180"/>
  <c r="AK23" i="180"/>
  <c r="AA23" i="180"/>
  <c r="GK22" i="180"/>
  <c r="GF22" i="180"/>
  <c r="FQ22" i="180"/>
  <c r="FO22" i="180"/>
  <c r="FF22" i="180"/>
  <c r="FE22" i="180"/>
  <c r="FD22" i="180"/>
  <c r="FC22" i="180"/>
  <c r="EU22" i="180"/>
  <c r="ET22" i="180"/>
  <c r="EQ22" i="180" s="1"/>
  <c r="ES22" i="180"/>
  <c r="ER22" i="180"/>
  <c r="EM22" i="180"/>
  <c r="BS22" i="180"/>
  <c r="BQ22" i="180"/>
  <c r="BP22" i="180"/>
  <c r="BO22" i="180"/>
  <c r="BN22" i="180"/>
  <c r="BM22" i="180"/>
  <c r="BJ22" i="180"/>
  <c r="BG22" i="180"/>
  <c r="BF22" i="180"/>
  <c r="BC22" i="180"/>
  <c r="BB22" i="180"/>
  <c r="BA22" i="180"/>
  <c r="AZ22" i="180"/>
  <c r="FH62" i="180" s="1"/>
  <c r="AY22" i="180"/>
  <c r="AX22" i="180"/>
  <c r="AV22" i="180"/>
  <c r="FG62" i="180" s="1"/>
  <c r="AU22" i="180"/>
  <c r="AT22" i="180"/>
  <c r="AQ22" i="180"/>
  <c r="AK22" i="180"/>
  <c r="AA22" i="180"/>
  <c r="L22" i="180"/>
  <c r="BU22" i="180" s="1"/>
  <c r="K22" i="180"/>
  <c r="J22" i="180"/>
  <c r="GK21" i="180"/>
  <c r="GF21" i="180"/>
  <c r="FQ21" i="180"/>
  <c r="FO21" i="180"/>
  <c r="FF21" i="180"/>
  <c r="FE21" i="180"/>
  <c r="FD21" i="180"/>
  <c r="FC21" i="180"/>
  <c r="EU21" i="180"/>
  <c r="ET21" i="180"/>
  <c r="EQ21" i="180" s="1"/>
  <c r="ES21" i="180"/>
  <c r="ER21" i="180"/>
  <c r="EM21" i="180"/>
  <c r="BU21" i="180"/>
  <c r="BV21" i="180" s="1"/>
  <c r="BS21" i="180"/>
  <c r="BQ21" i="180"/>
  <c r="BP21" i="180"/>
  <c r="BO21" i="180"/>
  <c r="BN21" i="180"/>
  <c r="BM21" i="180" s="1"/>
  <c r="BR21" i="180" s="1"/>
  <c r="BJ21" i="180"/>
  <c r="BG21" i="180"/>
  <c r="BF21" i="180"/>
  <c r="BE21" i="180"/>
  <c r="BC21" i="180"/>
  <c r="BB21" i="180"/>
  <c r="BA21" i="180"/>
  <c r="AZ21" i="180"/>
  <c r="FH61" i="180" s="1"/>
  <c r="AY21" i="180"/>
  <c r="AX21" i="180"/>
  <c r="AV21" i="180"/>
  <c r="FG61" i="180" s="1"/>
  <c r="AQ21" i="180"/>
  <c r="AK21" i="180"/>
  <c r="AA21" i="180"/>
  <c r="GK20" i="180"/>
  <c r="GF20" i="180"/>
  <c r="FQ20" i="180"/>
  <c r="FO20" i="180"/>
  <c r="FF20" i="180"/>
  <c r="FE20" i="180"/>
  <c r="FD20" i="180"/>
  <c r="FC20" i="180"/>
  <c r="EU20" i="180"/>
  <c r="ET20" i="180"/>
  <c r="EQ20" i="180" s="1"/>
  <c r="ES20" i="180"/>
  <c r="ER20" i="180"/>
  <c r="EM20" i="180"/>
  <c r="BZ20" i="180"/>
  <c r="BS20" i="180"/>
  <c r="BQ20" i="180"/>
  <c r="BP20" i="180"/>
  <c r="BO20" i="180"/>
  <c r="BN20" i="180"/>
  <c r="BM20" i="180"/>
  <c r="BJ20" i="180"/>
  <c r="BG20" i="180"/>
  <c r="BF20" i="180"/>
  <c r="BE20" i="180"/>
  <c r="BD20" i="180"/>
  <c r="FI60" i="180" s="1"/>
  <c r="BC20" i="180"/>
  <c r="BB20" i="180"/>
  <c r="AY20" i="180"/>
  <c r="AX20" i="180"/>
  <c r="AW20" i="180"/>
  <c r="AV20" i="180"/>
  <c r="FG60" i="180" s="1"/>
  <c r="AU20" i="180"/>
  <c r="AT20" i="180"/>
  <c r="AS20" i="180"/>
  <c r="AQ20" i="180"/>
  <c r="AK20" i="180"/>
  <c r="AA20" i="180"/>
  <c r="L20" i="180"/>
  <c r="BU20" i="180" s="1"/>
  <c r="K20" i="180"/>
  <c r="J20" i="180"/>
  <c r="GK19" i="180"/>
  <c r="GF19" i="180"/>
  <c r="FQ19" i="180"/>
  <c r="FO19" i="180"/>
  <c r="FE19" i="180"/>
  <c r="FF19" i="180" s="1"/>
  <c r="FD19" i="180"/>
  <c r="FC19" i="180"/>
  <c r="EU19" i="180"/>
  <c r="ET19" i="180"/>
  <c r="EQ19" i="180" s="1"/>
  <c r="ES19" i="180"/>
  <c r="ER19" i="180"/>
  <c r="EM19" i="180"/>
  <c r="BU19" i="180"/>
  <c r="BS19" i="180"/>
  <c r="BQ19" i="180"/>
  <c r="BR19" i="180" s="1"/>
  <c r="BP19" i="180"/>
  <c r="BO19" i="180"/>
  <c r="BN19" i="180"/>
  <c r="BM19" i="180" s="1"/>
  <c r="BJ19" i="180"/>
  <c r="BG19" i="180"/>
  <c r="BF19" i="180"/>
  <c r="BC19" i="180"/>
  <c r="BB19" i="180"/>
  <c r="AY19" i="180"/>
  <c r="AX19" i="180"/>
  <c r="AW19" i="180"/>
  <c r="AU19" i="180"/>
  <c r="AT19" i="180"/>
  <c r="AS19" i="180"/>
  <c r="AR19" i="180"/>
  <c r="FF59" i="180" s="1"/>
  <c r="AK19" i="180"/>
  <c r="AA19" i="180"/>
  <c r="GK18" i="180"/>
  <c r="GF18" i="180"/>
  <c r="FQ18" i="180"/>
  <c r="FO18" i="180"/>
  <c r="FF18" i="180"/>
  <c r="FE18" i="180"/>
  <c r="FD18" i="180"/>
  <c r="FC18" i="180"/>
  <c r="EU18" i="180"/>
  <c r="EQ18" i="180" s="1"/>
  <c r="ET18" i="180"/>
  <c r="ES18" i="180"/>
  <c r="ER18" i="180"/>
  <c r="EM18" i="180"/>
  <c r="BZ18" i="180"/>
  <c r="BU18" i="180"/>
  <c r="BS18" i="180"/>
  <c r="BQ18" i="180"/>
  <c r="BP18" i="180"/>
  <c r="BN18" i="180"/>
  <c r="BO18" i="180" s="1"/>
  <c r="BM18" i="180"/>
  <c r="BJ18" i="180"/>
  <c r="BG18" i="180"/>
  <c r="BF18" i="180"/>
  <c r="BE18" i="180"/>
  <c r="BD18" i="180"/>
  <c r="FI58" i="180" s="1"/>
  <c r="BC18" i="180"/>
  <c r="BB18" i="180"/>
  <c r="AZ18" i="180"/>
  <c r="FH58" i="180" s="1"/>
  <c r="AY18" i="180"/>
  <c r="AX18" i="180"/>
  <c r="AQ18" i="180"/>
  <c r="AK18" i="180"/>
  <c r="AA18" i="180"/>
  <c r="GK17" i="180"/>
  <c r="GF17" i="180"/>
  <c r="FQ17" i="180"/>
  <c r="FO17" i="180"/>
  <c r="FE17" i="180"/>
  <c r="FF17" i="180" s="1"/>
  <c r="FD17" i="180"/>
  <c r="FC17" i="180"/>
  <c r="EU17" i="180"/>
  <c r="ET17" i="180"/>
  <c r="ES17" i="180"/>
  <c r="ER17" i="180"/>
  <c r="EM17" i="180"/>
  <c r="BS17" i="180"/>
  <c r="BQ17" i="180"/>
  <c r="BP17" i="180"/>
  <c r="BN17" i="180"/>
  <c r="BJ17" i="180"/>
  <c r="BG17" i="180"/>
  <c r="BF17" i="180"/>
  <c r="BE17" i="180"/>
  <c r="BD17" i="180"/>
  <c r="FI57" i="180" s="1"/>
  <c r="BC17" i="180"/>
  <c r="BB17" i="180"/>
  <c r="AY17" i="180"/>
  <c r="AX17" i="180"/>
  <c r="AW17" i="180"/>
  <c r="AV17" i="180"/>
  <c r="FG57" i="180" s="1"/>
  <c r="AU17" i="180"/>
  <c r="AT17" i="180"/>
  <c r="AR17" i="180"/>
  <c r="FF57" i="180" s="1"/>
  <c r="AK17" i="180"/>
  <c r="AA17" i="180"/>
  <c r="L17" i="180"/>
  <c r="BU17" i="180" s="1"/>
  <c r="K17" i="180"/>
  <c r="J17" i="180"/>
  <c r="GK16" i="180"/>
  <c r="GF16" i="180"/>
  <c r="FQ16" i="180"/>
  <c r="FO16" i="180"/>
  <c r="FF16" i="180"/>
  <c r="FE16" i="180"/>
  <c r="FD16" i="180"/>
  <c r="FC16" i="180"/>
  <c r="EU16" i="180"/>
  <c r="ET16" i="180"/>
  <c r="ES16" i="180"/>
  <c r="ER16" i="180"/>
  <c r="EM16" i="180"/>
  <c r="BZ16" i="180"/>
  <c r="BU16" i="180"/>
  <c r="BS16" i="180"/>
  <c r="BQ16" i="180"/>
  <c r="BP16" i="180"/>
  <c r="BN16" i="180"/>
  <c r="BO16" i="180" s="1"/>
  <c r="BM16" i="180"/>
  <c r="BR16" i="180" s="1"/>
  <c r="BJ16" i="180"/>
  <c r="BG16" i="180"/>
  <c r="BF16" i="180"/>
  <c r="BE16" i="180"/>
  <c r="BD16" i="180"/>
  <c r="FI56" i="180" s="1"/>
  <c r="BC16" i="180"/>
  <c r="BB16" i="180"/>
  <c r="AY16" i="180"/>
  <c r="AX16" i="180"/>
  <c r="AW16" i="180"/>
  <c r="AV16" i="180"/>
  <c r="FG56" i="180" s="1"/>
  <c r="AU16" i="180"/>
  <c r="AT16" i="180"/>
  <c r="AK16" i="180"/>
  <c r="AA16" i="180"/>
  <c r="GK15" i="180"/>
  <c r="GF15" i="180"/>
  <c r="FQ15" i="180"/>
  <c r="FO15" i="180"/>
  <c r="FE15" i="180"/>
  <c r="FF15" i="180" s="1"/>
  <c r="FD15" i="180"/>
  <c r="FC15" i="180"/>
  <c r="EU15" i="180"/>
  <c r="ET15" i="180"/>
  <c r="ES15" i="180"/>
  <c r="ER15" i="180"/>
  <c r="EQ15" i="180"/>
  <c r="EM15" i="180"/>
  <c r="BU15" i="180"/>
  <c r="BT15" i="180"/>
  <c r="BS15" i="180"/>
  <c r="BQ15" i="180"/>
  <c r="BP15" i="180"/>
  <c r="BN15" i="180"/>
  <c r="BM15" i="180" s="1"/>
  <c r="BJ15" i="180"/>
  <c r="BG15" i="180"/>
  <c r="BF15" i="180"/>
  <c r="BC15" i="180"/>
  <c r="BB15" i="180"/>
  <c r="BA15" i="180"/>
  <c r="AZ15" i="180"/>
  <c r="AY15" i="180"/>
  <c r="AX15" i="180"/>
  <c r="AU15" i="180"/>
  <c r="AT15" i="180"/>
  <c r="AS15" i="180"/>
  <c r="AR15" i="180"/>
  <c r="FF55" i="180" s="1"/>
  <c r="AK15" i="180"/>
  <c r="AA15" i="180"/>
  <c r="JL14" i="180"/>
  <c r="JL15" i="180" s="1"/>
  <c r="JL16" i="180" s="1"/>
  <c r="JL17" i="180" s="1"/>
  <c r="JL18" i="180" s="1"/>
  <c r="JL19" i="180" s="1"/>
  <c r="JL20" i="180" s="1"/>
  <c r="JL21" i="180" s="1"/>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14" i="180"/>
  <c r="GF14" i="180"/>
  <c r="FQ14" i="180"/>
  <c r="FO14" i="180"/>
  <c r="FE14" i="180"/>
  <c r="FD14" i="180"/>
  <c r="FC14" i="180"/>
  <c r="FF14" i="180" s="1"/>
  <c r="ET14" i="180"/>
  <c r="EQ14" i="180" s="1"/>
  <c r="ES14" i="180"/>
  <c r="ER14" i="180"/>
  <c r="EM14" i="180"/>
  <c r="BU14" i="180"/>
  <c r="BS14" i="180"/>
  <c r="BQ14" i="180"/>
  <c r="BP14" i="180"/>
  <c r="BN14" i="180"/>
  <c r="BJ14" i="180"/>
  <c r="BG14" i="180"/>
  <c r="BF14" i="180"/>
  <c r="BE14" i="180"/>
  <c r="BC14" i="180"/>
  <c r="BB14" i="180"/>
  <c r="BA14" i="180"/>
  <c r="AZ14" i="180"/>
  <c r="FH54" i="180" s="1"/>
  <c r="AY14" i="180"/>
  <c r="AX14" i="180"/>
  <c r="AU14" i="180"/>
  <c r="AT14" i="180"/>
  <c r="AQ14" i="180"/>
  <c r="AK14" i="180"/>
  <c r="AA14" i="180"/>
  <c r="JH12" i="180"/>
  <c r="JD12" i="180"/>
  <c r="JB12" i="180"/>
  <c r="IP12" i="180"/>
  <c r="ID12" i="180"/>
  <c r="IB12" i="180"/>
  <c r="HQ12" i="180"/>
  <c r="HK12" i="180"/>
  <c r="HJ12" i="180"/>
  <c r="BE10" i="180"/>
  <c r="AX10" i="180"/>
  <c r="Z10" i="180"/>
  <c r="T10" i="180"/>
  <c r="C10" i="180"/>
  <c r="AE10" i="180" s="1"/>
  <c r="T9" i="180"/>
  <c r="AX9" i="180" s="1"/>
  <c r="C9" i="180"/>
  <c r="AE9" i="180" s="1"/>
  <c r="BB7" i="180"/>
  <c r="BB6" i="180"/>
  <c r="X6" i="180"/>
  <c r="M6" i="180"/>
  <c r="EX5" i="180"/>
  <c r="ES5" i="180"/>
  <c r="ER5" i="180"/>
  <c r="EQ5" i="180"/>
  <c r="EP5" i="180"/>
  <c r="EO5" i="180"/>
  <c r="EN5" i="180"/>
  <c r="EM5" i="180"/>
  <c r="EL5" i="180"/>
  <c r="EK5" i="180"/>
  <c r="EJ5" i="180"/>
  <c r="EI5" i="180"/>
  <c r="EH5" i="180"/>
  <c r="EG5" i="180"/>
  <c r="EF5" i="180"/>
  <c r="EE5" i="180"/>
  <c r="ED5" i="180"/>
  <c r="EC5" i="180"/>
  <c r="EB5" i="180"/>
  <c r="EA5" i="180"/>
  <c r="DZ5" i="180"/>
  <c r="DY5" i="180"/>
  <c r="DX5" i="180"/>
  <c r="DW5" i="180"/>
  <c r="DV5" i="180"/>
  <c r="DU5" i="180"/>
  <c r="DT5" i="180"/>
  <c r="DS5" i="180"/>
  <c r="DR5" i="180"/>
  <c r="DQ5" i="180"/>
  <c r="DP5" i="180"/>
  <c r="DO5" i="180"/>
  <c r="DN5" i="180"/>
  <c r="DM5" i="180"/>
  <c r="DL5" i="180"/>
  <c r="DK5" i="180"/>
  <c r="DJ5" i="180"/>
  <c r="DI5" i="180"/>
  <c r="DH5" i="180"/>
  <c r="DE5" i="180"/>
  <c r="DD5" i="180"/>
  <c r="DC5" i="180"/>
  <c r="DB5" i="180"/>
  <c r="DA5" i="180"/>
  <c r="CZ5" i="180"/>
  <c r="CY5" i="180"/>
  <c r="CX5" i="180"/>
  <c r="CW5" i="180"/>
  <c r="CV5" i="180"/>
  <c r="CU5" i="180"/>
  <c r="CT5" i="180"/>
  <c r="CS5" i="180"/>
  <c r="CR5" i="180"/>
  <c r="CQ5" i="180"/>
  <c r="CP5" i="180"/>
  <c r="CO5" i="180"/>
  <c r="CN5" i="180"/>
  <c r="CM5" i="180"/>
  <c r="CL5" i="180"/>
  <c r="CK5" i="180"/>
  <c r="CJ5" i="180"/>
  <c r="CI5" i="180"/>
  <c r="CH5" i="180"/>
  <c r="CG5" i="180"/>
  <c r="CF5" i="180"/>
  <c r="CE5" i="180"/>
  <c r="CD5" i="180"/>
  <c r="CC5" i="180"/>
  <c r="CB5" i="180"/>
  <c r="FF4" i="180"/>
  <c r="FE4" i="180"/>
  <c r="BV25" i="180" s="1"/>
  <c r="FD4" i="180"/>
  <c r="FC4" i="180"/>
  <c r="FB4" i="180"/>
  <c r="FA4" i="180"/>
  <c r="EZ4" i="180"/>
  <c r="EY4" i="180"/>
  <c r="FG2" i="180"/>
  <c r="FE2" i="180"/>
  <c r="EU56" i="180" s="1"/>
  <c r="FC2" i="180"/>
  <c r="FA2" i="180"/>
  <c r="EN70" i="180" s="1"/>
  <c r="X30" i="180" s="1"/>
  <c r="AU2" i="180"/>
  <c r="Q2" i="180"/>
  <c r="HA1" i="180"/>
  <c r="FG1" i="180"/>
  <c r="FB1" i="180"/>
  <c r="FA1" i="180"/>
  <c r="BK1" i="180"/>
  <c r="BK27" i="180" s="1"/>
  <c r="BJ1" i="180"/>
  <c r="Q1" i="180" s="1"/>
  <c r="AU1" i="180" s="1"/>
  <c r="HP87" i="179"/>
  <c r="BU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BW87" i="179" s="1"/>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K87" i="179"/>
  <c r="J87" i="179"/>
  <c r="I87" i="179"/>
  <c r="BS87" i="179" s="1"/>
  <c r="H87" i="179"/>
  <c r="G87" i="179"/>
  <c r="F87" i="179"/>
  <c r="E87" i="179"/>
  <c r="D87" i="179"/>
  <c r="GH87" i="179" s="1"/>
  <c r="C87" i="179"/>
  <c r="B87" i="179"/>
  <c r="A87" i="179"/>
  <c r="BJ87" i="179" s="1"/>
  <c r="GI85" i="179"/>
  <c r="BE45" i="179" s="1"/>
  <c r="GH85" i="179"/>
  <c r="BA45" i="179" s="1"/>
  <c r="GG85" i="179"/>
  <c r="AV45" i="179" s="1"/>
  <c r="FG85" i="179" s="1"/>
  <c r="GF85" i="179"/>
  <c r="GE85" i="179"/>
  <c r="AQ45" i="179" s="1"/>
  <c r="GD85" i="179"/>
  <c r="AP45" i="179" s="1"/>
  <c r="FM85" i="179"/>
  <c r="FD85" i="179"/>
  <c r="FC85" i="179"/>
  <c r="EX85" i="179"/>
  <c r="ET85" i="179"/>
  <c r="EP85" i="179"/>
  <c r="EK85" i="179"/>
  <c r="ED85" i="179"/>
  <c r="EB85" i="179"/>
  <c r="EA85" i="179"/>
  <c r="DZ85" i="179"/>
  <c r="DG85" i="179"/>
  <c r="DE85" i="179"/>
  <c r="DD85" i="179"/>
  <c r="DC85" i="179"/>
  <c r="DB85" i="179"/>
  <c r="DA85" i="179"/>
  <c r="CY85" i="179"/>
  <c r="CX85" i="179"/>
  <c r="CW85" i="179"/>
  <c r="M45" i="179" s="1"/>
  <c r="CU85" i="179"/>
  <c r="CT85" i="179"/>
  <c r="CS85" i="179"/>
  <c r="CR85" i="179"/>
  <c r="CQ85" i="179"/>
  <c r="CP85" i="179"/>
  <c r="CO85" i="179"/>
  <c r="FE85" i="179" s="1"/>
  <c r="CN85" i="179"/>
  <c r="CM85" i="179"/>
  <c r="DI85" i="179" s="1"/>
  <c r="CL85" i="179"/>
  <c r="EI85" i="179" s="1"/>
  <c r="CK85" i="179"/>
  <c r="CJ85" i="179"/>
  <c r="CI85" i="179"/>
  <c r="CH85" i="179"/>
  <c r="CG85" i="179"/>
  <c r="FB85" i="179" s="1"/>
  <c r="CF85" i="179"/>
  <c r="EO85" i="179" s="1"/>
  <c r="CE85" i="179"/>
  <c r="CD85" i="179"/>
  <c r="CV85" i="179" s="1"/>
  <c r="CC85" i="179"/>
  <c r="EE85" i="179" s="1"/>
  <c r="EG85" i="179" s="1"/>
  <c r="DL85" i="179" s="1"/>
  <c r="CB85" i="179"/>
  <c r="GI84" i="179"/>
  <c r="GH84" i="179"/>
  <c r="AZ44" i="179" s="1"/>
  <c r="FH84" i="179" s="1"/>
  <c r="GG84" i="179"/>
  <c r="AW44" i="179" s="1"/>
  <c r="GF84" i="179"/>
  <c r="AS44" i="179" s="1"/>
  <c r="GE84" i="179"/>
  <c r="AQ44" i="179" s="1"/>
  <c r="GD84" i="179"/>
  <c r="AP44" i="179" s="1"/>
  <c r="FM84" i="179"/>
  <c r="FC84" i="179"/>
  <c r="FB84" i="179"/>
  <c r="EX84" i="179"/>
  <c r="EP84" i="179"/>
  <c r="EJ84" i="179"/>
  <c r="EH84" i="179"/>
  <c r="ED84" i="179"/>
  <c r="EB84" i="179"/>
  <c r="DS84" i="179"/>
  <c r="DU84" i="179" s="1"/>
  <c r="DE84" i="179"/>
  <c r="DD84" i="179"/>
  <c r="H44" i="179" s="1"/>
  <c r="DC84" i="179"/>
  <c r="EV84" i="179" s="1"/>
  <c r="DB84" i="179"/>
  <c r="DA84" i="179"/>
  <c r="CY84" i="179"/>
  <c r="CX84" i="179"/>
  <c r="CU84" i="179"/>
  <c r="CT84" i="179"/>
  <c r="CS84" i="179"/>
  <c r="CR84" i="179"/>
  <c r="CQ84" i="179"/>
  <c r="CP84" i="179"/>
  <c r="EA84" i="179" s="1"/>
  <c r="CO84" i="179"/>
  <c r="ET84" i="179" s="1"/>
  <c r="CN84" i="179"/>
  <c r="CM84" i="179"/>
  <c r="CV84" i="179" s="1"/>
  <c r="DK84" i="179" s="1"/>
  <c r="CL84" i="179"/>
  <c r="EI84" i="179" s="1"/>
  <c r="CK84" i="179"/>
  <c r="EK84" i="179" s="1"/>
  <c r="EL84" i="179" s="1"/>
  <c r="EM84" i="179" s="1"/>
  <c r="EN84" i="179" s="1"/>
  <c r="X44" i="179" s="1"/>
  <c r="CJ84" i="179"/>
  <c r="CI84" i="179"/>
  <c r="CH84" i="179"/>
  <c r="CG84" i="179"/>
  <c r="DZ84" i="179" s="1"/>
  <c r="CF84" i="179"/>
  <c r="FD84" i="179" s="1"/>
  <c r="CE84" i="179"/>
  <c r="CD84" i="179"/>
  <c r="CC84" i="179"/>
  <c r="EF84" i="179" s="1"/>
  <c r="CB84" i="179"/>
  <c r="GI83" i="179"/>
  <c r="BD43" i="179" s="1"/>
  <c r="FI83" i="179" s="1"/>
  <c r="GH83" i="179"/>
  <c r="GG83" i="179"/>
  <c r="AW43" i="179" s="1"/>
  <c r="GF83" i="179"/>
  <c r="AS43" i="179" s="1"/>
  <c r="GE83" i="179"/>
  <c r="AQ43" i="179" s="1"/>
  <c r="GD83" i="179"/>
  <c r="FM83" i="179"/>
  <c r="FD83" i="179"/>
  <c r="FB83" i="179"/>
  <c r="EX83" i="179"/>
  <c r="EO83" i="179"/>
  <c r="ED83" i="179"/>
  <c r="EB83" i="179"/>
  <c r="DZ83" i="179"/>
  <c r="DE83" i="179"/>
  <c r="DC83" i="179"/>
  <c r="DB83" i="179"/>
  <c r="DA83" i="179"/>
  <c r="CY83" i="179"/>
  <c r="CW83" i="179"/>
  <c r="CU83" i="179"/>
  <c r="CT83" i="179"/>
  <c r="EP83" i="179" s="1"/>
  <c r="CS83" i="179"/>
  <c r="CR83" i="179"/>
  <c r="CQ83" i="179"/>
  <c r="CP83" i="179"/>
  <c r="EA83" i="179" s="1"/>
  <c r="CO83" i="179"/>
  <c r="ET83" i="179" s="1"/>
  <c r="CN83" i="179"/>
  <c r="CM83" i="179"/>
  <c r="DJ83" i="179" s="1"/>
  <c r="CL83" i="179"/>
  <c r="CK83" i="179"/>
  <c r="EK83" i="179" s="1"/>
  <c r="EL83" i="179" s="1"/>
  <c r="EM83" i="179" s="1"/>
  <c r="CJ83" i="179"/>
  <c r="CI83" i="179"/>
  <c r="CH83" i="179"/>
  <c r="CG83" i="179"/>
  <c r="CF83" i="179"/>
  <c r="CE83" i="179"/>
  <c r="CD83" i="179"/>
  <c r="CV83" i="179" s="1"/>
  <c r="DK83" i="179" s="1"/>
  <c r="CC83" i="179"/>
  <c r="EE83" i="179" s="1"/>
  <c r="EG83" i="179" s="1"/>
  <c r="DL83" i="179" s="1"/>
  <c r="CB83" i="179"/>
  <c r="GI82" i="179"/>
  <c r="BE42" i="179" s="1"/>
  <c r="GH82" i="179"/>
  <c r="BA42" i="179" s="1"/>
  <c r="GG82" i="179"/>
  <c r="GF82" i="179"/>
  <c r="AS42" i="179" s="1"/>
  <c r="GE82" i="179"/>
  <c r="AQ42" i="179" s="1"/>
  <c r="GD82" i="179"/>
  <c r="AP42" i="179" s="1"/>
  <c r="FM82" i="179"/>
  <c r="FC82" i="179"/>
  <c r="FB82" i="179"/>
  <c r="EX82" i="179"/>
  <c r="EK82" i="179"/>
  <c r="EL82" i="179" s="1"/>
  <c r="EM82" i="179" s="1"/>
  <c r="ED82" i="179"/>
  <c r="EB82" i="179"/>
  <c r="DZ82" i="179"/>
  <c r="DE82" i="179"/>
  <c r="DD82" i="179"/>
  <c r="DC82" i="179"/>
  <c r="DB82" i="179"/>
  <c r="CY82" i="179"/>
  <c r="CU82" i="179"/>
  <c r="CT82" i="179"/>
  <c r="EP82" i="179" s="1"/>
  <c r="CS82" i="179"/>
  <c r="CR82" i="179"/>
  <c r="CQ82" i="179"/>
  <c r="CP82" i="179"/>
  <c r="EA82" i="179" s="1"/>
  <c r="CO82" i="179"/>
  <c r="ET82" i="179" s="1"/>
  <c r="CN82" i="179"/>
  <c r="CM82" i="179"/>
  <c r="CV82" i="179" s="1"/>
  <c r="DK82" i="179" s="1"/>
  <c r="CL82" i="179"/>
  <c r="EI82" i="179" s="1"/>
  <c r="CK82" i="179"/>
  <c r="CJ82" i="179"/>
  <c r="CI82" i="179"/>
  <c r="CH82" i="179"/>
  <c r="CG82" i="179"/>
  <c r="CF82" i="179"/>
  <c r="CW82" i="179" s="1"/>
  <c r="CE82" i="179"/>
  <c r="CD82" i="179"/>
  <c r="DA82" i="179" s="1"/>
  <c r="CC82" i="179"/>
  <c r="EF82" i="179" s="1"/>
  <c r="CB82" i="179"/>
  <c r="GI81" i="179"/>
  <c r="BE41" i="179" s="1"/>
  <c r="GH81" i="179"/>
  <c r="AZ41" i="179" s="1"/>
  <c r="FH81" i="179" s="1"/>
  <c r="GG81" i="179"/>
  <c r="AW41" i="179" s="1"/>
  <c r="GF81" i="179"/>
  <c r="AR41" i="179" s="1"/>
  <c r="FF81" i="179" s="1"/>
  <c r="GE81" i="179"/>
  <c r="GD81" i="179"/>
  <c r="AP41" i="179" s="1"/>
  <c r="FM81" i="179"/>
  <c r="FB81" i="179"/>
  <c r="EX81" i="179"/>
  <c r="EO81" i="179"/>
  <c r="EL81" i="179"/>
  <c r="EM81" i="179" s="1"/>
  <c r="EK81" i="179"/>
  <c r="ED81" i="179"/>
  <c r="EB81" i="179"/>
  <c r="DZ81" i="179"/>
  <c r="DJ81" i="179"/>
  <c r="DI81" i="179"/>
  <c r="DG81" i="179"/>
  <c r="DE81" i="179"/>
  <c r="DD81" i="179"/>
  <c r="CY81" i="179"/>
  <c r="CU81" i="179"/>
  <c r="CT81" i="179"/>
  <c r="EP81" i="179" s="1"/>
  <c r="CS81" i="179"/>
  <c r="EW81" i="179" s="1"/>
  <c r="CR81" i="179"/>
  <c r="CQ81" i="179"/>
  <c r="CP81" i="179"/>
  <c r="EA81" i="179" s="1"/>
  <c r="CO81" i="179"/>
  <c r="ET81" i="179" s="1"/>
  <c r="CN81" i="179"/>
  <c r="CM81" i="179"/>
  <c r="DH81" i="179" s="1"/>
  <c r="CL81" i="179"/>
  <c r="EI81" i="179" s="1"/>
  <c r="CK81" i="179"/>
  <c r="CJ81" i="179"/>
  <c r="CI81" i="179"/>
  <c r="CH81" i="179"/>
  <c r="CG81" i="179"/>
  <c r="CF81" i="179"/>
  <c r="CW81" i="179" s="1"/>
  <c r="CE81" i="179"/>
  <c r="CD81" i="179"/>
  <c r="DC81" i="179" s="1"/>
  <c r="CC81" i="179"/>
  <c r="EF81" i="179" s="1"/>
  <c r="CB81" i="179"/>
  <c r="GI80" i="179"/>
  <c r="BE40" i="179" s="1"/>
  <c r="GH80" i="179"/>
  <c r="BA40" i="179" s="1"/>
  <c r="GG80" i="179"/>
  <c r="GF80" i="179"/>
  <c r="AS40" i="179" s="1"/>
  <c r="GE80" i="179"/>
  <c r="AQ40" i="179" s="1"/>
  <c r="GD80" i="179"/>
  <c r="AP40" i="179" s="1"/>
  <c r="FM80" i="179"/>
  <c r="FE80" i="179"/>
  <c r="FD80" i="179"/>
  <c r="FB80" i="179"/>
  <c r="EX80" i="179"/>
  <c r="EO80" i="179"/>
  <c r="EL80" i="179"/>
  <c r="EM80" i="179" s="1"/>
  <c r="EK80" i="179"/>
  <c r="EI80" i="179"/>
  <c r="ED80" i="179"/>
  <c r="EB80" i="179"/>
  <c r="DI80" i="179"/>
  <c r="DH80" i="179"/>
  <c r="DG80" i="179"/>
  <c r="DE80" i="179"/>
  <c r="DD80" i="179"/>
  <c r="DC80" i="179"/>
  <c r="CY80" i="179"/>
  <c r="CW80" i="179"/>
  <c r="CU80" i="179"/>
  <c r="CT80" i="179"/>
  <c r="EP80" i="179" s="1"/>
  <c r="CS80" i="179"/>
  <c r="EW80" i="179" s="1"/>
  <c r="CR80" i="179"/>
  <c r="CQ80" i="179"/>
  <c r="CP80" i="179"/>
  <c r="CO80" i="179"/>
  <c r="ET80" i="179" s="1"/>
  <c r="CN80" i="179"/>
  <c r="CM80" i="179"/>
  <c r="CV80" i="179" s="1"/>
  <c r="DK80" i="179" s="1"/>
  <c r="CL80" i="179"/>
  <c r="EH80" i="179" s="1"/>
  <c r="EJ80" i="179" s="1"/>
  <c r="DS80" i="179" s="1"/>
  <c r="CK80" i="179"/>
  <c r="CJ80" i="179"/>
  <c r="EV80" i="179" s="1"/>
  <c r="CI80" i="179"/>
  <c r="CH80" i="179"/>
  <c r="CG80" i="179"/>
  <c r="DZ80" i="179" s="1"/>
  <c r="CF80" i="179"/>
  <c r="CE80" i="179"/>
  <c r="CD80" i="179"/>
  <c r="DB80" i="179" s="1"/>
  <c r="CC80" i="179"/>
  <c r="EF80" i="179" s="1"/>
  <c r="CB80" i="179"/>
  <c r="GI79" i="179"/>
  <c r="BE39" i="179" s="1"/>
  <c r="GH79" i="179"/>
  <c r="GG79" i="179"/>
  <c r="AV39" i="179" s="1"/>
  <c r="FG79" i="179" s="1"/>
  <c r="GF79" i="179"/>
  <c r="AS39" i="179" s="1"/>
  <c r="GE79" i="179"/>
  <c r="AQ39" i="179" s="1"/>
  <c r="GD79" i="179"/>
  <c r="FM79" i="179"/>
  <c r="FE79" i="179"/>
  <c r="FD79" i="179"/>
  <c r="EX79" i="179"/>
  <c r="EO79" i="179"/>
  <c r="EK79" i="179"/>
  <c r="ED79" i="179"/>
  <c r="EB79" i="179"/>
  <c r="EA79" i="179"/>
  <c r="DJ79" i="179"/>
  <c r="DI79" i="179"/>
  <c r="DH79" i="179"/>
  <c r="DG79" i="179"/>
  <c r="DE79" i="179"/>
  <c r="CY79" i="179"/>
  <c r="CW79" i="179"/>
  <c r="CU79" i="179"/>
  <c r="EL79" i="179" s="1"/>
  <c r="EM79" i="179" s="1"/>
  <c r="EN79" i="179" s="1"/>
  <c r="X39" i="179" s="1"/>
  <c r="CT79" i="179"/>
  <c r="EP79" i="179" s="1"/>
  <c r="CS79" i="179"/>
  <c r="CR79" i="179"/>
  <c r="CQ79" i="179"/>
  <c r="CP79" i="179"/>
  <c r="FC79" i="179" s="1"/>
  <c r="CO79" i="179"/>
  <c r="ET79" i="179" s="1"/>
  <c r="CN79" i="179"/>
  <c r="CM79" i="179"/>
  <c r="CL79" i="179"/>
  <c r="EI79" i="179" s="1"/>
  <c r="CK79" i="179"/>
  <c r="CJ79" i="179"/>
  <c r="CI79" i="179"/>
  <c r="CH79" i="179"/>
  <c r="CG79" i="179"/>
  <c r="FB79" i="179" s="1"/>
  <c r="CF79" i="179"/>
  <c r="CE79" i="179"/>
  <c r="CD79" i="179"/>
  <c r="DD79" i="179" s="1"/>
  <c r="CC79" i="179"/>
  <c r="EF79" i="179" s="1"/>
  <c r="CB79" i="179"/>
  <c r="GI78" i="179"/>
  <c r="BD38" i="179" s="1"/>
  <c r="FI78" i="179" s="1"/>
  <c r="GH78" i="179"/>
  <c r="GG78" i="179"/>
  <c r="AV38" i="179" s="1"/>
  <c r="FG78" i="179" s="1"/>
  <c r="GF78" i="179"/>
  <c r="AR38" i="179" s="1"/>
  <c r="FF78" i="179" s="1"/>
  <c r="GE78" i="179"/>
  <c r="AQ38" i="179" s="1"/>
  <c r="GD78" i="179"/>
  <c r="AP38" i="179" s="1"/>
  <c r="FM78" i="179"/>
  <c r="FE78" i="179"/>
  <c r="FC78" i="179"/>
  <c r="EX78" i="179"/>
  <c r="EW78" i="179"/>
  <c r="ET78" i="179"/>
  <c r="EP78" i="179"/>
  <c r="EF78" i="179"/>
  <c r="ED78" i="179"/>
  <c r="EB78" i="179"/>
  <c r="EA78" i="179"/>
  <c r="DZ78" i="179"/>
  <c r="DJ78" i="179"/>
  <c r="DI78" i="179"/>
  <c r="DH78" i="179"/>
  <c r="DG78" i="179"/>
  <c r="DE78" i="179"/>
  <c r="CY78" i="179"/>
  <c r="CX78" i="179"/>
  <c r="CU78" i="179"/>
  <c r="EL78" i="179" s="1"/>
  <c r="EM78" i="179" s="1"/>
  <c r="CT78" i="179"/>
  <c r="CS78" i="179"/>
  <c r="CR78" i="179"/>
  <c r="CQ78" i="179"/>
  <c r="CP78" i="179"/>
  <c r="CO78" i="179"/>
  <c r="CN78" i="179"/>
  <c r="CM78" i="179"/>
  <c r="CL78" i="179"/>
  <c r="EI78" i="179" s="1"/>
  <c r="CK78" i="179"/>
  <c r="EK78" i="179" s="1"/>
  <c r="CJ78" i="179"/>
  <c r="CI78" i="179"/>
  <c r="CH78" i="179"/>
  <c r="CG78" i="179"/>
  <c r="FB78" i="179" s="1"/>
  <c r="CF78" i="179"/>
  <c r="EO78" i="179" s="1"/>
  <c r="CE78" i="179"/>
  <c r="CD78" i="179"/>
  <c r="CC78" i="179"/>
  <c r="EE78" i="179" s="1"/>
  <c r="EG78" i="179" s="1"/>
  <c r="DL78" i="179" s="1"/>
  <c r="CB78" i="179"/>
  <c r="GI77" i="179"/>
  <c r="BE37" i="179" s="1"/>
  <c r="GH77" i="179"/>
  <c r="BA37" i="179" s="1"/>
  <c r="GG77" i="179"/>
  <c r="GF77" i="179"/>
  <c r="AS37" i="179" s="1"/>
  <c r="GE77" i="179"/>
  <c r="GD77" i="179"/>
  <c r="AP37" i="179" s="1"/>
  <c r="FM77" i="179"/>
  <c r="FB77" i="179"/>
  <c r="EX77" i="179"/>
  <c r="ET77" i="179"/>
  <c r="EI77" i="179"/>
  <c r="ED77" i="179"/>
  <c r="EB77" i="179"/>
  <c r="DE77" i="179"/>
  <c r="DC77" i="179"/>
  <c r="DB77" i="179"/>
  <c r="DA77" i="179"/>
  <c r="CY77" i="179"/>
  <c r="CX77" i="179"/>
  <c r="CV77" i="179"/>
  <c r="DK77" i="179" s="1"/>
  <c r="CU77" i="179"/>
  <c r="CT77" i="179"/>
  <c r="EP77" i="179" s="1"/>
  <c r="CS77" i="179"/>
  <c r="CR77" i="179"/>
  <c r="CQ77" i="179"/>
  <c r="CP77" i="179"/>
  <c r="EA77" i="179" s="1"/>
  <c r="CO77" i="179"/>
  <c r="FE77" i="179" s="1"/>
  <c r="CN77" i="179"/>
  <c r="CM77" i="179"/>
  <c r="DJ77" i="179" s="1"/>
  <c r="CL77" i="179"/>
  <c r="EH77" i="179" s="1"/>
  <c r="EJ77" i="179" s="1"/>
  <c r="DS77" i="179" s="1"/>
  <c r="CK77" i="179"/>
  <c r="EK77" i="179" s="1"/>
  <c r="EL77" i="179" s="1"/>
  <c r="EM77" i="179" s="1"/>
  <c r="CJ77" i="179"/>
  <c r="CI77" i="179"/>
  <c r="CH77" i="179"/>
  <c r="CG77" i="179"/>
  <c r="DZ77" i="179" s="1"/>
  <c r="CF77" i="179"/>
  <c r="CE77" i="179"/>
  <c r="CD77" i="179"/>
  <c r="DD77" i="179" s="1"/>
  <c r="CC77" i="179"/>
  <c r="EF77" i="179" s="1"/>
  <c r="CB77" i="179"/>
  <c r="GI76" i="179"/>
  <c r="BE36" i="179" s="1"/>
  <c r="GH76" i="179"/>
  <c r="AZ36" i="179" s="1"/>
  <c r="FH76" i="179" s="1"/>
  <c r="GG76" i="179"/>
  <c r="GF76" i="179"/>
  <c r="AS36" i="179" s="1"/>
  <c r="GE76" i="179"/>
  <c r="AQ36" i="179" s="1"/>
  <c r="GD76" i="179"/>
  <c r="FM76" i="179"/>
  <c r="FD76" i="179"/>
  <c r="FC76" i="179"/>
  <c r="EX76" i="179"/>
  <c r="ET76" i="179"/>
  <c r="EK76" i="179"/>
  <c r="EI76" i="179"/>
  <c r="ED76" i="179"/>
  <c r="EB76" i="179"/>
  <c r="EA76" i="179"/>
  <c r="DZ76" i="179"/>
  <c r="DE76" i="179"/>
  <c r="DD76" i="179"/>
  <c r="DC76" i="179"/>
  <c r="DA76" i="179"/>
  <c r="CY76" i="179"/>
  <c r="CX76" i="179"/>
  <c r="CU76" i="179"/>
  <c r="CT76" i="179"/>
  <c r="EP76" i="179" s="1"/>
  <c r="CS76" i="179"/>
  <c r="CR76" i="179"/>
  <c r="CQ76" i="179"/>
  <c r="CP76" i="179"/>
  <c r="CO76" i="179"/>
  <c r="FE76" i="179" s="1"/>
  <c r="CN76" i="179"/>
  <c r="CM76" i="179"/>
  <c r="CV76" i="179" s="1"/>
  <c r="DK76" i="179" s="1"/>
  <c r="CL76" i="179"/>
  <c r="DF76" i="179" s="1"/>
  <c r="CK76" i="179"/>
  <c r="CJ76" i="179"/>
  <c r="CI76" i="179"/>
  <c r="CH76" i="179"/>
  <c r="CG76" i="179"/>
  <c r="FB76" i="179" s="1"/>
  <c r="CF76" i="179"/>
  <c r="CW76" i="179" s="1"/>
  <c r="CE76" i="179"/>
  <c r="CD76" i="179"/>
  <c r="DB76" i="179" s="1"/>
  <c r="CC76" i="179"/>
  <c r="EE76" i="179" s="1"/>
  <c r="EG76" i="179" s="1"/>
  <c r="CB76" i="179"/>
  <c r="GI75" i="179"/>
  <c r="BE35" i="179" s="1"/>
  <c r="GH75" i="179"/>
  <c r="GG75" i="179"/>
  <c r="AV35" i="179" s="1"/>
  <c r="FG75" i="179" s="1"/>
  <c r="GF75" i="179"/>
  <c r="AS35" i="179" s="1"/>
  <c r="GE75" i="179"/>
  <c r="AQ35" i="179" s="1"/>
  <c r="GD75" i="179"/>
  <c r="FM75" i="179"/>
  <c r="FC75" i="179"/>
  <c r="FB75" i="179"/>
  <c r="EX75" i="179"/>
  <c r="EO75" i="179"/>
  <c r="EK75" i="179"/>
  <c r="EL75" i="179" s="1"/>
  <c r="EM75" i="179" s="1"/>
  <c r="ED75" i="179"/>
  <c r="EB75" i="179"/>
  <c r="DZ75" i="179"/>
  <c r="DJ75" i="179"/>
  <c r="DG75" i="179"/>
  <c r="DE75" i="179"/>
  <c r="CY75" i="179"/>
  <c r="CW75" i="179"/>
  <c r="CU75" i="179"/>
  <c r="CT75" i="179"/>
  <c r="EP75" i="179" s="1"/>
  <c r="CS75" i="179"/>
  <c r="CR75" i="179"/>
  <c r="CQ75" i="179"/>
  <c r="CP75" i="179"/>
  <c r="EA75" i="179" s="1"/>
  <c r="CO75" i="179"/>
  <c r="ET75" i="179" s="1"/>
  <c r="CN75" i="179"/>
  <c r="CM75" i="179"/>
  <c r="DI75" i="179" s="1"/>
  <c r="CL75" i="179"/>
  <c r="EI75" i="179" s="1"/>
  <c r="CK75" i="179"/>
  <c r="CJ75" i="179"/>
  <c r="CI75" i="179"/>
  <c r="CH75" i="179"/>
  <c r="CG75" i="179"/>
  <c r="CF75" i="179"/>
  <c r="FD75" i="179" s="1"/>
  <c r="CE75" i="179"/>
  <c r="CD75" i="179"/>
  <c r="CV75" i="179" s="1"/>
  <c r="DK75" i="179" s="1"/>
  <c r="CC75" i="179"/>
  <c r="EE75" i="179" s="1"/>
  <c r="EG75" i="179" s="1"/>
  <c r="DL75" i="179" s="1"/>
  <c r="CB75" i="179"/>
  <c r="GI74" i="179"/>
  <c r="BD34" i="179" s="1"/>
  <c r="FI74" i="179" s="1"/>
  <c r="GH74" i="179"/>
  <c r="GG74" i="179"/>
  <c r="AW34" i="179" s="1"/>
  <c r="GF74" i="179"/>
  <c r="AR34" i="179" s="1"/>
  <c r="FF74" i="179" s="1"/>
  <c r="GE74" i="179"/>
  <c r="GD74" i="179"/>
  <c r="AP34" i="179" s="1"/>
  <c r="FM74" i="179"/>
  <c r="FE74" i="179"/>
  <c r="FC74" i="179"/>
  <c r="FB74" i="179"/>
  <c r="EX74" i="179"/>
  <c r="EK74" i="179"/>
  <c r="EH74" i="179"/>
  <c r="EJ74" i="179" s="1"/>
  <c r="ED74" i="179"/>
  <c r="EB74" i="179"/>
  <c r="DZ74" i="179"/>
  <c r="DI74" i="179"/>
  <c r="DG74" i="179"/>
  <c r="DE74" i="179"/>
  <c r="DD74" i="179"/>
  <c r="DC74" i="179"/>
  <c r="DB74" i="179"/>
  <c r="CY74" i="179"/>
  <c r="CV74" i="179"/>
  <c r="DK74" i="179" s="1"/>
  <c r="CU74" i="179"/>
  <c r="CT74" i="179"/>
  <c r="EP74" i="179" s="1"/>
  <c r="CS74" i="179"/>
  <c r="EW74" i="179" s="1"/>
  <c r="CR74" i="179"/>
  <c r="CQ74" i="179"/>
  <c r="CP74" i="179"/>
  <c r="EA74" i="179" s="1"/>
  <c r="CO74" i="179"/>
  <c r="ET74" i="179" s="1"/>
  <c r="CN74" i="179"/>
  <c r="CM74" i="179"/>
  <c r="DJ74" i="179" s="1"/>
  <c r="CL74" i="179"/>
  <c r="EI74" i="179" s="1"/>
  <c r="CK74" i="179"/>
  <c r="CJ74" i="179"/>
  <c r="CI74" i="179"/>
  <c r="CH74" i="179"/>
  <c r="CG74" i="179"/>
  <c r="CF74" i="179"/>
  <c r="CW74" i="179" s="1"/>
  <c r="CE74" i="179"/>
  <c r="CD74" i="179"/>
  <c r="DA74" i="179" s="1"/>
  <c r="CC74" i="179"/>
  <c r="EF74" i="179" s="1"/>
  <c r="CB74" i="179"/>
  <c r="GI73" i="179"/>
  <c r="GH73" i="179"/>
  <c r="AZ33" i="179" s="1"/>
  <c r="FH73" i="179" s="1"/>
  <c r="GG73" i="179"/>
  <c r="AW33" i="179" s="1"/>
  <c r="GF73" i="179"/>
  <c r="AS33" i="179" s="1"/>
  <c r="GE73" i="179"/>
  <c r="AQ33" i="179" s="1"/>
  <c r="GD73" i="179"/>
  <c r="FM73" i="179"/>
  <c r="FE73" i="179"/>
  <c r="FD73" i="179"/>
  <c r="FB73" i="179"/>
  <c r="EX73" i="179"/>
  <c r="ET73" i="179"/>
  <c r="EO73" i="179"/>
  <c r="EL73" i="179"/>
  <c r="EM73" i="179" s="1"/>
  <c r="EK73" i="179"/>
  <c r="ED73" i="179"/>
  <c r="EB73" i="179"/>
  <c r="DJ73" i="179"/>
  <c r="DI73" i="179"/>
  <c r="DH73" i="179"/>
  <c r="DG73" i="179"/>
  <c r="DE73" i="179"/>
  <c r="DD73" i="179"/>
  <c r="CY73" i="179"/>
  <c r="CX73" i="179"/>
  <c r="CW73" i="179"/>
  <c r="CU73" i="179"/>
  <c r="CT73" i="179"/>
  <c r="EP73" i="179" s="1"/>
  <c r="CS73" i="179"/>
  <c r="CR73" i="179"/>
  <c r="CQ73" i="179"/>
  <c r="CP73" i="179"/>
  <c r="EA73" i="179" s="1"/>
  <c r="CO73" i="179"/>
  <c r="CN73" i="179"/>
  <c r="CM73" i="179"/>
  <c r="CL73" i="179"/>
  <c r="EI73" i="179" s="1"/>
  <c r="CK73" i="179"/>
  <c r="CJ73" i="179"/>
  <c r="CI73" i="179"/>
  <c r="CH73" i="179"/>
  <c r="CG73" i="179"/>
  <c r="DZ73" i="179" s="1"/>
  <c r="CF73" i="179"/>
  <c r="CE73" i="179"/>
  <c r="CD73" i="179"/>
  <c r="DC73" i="179" s="1"/>
  <c r="CC73" i="179"/>
  <c r="CB73" i="179"/>
  <c r="GI72" i="179"/>
  <c r="BE32" i="179" s="1"/>
  <c r="GH72" i="179"/>
  <c r="AZ32" i="179" s="1"/>
  <c r="FH72" i="179" s="1"/>
  <c r="GG72" i="179"/>
  <c r="GF72" i="179"/>
  <c r="GE72" i="179"/>
  <c r="AQ32" i="179" s="1"/>
  <c r="GD72" i="179"/>
  <c r="AP32" i="179" s="1"/>
  <c r="FM72" i="179"/>
  <c r="FE72" i="179"/>
  <c r="FD72" i="179"/>
  <c r="FB72" i="179"/>
  <c r="EX72" i="179"/>
  <c r="ET72" i="179"/>
  <c r="EQ72" i="179"/>
  <c r="ER72" i="179" s="1"/>
  <c r="EO72" i="179"/>
  <c r="EL72" i="179"/>
  <c r="EM72" i="179" s="1"/>
  <c r="EK72" i="179"/>
  <c r="EI72" i="179"/>
  <c r="EF72" i="179"/>
  <c r="ED72" i="179"/>
  <c r="EB72" i="179"/>
  <c r="DJ72" i="179"/>
  <c r="DI72" i="179"/>
  <c r="DH72" i="179"/>
  <c r="DG72" i="179"/>
  <c r="DE72" i="179"/>
  <c r="CY72" i="179"/>
  <c r="CX72" i="179"/>
  <c r="CW72" i="179"/>
  <c r="CU72" i="179"/>
  <c r="CT72" i="179"/>
  <c r="EP72" i="179" s="1"/>
  <c r="CS72" i="179"/>
  <c r="EW72" i="179" s="1"/>
  <c r="CR72" i="179"/>
  <c r="CQ72" i="179"/>
  <c r="CP72" i="179"/>
  <c r="FC72" i="179" s="1"/>
  <c r="CO72" i="179"/>
  <c r="CN72" i="179"/>
  <c r="CM72" i="179"/>
  <c r="CL72" i="179"/>
  <c r="EH72" i="179" s="1"/>
  <c r="EJ72" i="179" s="1"/>
  <c r="DS72" i="179" s="1"/>
  <c r="CK72" i="179"/>
  <c r="CJ72" i="179"/>
  <c r="CI72" i="179"/>
  <c r="CH72" i="179"/>
  <c r="CG72" i="179"/>
  <c r="DZ72" i="179" s="1"/>
  <c r="CF72" i="179"/>
  <c r="CE72" i="179"/>
  <c r="CD72" i="179"/>
  <c r="DD72" i="179" s="1"/>
  <c r="CC72" i="179"/>
  <c r="EE72" i="179" s="1"/>
  <c r="EG72" i="179" s="1"/>
  <c r="DL72" i="179" s="1"/>
  <c r="CB72" i="179"/>
  <c r="GI71" i="179"/>
  <c r="BE31" i="179" s="1"/>
  <c r="GH71" i="179"/>
  <c r="BA31" i="179" s="1"/>
  <c r="GG71" i="179"/>
  <c r="GF71" i="179"/>
  <c r="AR31" i="179" s="1"/>
  <c r="FF71" i="179" s="1"/>
  <c r="GE71" i="179"/>
  <c r="GD71" i="179"/>
  <c r="FM71" i="179"/>
  <c r="FE71" i="179"/>
  <c r="FD71" i="179"/>
  <c r="EX71" i="179"/>
  <c r="ET71" i="179"/>
  <c r="EO71" i="179"/>
  <c r="ED71" i="179"/>
  <c r="EB71" i="179"/>
  <c r="EA71" i="179"/>
  <c r="DJ71" i="179"/>
  <c r="DI71" i="179"/>
  <c r="DH71" i="179"/>
  <c r="DG71" i="179"/>
  <c r="DE71" i="179"/>
  <c r="CY71" i="179"/>
  <c r="CX71" i="179"/>
  <c r="CW71" i="179"/>
  <c r="CU71" i="179"/>
  <c r="CT71" i="179"/>
  <c r="EP71" i="179" s="1"/>
  <c r="CS71" i="179"/>
  <c r="CR71" i="179"/>
  <c r="CQ71" i="179"/>
  <c r="CP71" i="179"/>
  <c r="FC71" i="179" s="1"/>
  <c r="CO71" i="179"/>
  <c r="CN71" i="179"/>
  <c r="CM71" i="179"/>
  <c r="CL71" i="179"/>
  <c r="EI71" i="179" s="1"/>
  <c r="CK71" i="179"/>
  <c r="EK71" i="179" s="1"/>
  <c r="CJ71" i="179"/>
  <c r="CI71" i="179"/>
  <c r="CH71" i="179"/>
  <c r="CG71" i="179"/>
  <c r="CF71" i="179"/>
  <c r="CE71" i="179"/>
  <c r="CD71" i="179"/>
  <c r="DD71" i="179" s="1"/>
  <c r="CC71" i="179"/>
  <c r="EF71" i="179" s="1"/>
  <c r="CB71" i="179"/>
  <c r="GI70" i="179"/>
  <c r="BD30" i="179" s="1"/>
  <c r="FI70" i="179" s="1"/>
  <c r="GH70" i="179"/>
  <c r="BA30" i="179" s="1"/>
  <c r="GG70" i="179"/>
  <c r="AW30" i="179" s="1"/>
  <c r="GF70" i="179"/>
  <c r="GE70" i="179"/>
  <c r="GD70" i="179"/>
  <c r="FM70" i="179"/>
  <c r="FF70" i="179"/>
  <c r="FE70" i="179"/>
  <c r="FC70" i="179"/>
  <c r="EX70" i="179"/>
  <c r="ET70" i="179"/>
  <c r="EI70" i="179"/>
  <c r="ED70" i="179"/>
  <c r="EB70" i="179"/>
  <c r="EA70" i="179"/>
  <c r="DZ70" i="179"/>
  <c r="DJ70" i="179"/>
  <c r="DE70" i="179"/>
  <c r="CY70" i="179"/>
  <c r="CX70" i="179"/>
  <c r="CU70" i="179"/>
  <c r="CT70" i="179"/>
  <c r="EP70" i="179" s="1"/>
  <c r="CS70" i="179"/>
  <c r="CR70" i="179"/>
  <c r="CQ70" i="179"/>
  <c r="CP70" i="179"/>
  <c r="CO70" i="179"/>
  <c r="CN70" i="179"/>
  <c r="CM70" i="179"/>
  <c r="DI70" i="179" s="1"/>
  <c r="EW70" i="179" s="1"/>
  <c r="CL70" i="179"/>
  <c r="CK70" i="179"/>
  <c r="EK70" i="179" s="1"/>
  <c r="CJ70" i="179"/>
  <c r="CI70" i="179"/>
  <c r="CH70" i="179"/>
  <c r="CG70" i="179"/>
  <c r="FB70" i="179" s="1"/>
  <c r="CF70" i="179"/>
  <c r="EO70" i="179" s="1"/>
  <c r="CE70" i="179"/>
  <c r="CD70" i="179"/>
  <c r="CC70" i="179"/>
  <c r="EF70" i="179" s="1"/>
  <c r="CB70" i="179"/>
  <c r="GI69" i="179"/>
  <c r="GH69" i="179"/>
  <c r="BA29" i="179" s="1"/>
  <c r="GG69" i="179"/>
  <c r="AV29" i="179" s="1"/>
  <c r="FG69" i="179" s="1"/>
  <c r="GF69" i="179"/>
  <c r="GE69" i="179"/>
  <c r="AQ29" i="179" s="1"/>
  <c r="GD69" i="179"/>
  <c r="FM69" i="179"/>
  <c r="FB69" i="179"/>
  <c r="EX69" i="179"/>
  <c r="ET69" i="179"/>
  <c r="EI69" i="179"/>
  <c r="ED69" i="179"/>
  <c r="EB69" i="179"/>
  <c r="DE69" i="179"/>
  <c r="DD69" i="179"/>
  <c r="DC69" i="179"/>
  <c r="EV69" i="179" s="1"/>
  <c r="DB69" i="179"/>
  <c r="DA69" i="179"/>
  <c r="CY69" i="179"/>
  <c r="CX69" i="179"/>
  <c r="CU69" i="179"/>
  <c r="CT69" i="179"/>
  <c r="EP69" i="179" s="1"/>
  <c r="CS69" i="179"/>
  <c r="CR69" i="179"/>
  <c r="CQ69" i="179"/>
  <c r="CP69" i="179"/>
  <c r="CO69" i="179"/>
  <c r="FE69" i="179" s="1"/>
  <c r="CN69" i="179"/>
  <c r="CM69" i="179"/>
  <c r="CL69" i="179"/>
  <c r="EH69" i="179" s="1"/>
  <c r="EJ69" i="179" s="1"/>
  <c r="DS69" i="179" s="1"/>
  <c r="CK69" i="179"/>
  <c r="EK69" i="179" s="1"/>
  <c r="EL69" i="179" s="1"/>
  <c r="EM69" i="179" s="1"/>
  <c r="EN69" i="179" s="1"/>
  <c r="X29" i="179" s="1"/>
  <c r="CJ69" i="179"/>
  <c r="CI69" i="179"/>
  <c r="CH69" i="179"/>
  <c r="CG69" i="179"/>
  <c r="DZ69" i="179" s="1"/>
  <c r="CF69" i="179"/>
  <c r="CE69" i="179"/>
  <c r="CD69" i="179"/>
  <c r="CC69" i="179"/>
  <c r="EF69" i="179" s="1"/>
  <c r="CB69" i="179"/>
  <c r="GI68" i="179"/>
  <c r="BE28" i="179" s="1"/>
  <c r="GH68" i="179"/>
  <c r="BA28" i="179" s="1"/>
  <c r="GG68" i="179"/>
  <c r="AW28" i="179" s="1"/>
  <c r="GF68" i="179"/>
  <c r="AS28" i="179" s="1"/>
  <c r="GE68" i="179"/>
  <c r="GD68" i="179"/>
  <c r="FM68" i="179"/>
  <c r="FD68" i="179"/>
  <c r="FC68" i="179"/>
  <c r="FB68" i="179"/>
  <c r="EX68" i="179"/>
  <c r="EK68" i="179"/>
  <c r="EF68" i="179"/>
  <c r="EE68" i="179"/>
  <c r="EG68" i="179" s="1"/>
  <c r="DL68" i="179" s="1"/>
  <c r="DM68" i="179" s="1"/>
  <c r="DQ68" i="179" s="1"/>
  <c r="ED68" i="179"/>
  <c r="EB68" i="179"/>
  <c r="EA68" i="179"/>
  <c r="DZ68" i="179"/>
  <c r="DE68" i="179"/>
  <c r="DD68" i="179"/>
  <c r="DC68" i="179"/>
  <c r="DB68" i="179"/>
  <c r="DA68" i="179"/>
  <c r="CY68" i="179"/>
  <c r="CX68" i="179"/>
  <c r="CU68" i="179"/>
  <c r="CT68" i="179"/>
  <c r="EP68" i="179" s="1"/>
  <c r="CS68" i="179"/>
  <c r="CR68" i="179"/>
  <c r="CQ68" i="179"/>
  <c r="CP68" i="179"/>
  <c r="CO68" i="179"/>
  <c r="FE68" i="179" s="1"/>
  <c r="CN68" i="179"/>
  <c r="CM68" i="179"/>
  <c r="CL68" i="179"/>
  <c r="CK68" i="179"/>
  <c r="CJ68" i="179"/>
  <c r="EV68" i="179" s="1"/>
  <c r="CI68" i="179"/>
  <c r="CH68" i="179"/>
  <c r="CG68" i="179"/>
  <c r="CF68" i="179"/>
  <c r="CW68" i="179" s="1"/>
  <c r="CE68" i="179"/>
  <c r="CD68" i="179"/>
  <c r="CC68" i="179"/>
  <c r="CB68" i="179"/>
  <c r="GI67" i="179"/>
  <c r="BE27" i="179" s="1"/>
  <c r="GH67" i="179"/>
  <c r="BA27" i="179" s="1"/>
  <c r="GG67" i="179"/>
  <c r="AW27" i="179" s="1"/>
  <c r="GF67" i="179"/>
  <c r="AR27" i="179" s="1"/>
  <c r="FF67" i="179" s="1"/>
  <c r="GE67" i="179"/>
  <c r="GD67" i="179"/>
  <c r="FM67" i="179"/>
  <c r="GI66" i="179"/>
  <c r="BD26" i="179" s="1"/>
  <c r="FI66" i="179" s="1"/>
  <c r="GH66" i="179"/>
  <c r="BA26" i="179" s="1"/>
  <c r="GG66" i="179"/>
  <c r="GF66" i="179"/>
  <c r="GE66" i="179"/>
  <c r="AQ26" i="179" s="1"/>
  <c r="GD66" i="179"/>
  <c r="AP26" i="179" s="1"/>
  <c r="FM66" i="179"/>
  <c r="FF66" i="179"/>
  <c r="GI65" i="179"/>
  <c r="GH65" i="179"/>
  <c r="GG65" i="179"/>
  <c r="GF65" i="179"/>
  <c r="GE65" i="179"/>
  <c r="GD65" i="179"/>
  <c r="FM65" i="179"/>
  <c r="FI65" i="179"/>
  <c r="FH65" i="179"/>
  <c r="FG65" i="179"/>
  <c r="FF65" i="179"/>
  <c r="GI64" i="179"/>
  <c r="BE24" i="179" s="1"/>
  <c r="GH64" i="179"/>
  <c r="BA24" i="179" s="1"/>
  <c r="GG64" i="179"/>
  <c r="AW24" i="179" s="1"/>
  <c r="GF64" i="179"/>
  <c r="GE64" i="179"/>
  <c r="AQ24" i="179" s="1"/>
  <c r="GD64" i="179"/>
  <c r="FM64" i="179"/>
  <c r="FF64" i="179"/>
  <c r="GI63" i="179"/>
  <c r="BE23" i="179" s="1"/>
  <c r="GH63" i="179"/>
  <c r="BA23" i="179" s="1"/>
  <c r="GG63" i="179"/>
  <c r="AW23" i="179" s="1"/>
  <c r="GF63" i="179"/>
  <c r="AS23" i="179" s="1"/>
  <c r="GE63" i="179"/>
  <c r="GD63" i="179"/>
  <c r="FM63" i="179"/>
  <c r="GI62" i="179"/>
  <c r="GH62" i="179"/>
  <c r="BA22" i="179" s="1"/>
  <c r="GG62" i="179"/>
  <c r="AW22" i="179" s="1"/>
  <c r="GF62" i="179"/>
  <c r="AS22" i="179" s="1"/>
  <c r="GE62" i="179"/>
  <c r="GD62" i="179"/>
  <c r="FM62" i="179"/>
  <c r="GI61" i="179"/>
  <c r="BE21" i="179" s="1"/>
  <c r="GH61" i="179"/>
  <c r="BA21" i="179" s="1"/>
  <c r="GG61" i="179"/>
  <c r="AV21" i="179" s="1"/>
  <c r="FG61" i="179" s="1"/>
  <c r="GF61" i="179"/>
  <c r="AR21" i="179" s="1"/>
  <c r="FF61" i="179" s="1"/>
  <c r="GE61" i="179"/>
  <c r="AQ21" i="179" s="1"/>
  <c r="GD61" i="179"/>
  <c r="FM61" i="179"/>
  <c r="GI60" i="179"/>
  <c r="BE20" i="179" s="1"/>
  <c r="GH60" i="179"/>
  <c r="GG60" i="179"/>
  <c r="GF60" i="179"/>
  <c r="GE60" i="179"/>
  <c r="AQ20" i="179" s="1"/>
  <c r="GD60" i="179"/>
  <c r="AP20" i="179" s="1"/>
  <c r="FM60" i="179"/>
  <c r="FH60" i="179"/>
  <c r="FG60" i="179"/>
  <c r="FF60" i="179"/>
  <c r="GI59" i="179"/>
  <c r="GH59" i="179"/>
  <c r="GG59" i="179"/>
  <c r="GF59" i="179"/>
  <c r="GE59" i="179"/>
  <c r="GD59" i="179"/>
  <c r="FM59" i="179"/>
  <c r="FI59" i="179"/>
  <c r="FH59" i="179"/>
  <c r="FG59" i="179"/>
  <c r="FF59" i="179"/>
  <c r="GI58" i="179"/>
  <c r="BE18" i="179" s="1"/>
  <c r="GH58" i="179"/>
  <c r="BA18" i="179" s="1"/>
  <c r="GG58" i="179"/>
  <c r="AW18" i="179" s="1"/>
  <c r="GF58" i="179"/>
  <c r="GE58" i="179"/>
  <c r="GD58" i="179"/>
  <c r="FM58" i="179"/>
  <c r="FF58" i="179"/>
  <c r="GI57" i="179"/>
  <c r="BD17" i="179" s="1"/>
  <c r="FI57" i="179" s="1"/>
  <c r="GH57" i="179"/>
  <c r="AZ17" i="179" s="1"/>
  <c r="FH57" i="179" s="1"/>
  <c r="GG57" i="179"/>
  <c r="AV17" i="179" s="1"/>
  <c r="FG57" i="179" s="1"/>
  <c r="GF57" i="179"/>
  <c r="AS17" i="179" s="1"/>
  <c r="GE57" i="179"/>
  <c r="AQ17" i="179" s="1"/>
  <c r="GD57" i="179"/>
  <c r="FM57" i="179"/>
  <c r="GI56" i="179"/>
  <c r="BE16" i="179" s="1"/>
  <c r="GH56" i="179"/>
  <c r="BA16" i="179" s="1"/>
  <c r="GG56" i="179"/>
  <c r="GF56" i="179"/>
  <c r="AS16" i="179" s="1"/>
  <c r="GE56" i="179"/>
  <c r="GD56" i="179"/>
  <c r="FM56" i="179"/>
  <c r="GI55" i="179"/>
  <c r="BE15" i="179" s="1"/>
  <c r="GH55" i="179"/>
  <c r="AZ15" i="179" s="1"/>
  <c r="FH55" i="179" s="1"/>
  <c r="GG55" i="179"/>
  <c r="AW15" i="179" s="1"/>
  <c r="GF55" i="179"/>
  <c r="AR15" i="179" s="1"/>
  <c r="GE55" i="179"/>
  <c r="GD55" i="179"/>
  <c r="FS55" i="179"/>
  <c r="FP55" i="179" s="1"/>
  <c r="GA55" i="179" s="1"/>
  <c r="FM55" i="179"/>
  <c r="GI54" i="179"/>
  <c r="GH54" i="179"/>
  <c r="AZ14" i="179" s="1"/>
  <c r="FH54" i="179" s="1"/>
  <c r="GG54" i="179"/>
  <c r="AW14" i="179" s="1"/>
  <c r="GF54" i="179"/>
  <c r="AS14" i="179" s="1"/>
  <c r="GE54" i="179"/>
  <c r="AQ14" i="179" s="1"/>
  <c r="GD54" i="179"/>
  <c r="GB54" i="179"/>
  <c r="GA54" i="179"/>
  <c r="FY54" i="179"/>
  <c r="FZ54" i="179" s="1"/>
  <c r="FX54" i="179"/>
  <c r="FW54" i="179"/>
  <c r="FV54" i="179" s="1"/>
  <c r="FU54" i="179"/>
  <c r="FT54" i="179"/>
  <c r="FS54" i="179"/>
  <c r="FR54" i="179"/>
  <c r="FQ54" i="179"/>
  <c r="FP54" i="179"/>
  <c r="FO54" i="179"/>
  <c r="FN54" i="179"/>
  <c r="FM54" i="179"/>
  <c r="FK54" i="179"/>
  <c r="FK55" i="179" s="1"/>
  <c r="ID48" i="179"/>
  <c r="IC48" i="179"/>
  <c r="IA48" i="179"/>
  <c r="HZ48" i="179"/>
  <c r="HY48" i="179"/>
  <c r="HX48" i="179"/>
  <c r="HV48" i="179"/>
  <c r="HP48" i="179"/>
  <c r="IB48" i="179" s="1"/>
  <c r="HO48" i="179"/>
  <c r="HN48" i="179"/>
  <c r="HM48" i="179"/>
  <c r="HL48" i="179"/>
  <c r="HK48" i="179"/>
  <c r="HJ48" i="179"/>
  <c r="HI48" i="179"/>
  <c r="HH48" i="179"/>
  <c r="HG48" i="179"/>
  <c r="HF48" i="179"/>
  <c r="HE48" i="179"/>
  <c r="HD48" i="179"/>
  <c r="HC48" i="179"/>
  <c r="HB48" i="179"/>
  <c r="HA48" i="179"/>
  <c r="GZ48" i="179"/>
  <c r="GX48" i="179"/>
  <c r="GW48" i="179"/>
  <c r="GV48" i="179"/>
  <c r="GU48" i="179"/>
  <c r="GT48" i="179"/>
  <c r="GS48" i="179"/>
  <c r="GR48" i="179"/>
  <c r="GD48" i="179"/>
  <c r="GC48" i="179"/>
  <c r="GB48" i="179"/>
  <c r="GA48" i="179"/>
  <c r="EZ45" i="179"/>
  <c r="EY45" i="179"/>
  <c r="EU45" i="179"/>
  <c r="ET45" i="179"/>
  <c r="EQ45" i="179" s="1"/>
  <c r="ES45" i="179"/>
  <c r="ER45" i="179"/>
  <c r="EM45" i="179"/>
  <c r="BZ45" i="179"/>
  <c r="BP45" i="179"/>
  <c r="BN45" i="179"/>
  <c r="BM45" i="179"/>
  <c r="BG45" i="179"/>
  <c r="BF45" i="179"/>
  <c r="BC45" i="179"/>
  <c r="BB45" i="179"/>
  <c r="AY45" i="179"/>
  <c r="AX45" i="179"/>
  <c r="AW45" i="179"/>
  <c r="AU45" i="179"/>
  <c r="AT45" i="179"/>
  <c r="AS45" i="179"/>
  <c r="AR45" i="179"/>
  <c r="FF85" i="179" s="1"/>
  <c r="AO45" i="179"/>
  <c r="AN45" i="179"/>
  <c r="AM45" i="179"/>
  <c r="AL45" i="179"/>
  <c r="AK45" i="179"/>
  <c r="AC45" i="179"/>
  <c r="AB45" i="179"/>
  <c r="AA45" i="179"/>
  <c r="R45" i="179"/>
  <c r="Q45" i="179"/>
  <c r="P45" i="179"/>
  <c r="O45" i="179"/>
  <c r="N45" i="179"/>
  <c r="I45" i="179"/>
  <c r="BS45" i="179" s="1"/>
  <c r="H45" i="179"/>
  <c r="G45" i="179"/>
  <c r="F45" i="179"/>
  <c r="E45" i="179"/>
  <c r="C45" i="179"/>
  <c r="BQ45" i="179" s="1"/>
  <c r="A45" i="179"/>
  <c r="GF45" i="179" s="1"/>
  <c r="EZ44" i="179"/>
  <c r="EY44" i="179"/>
  <c r="EU44" i="179"/>
  <c r="ET44" i="179"/>
  <c r="EQ44" i="179" s="1"/>
  <c r="ES44" i="179"/>
  <c r="ER44" i="179"/>
  <c r="EM44" i="179"/>
  <c r="BN44" i="179"/>
  <c r="BM44" i="179"/>
  <c r="BG44" i="179"/>
  <c r="BF44" i="179"/>
  <c r="BE44" i="179"/>
  <c r="BD44" i="179"/>
  <c r="FI84" i="179" s="1"/>
  <c r="BC44" i="179"/>
  <c r="BB44" i="179"/>
  <c r="AY44" i="179"/>
  <c r="AX44" i="179"/>
  <c r="AV44" i="179"/>
  <c r="FG84" i="179" s="1"/>
  <c r="AU44" i="179"/>
  <c r="AT44" i="179"/>
  <c r="AO44" i="179"/>
  <c r="AN44" i="179"/>
  <c r="AM44" i="179"/>
  <c r="AL44" i="179"/>
  <c r="AK44" i="179"/>
  <c r="AC44" i="179"/>
  <c r="AB44" i="179"/>
  <c r="AA44" i="179"/>
  <c r="R44" i="179"/>
  <c r="Q44" i="179"/>
  <c r="P44" i="179"/>
  <c r="O44" i="179"/>
  <c r="N44" i="179"/>
  <c r="F44" i="179"/>
  <c r="E44" i="179"/>
  <c r="D44" i="179"/>
  <c r="GK44" i="179" s="1"/>
  <c r="C44" i="179"/>
  <c r="BQ44" i="179" s="1"/>
  <c r="B48" i="179"/>
  <c r="X24" i="179" s="1"/>
  <c r="A44" i="179"/>
  <c r="GF44" i="179" s="1"/>
  <c r="GK43" i="179"/>
  <c r="GF43" i="179"/>
  <c r="EY43" i="179"/>
  <c r="EU43" i="179"/>
  <c r="ET43" i="179"/>
  <c r="EQ43" i="179" s="1"/>
  <c r="ES43" i="179"/>
  <c r="ER43" i="179"/>
  <c r="EM43" i="179"/>
  <c r="BU43" i="179"/>
  <c r="BT43" i="179"/>
  <c r="BS43" i="179"/>
  <c r="BQ43" i="179"/>
  <c r="BP43" i="179"/>
  <c r="BN43" i="179"/>
  <c r="BM43" i="179" s="1"/>
  <c r="BJ43" i="179"/>
  <c r="BG43" i="179"/>
  <c r="BF43" i="179"/>
  <c r="BE43" i="179"/>
  <c r="BC43" i="179"/>
  <c r="BB43" i="179"/>
  <c r="BA43" i="179"/>
  <c r="AZ43" i="179"/>
  <c r="FH83" i="179" s="1"/>
  <c r="AY43" i="179"/>
  <c r="AX43" i="179"/>
  <c r="AV43" i="179"/>
  <c r="FG83" i="179" s="1"/>
  <c r="AU43" i="179"/>
  <c r="AT43" i="179"/>
  <c r="AP43" i="179"/>
  <c r="AO43" i="179"/>
  <c r="AN43" i="179"/>
  <c r="AM43" i="179"/>
  <c r="AL43" i="179"/>
  <c r="AK43" i="179"/>
  <c r="AC43" i="179"/>
  <c r="AB43" i="179"/>
  <c r="FQ43" i="179" s="1"/>
  <c r="AA43" i="179"/>
  <c r="GK42" i="179"/>
  <c r="GF42" i="179"/>
  <c r="FO42" i="179"/>
  <c r="EZ42" i="179"/>
  <c r="EY42" i="179"/>
  <c r="EU42" i="179"/>
  <c r="ET42" i="179"/>
  <c r="ES42" i="179"/>
  <c r="ER42" i="179"/>
  <c r="EM42" i="179"/>
  <c r="BU42" i="179"/>
  <c r="BS42" i="179"/>
  <c r="BQ42" i="179"/>
  <c r="BP42" i="179"/>
  <c r="BO42" i="179"/>
  <c r="BN42" i="179"/>
  <c r="BM42" i="179"/>
  <c r="BR42" i="179" s="1"/>
  <c r="BJ42" i="179"/>
  <c r="BG42" i="179"/>
  <c r="BF42" i="179"/>
  <c r="BC42" i="179"/>
  <c r="BB42" i="179"/>
  <c r="AY42" i="179"/>
  <c r="AX42" i="179"/>
  <c r="AW42" i="179"/>
  <c r="AV42" i="179"/>
  <c r="FG82" i="179" s="1"/>
  <c r="AU42" i="179"/>
  <c r="AT42" i="179"/>
  <c r="AO42" i="179"/>
  <c r="AN42" i="179"/>
  <c r="AM42" i="179"/>
  <c r="AL42" i="179"/>
  <c r="AK42" i="179"/>
  <c r="AC42" i="179"/>
  <c r="AB42" i="179"/>
  <c r="AA42" i="179"/>
  <c r="GK41" i="179"/>
  <c r="GF41" i="179"/>
  <c r="EZ41" i="179"/>
  <c r="EY41" i="179"/>
  <c r="EU41" i="179"/>
  <c r="ET41" i="179"/>
  <c r="EQ41" i="179" s="1"/>
  <c r="ES41" i="179"/>
  <c r="ER41" i="179"/>
  <c r="EM41" i="179"/>
  <c r="BU41" i="179"/>
  <c r="BS41" i="179"/>
  <c r="BQ41" i="179"/>
  <c r="BP41" i="179"/>
  <c r="BN41" i="179"/>
  <c r="BO41" i="179" s="1"/>
  <c r="BR41" i="179" s="1"/>
  <c r="BM41" i="179"/>
  <c r="BJ41" i="179"/>
  <c r="BG41" i="179"/>
  <c r="BF41" i="179"/>
  <c r="BC41" i="179"/>
  <c r="BB41" i="179"/>
  <c r="BA41" i="179"/>
  <c r="AY41" i="179"/>
  <c r="AX41" i="179"/>
  <c r="AV41" i="179"/>
  <c r="FG81" i="179" s="1"/>
  <c r="AU41" i="179"/>
  <c r="AT41" i="179"/>
  <c r="AQ41" i="179"/>
  <c r="AO41" i="179"/>
  <c r="AN41" i="179"/>
  <c r="AM41" i="179"/>
  <c r="AL41" i="179"/>
  <c r="AK41" i="179"/>
  <c r="AC41" i="179"/>
  <c r="AB41" i="179"/>
  <c r="AA41" i="179"/>
  <c r="L41" i="179"/>
  <c r="K41" i="179"/>
  <c r="J41" i="179"/>
  <c r="GK40" i="179"/>
  <c r="GF40" i="179"/>
  <c r="EZ40" i="179"/>
  <c r="EY40" i="179"/>
  <c r="EU40" i="179"/>
  <c r="ET40" i="179"/>
  <c r="EQ40" i="179" s="1"/>
  <c r="ES40" i="179"/>
  <c r="ER40" i="179"/>
  <c r="EM40" i="179"/>
  <c r="BU40" i="179"/>
  <c r="BS40" i="179"/>
  <c r="BQ40" i="179"/>
  <c r="BP40" i="179"/>
  <c r="BO40" i="179"/>
  <c r="BN40" i="179"/>
  <c r="BM40" i="179" s="1"/>
  <c r="BR40" i="179" s="1"/>
  <c r="BJ40" i="179"/>
  <c r="BG40" i="179"/>
  <c r="BF40" i="179"/>
  <c r="BC40" i="179"/>
  <c r="BB40" i="179"/>
  <c r="AY40" i="179"/>
  <c r="AX40" i="179"/>
  <c r="AW40" i="179"/>
  <c r="AV40" i="179"/>
  <c r="FG80" i="179" s="1"/>
  <c r="AU40" i="179"/>
  <c r="AT40" i="179"/>
  <c r="AO40" i="179"/>
  <c r="AN40" i="179"/>
  <c r="AM40" i="179"/>
  <c r="AL40" i="179"/>
  <c r="AK40" i="179"/>
  <c r="AC40" i="179"/>
  <c r="AB40" i="179"/>
  <c r="AA40" i="179"/>
  <c r="GK39" i="179"/>
  <c r="GF39" i="179"/>
  <c r="EZ39" i="179"/>
  <c r="EY39" i="179"/>
  <c r="EU39" i="179"/>
  <c r="ET39" i="179"/>
  <c r="EQ39" i="179" s="1"/>
  <c r="ES39" i="179"/>
  <c r="ER39" i="179"/>
  <c r="EM39" i="179"/>
  <c r="BU39" i="179"/>
  <c r="BS39" i="179"/>
  <c r="BQ39" i="179"/>
  <c r="BP39" i="179"/>
  <c r="BN39" i="179"/>
  <c r="BO39" i="179" s="1"/>
  <c r="BJ39" i="179"/>
  <c r="BG39" i="179"/>
  <c r="BF39" i="179"/>
  <c r="BC39" i="179"/>
  <c r="BB39" i="179"/>
  <c r="BA39" i="179"/>
  <c r="AZ39" i="179"/>
  <c r="FH79" i="179" s="1"/>
  <c r="AY39" i="179"/>
  <c r="AX39" i="179"/>
  <c r="AU39" i="179"/>
  <c r="AT39" i="179"/>
  <c r="AP39" i="179"/>
  <c r="AO39" i="179"/>
  <c r="AN39" i="179"/>
  <c r="AM39" i="179"/>
  <c r="AL39" i="179"/>
  <c r="AK39" i="179"/>
  <c r="AC39" i="179"/>
  <c r="AB39" i="179"/>
  <c r="AA39" i="179"/>
  <c r="GK38" i="179"/>
  <c r="GF38" i="179"/>
  <c r="FQ38" i="179"/>
  <c r="EZ38" i="179"/>
  <c r="EY38" i="179"/>
  <c r="EU38" i="179"/>
  <c r="ET38" i="179"/>
  <c r="EQ38" i="179" s="1"/>
  <c r="ES38" i="179"/>
  <c r="ER38" i="179"/>
  <c r="EM38" i="179"/>
  <c r="BU38" i="179"/>
  <c r="BT38" i="179"/>
  <c r="BS38" i="179"/>
  <c r="BQ38" i="179"/>
  <c r="BP38" i="179"/>
  <c r="BN38" i="179"/>
  <c r="BO38" i="179" s="1"/>
  <c r="BM38" i="179"/>
  <c r="BJ38" i="179"/>
  <c r="BG38" i="179"/>
  <c r="BF38" i="179"/>
  <c r="BC38" i="179"/>
  <c r="BB38" i="179"/>
  <c r="BA38" i="179"/>
  <c r="AZ38" i="179"/>
  <c r="FH78" i="179" s="1"/>
  <c r="AY38" i="179"/>
  <c r="AX38" i="179"/>
  <c r="AW38" i="179"/>
  <c r="AU38" i="179"/>
  <c r="AT38" i="179"/>
  <c r="AO38" i="179"/>
  <c r="AN38" i="179"/>
  <c r="AM38" i="179"/>
  <c r="AL38" i="179"/>
  <c r="AK38" i="179"/>
  <c r="AC38" i="179"/>
  <c r="AB38" i="179"/>
  <c r="AA38" i="179"/>
  <c r="GK37" i="179"/>
  <c r="GF37" i="179"/>
  <c r="EZ37" i="179"/>
  <c r="EU37" i="179"/>
  <c r="ET37" i="179"/>
  <c r="EQ37" i="179" s="1"/>
  <c r="ES37" i="179"/>
  <c r="ER37" i="179"/>
  <c r="EM37" i="179"/>
  <c r="BU37" i="179"/>
  <c r="BS37" i="179"/>
  <c r="BQ37" i="179"/>
  <c r="BP37" i="179"/>
  <c r="BO37" i="179"/>
  <c r="BN37" i="179"/>
  <c r="BM37" i="179" s="1"/>
  <c r="BR37" i="179" s="1"/>
  <c r="BJ37" i="179"/>
  <c r="BG37" i="179"/>
  <c r="BF37" i="179"/>
  <c r="BC37" i="179"/>
  <c r="BB37" i="179"/>
  <c r="AY37" i="179"/>
  <c r="AX37" i="179"/>
  <c r="AW37" i="179"/>
  <c r="AV37" i="179"/>
  <c r="FG77" i="179" s="1"/>
  <c r="AU37" i="179"/>
  <c r="AT37" i="179"/>
  <c r="AQ37" i="179"/>
  <c r="AO37" i="179"/>
  <c r="AN37" i="179"/>
  <c r="AM37" i="179"/>
  <c r="AL37" i="179"/>
  <c r="AK37" i="179"/>
  <c r="AC37" i="179"/>
  <c r="AB37" i="179"/>
  <c r="FQ37" i="179" s="1"/>
  <c r="AA37" i="179"/>
  <c r="GK36" i="179"/>
  <c r="GF36" i="179"/>
  <c r="EY36" i="179"/>
  <c r="EU36" i="179"/>
  <c r="ET36" i="179"/>
  <c r="ES36" i="179"/>
  <c r="ER36" i="179"/>
  <c r="EM36" i="179"/>
  <c r="BS36" i="179"/>
  <c r="BQ36" i="179"/>
  <c r="BP36" i="179"/>
  <c r="BN36" i="179"/>
  <c r="BO36" i="179" s="1"/>
  <c r="BM36" i="179"/>
  <c r="BR36" i="179" s="1"/>
  <c r="BK36" i="179"/>
  <c r="BJ36" i="179"/>
  <c r="BG36" i="179"/>
  <c r="BF36" i="179"/>
  <c r="BC36" i="179"/>
  <c r="BB36" i="179"/>
  <c r="BA36" i="179"/>
  <c r="AY36" i="179"/>
  <c r="AX36" i="179"/>
  <c r="AW36" i="179"/>
  <c r="AV36" i="179"/>
  <c r="FG76" i="179" s="1"/>
  <c r="AU36" i="179"/>
  <c r="AT36" i="179"/>
  <c r="AP36" i="179"/>
  <c r="AO36" i="179"/>
  <c r="AN36" i="179"/>
  <c r="AM36" i="179"/>
  <c r="AL36" i="179"/>
  <c r="AK36" i="179"/>
  <c r="AC36" i="179"/>
  <c r="AB36" i="179"/>
  <c r="AA36" i="179"/>
  <c r="GK35" i="179"/>
  <c r="GF35" i="179"/>
  <c r="EY35" i="179"/>
  <c r="EU35" i="179"/>
  <c r="ET35" i="179"/>
  <c r="ES35" i="179"/>
  <c r="ER35" i="179"/>
  <c r="EM35" i="179"/>
  <c r="BU35" i="179"/>
  <c r="BS35" i="179"/>
  <c r="BQ35" i="179"/>
  <c r="BP35" i="179"/>
  <c r="BN35" i="179"/>
  <c r="BO35" i="179" s="1"/>
  <c r="BM35" i="179"/>
  <c r="BK35" i="179"/>
  <c r="BJ35" i="179"/>
  <c r="BG35" i="179"/>
  <c r="BF35" i="179"/>
  <c r="BC35" i="179"/>
  <c r="BB35" i="179"/>
  <c r="BA35" i="179"/>
  <c r="AZ35" i="179"/>
  <c r="FH75" i="179" s="1"/>
  <c r="AY35" i="179"/>
  <c r="AX35" i="179"/>
  <c r="AW35" i="179"/>
  <c r="AU35" i="179"/>
  <c r="AT35" i="179"/>
  <c r="AP35" i="179"/>
  <c r="AO35" i="179"/>
  <c r="AN35" i="179"/>
  <c r="AM35" i="179"/>
  <c r="AL35" i="179"/>
  <c r="AK35" i="179"/>
  <c r="AC35" i="179"/>
  <c r="AB35" i="179"/>
  <c r="AA35" i="179"/>
  <c r="GK34" i="179"/>
  <c r="GF34" i="179"/>
  <c r="EU34" i="179"/>
  <c r="ET34" i="179"/>
  <c r="EQ34" i="179" s="1"/>
  <c r="ES34" i="179"/>
  <c r="ER34" i="179"/>
  <c r="EM34" i="179"/>
  <c r="BU34" i="179"/>
  <c r="BS34" i="179"/>
  <c r="BQ34" i="179"/>
  <c r="BP34" i="179"/>
  <c r="BN34" i="179"/>
  <c r="BO34" i="179" s="1"/>
  <c r="BJ34" i="179"/>
  <c r="BG34" i="179"/>
  <c r="BF34" i="179"/>
  <c r="BC34" i="179"/>
  <c r="BB34" i="179"/>
  <c r="BA34" i="179"/>
  <c r="AZ34" i="179"/>
  <c r="FH74" i="179" s="1"/>
  <c r="AY34" i="179"/>
  <c r="AX34" i="179"/>
  <c r="AU34" i="179"/>
  <c r="AT34" i="179"/>
  <c r="AS34" i="179"/>
  <c r="AQ34" i="179"/>
  <c r="AO34" i="179"/>
  <c r="AN34" i="179"/>
  <c r="AM34" i="179"/>
  <c r="AL34" i="179"/>
  <c r="AK34" i="179"/>
  <c r="AC34" i="179"/>
  <c r="AB34" i="179"/>
  <c r="AA34" i="179"/>
  <c r="GK33" i="179"/>
  <c r="GF33" i="179"/>
  <c r="FO33" i="179"/>
  <c r="EZ33" i="179"/>
  <c r="EY33" i="179"/>
  <c r="EU33" i="179"/>
  <c r="ET33" i="179"/>
  <c r="EQ33" i="179" s="1"/>
  <c r="ES33" i="179"/>
  <c r="ER33" i="179"/>
  <c r="EM33" i="179"/>
  <c r="BV33" i="179"/>
  <c r="BU33" i="179"/>
  <c r="BS33" i="179"/>
  <c r="BQ33" i="179"/>
  <c r="BP33" i="179"/>
  <c r="BO33" i="179"/>
  <c r="BN33" i="179"/>
  <c r="BM33" i="179"/>
  <c r="BR33" i="179" s="1"/>
  <c r="BJ33" i="179"/>
  <c r="BG33" i="179"/>
  <c r="BF33" i="179"/>
  <c r="BE33" i="179"/>
  <c r="BD33" i="179"/>
  <c r="FI73" i="179" s="1"/>
  <c r="BC33" i="179"/>
  <c r="BB33" i="179"/>
  <c r="BA33" i="179"/>
  <c r="AY33" i="179"/>
  <c r="AX33" i="179"/>
  <c r="AU33" i="179"/>
  <c r="AT33" i="179"/>
  <c r="AP33" i="179"/>
  <c r="AO33" i="179"/>
  <c r="AN33" i="179"/>
  <c r="AM33" i="179"/>
  <c r="AL33" i="179"/>
  <c r="AK33" i="179"/>
  <c r="AC33" i="179"/>
  <c r="AB33" i="179"/>
  <c r="FQ33" i="179" s="1"/>
  <c r="AA33" i="179"/>
  <c r="GK32" i="179"/>
  <c r="GF32" i="179"/>
  <c r="FQ32" i="179"/>
  <c r="FO32" i="179"/>
  <c r="EZ32" i="179"/>
  <c r="EY32" i="179"/>
  <c r="EU32" i="179"/>
  <c r="ET32" i="179"/>
  <c r="EQ32" i="179" s="1"/>
  <c r="ES32" i="179"/>
  <c r="ER32" i="179"/>
  <c r="EM32" i="179"/>
  <c r="BU32" i="179"/>
  <c r="BS32" i="179"/>
  <c r="BQ32" i="179"/>
  <c r="BP32" i="179"/>
  <c r="BO32" i="179"/>
  <c r="BN32" i="179"/>
  <c r="BM32" i="179"/>
  <c r="BR32" i="179" s="1"/>
  <c r="BJ32" i="179"/>
  <c r="BG32" i="179"/>
  <c r="BF32" i="179"/>
  <c r="BC32" i="179"/>
  <c r="BB32" i="179"/>
  <c r="AY32" i="179"/>
  <c r="AX32" i="179"/>
  <c r="AW32" i="179"/>
  <c r="AV32" i="179"/>
  <c r="FG72" i="179" s="1"/>
  <c r="AU32" i="179"/>
  <c r="AT32" i="179"/>
  <c r="AS32" i="179"/>
  <c r="AR32" i="179"/>
  <c r="FF72" i="179" s="1"/>
  <c r="AO32" i="179"/>
  <c r="AN32" i="179"/>
  <c r="AM32" i="179"/>
  <c r="AL32" i="179"/>
  <c r="AK32" i="179"/>
  <c r="AC32" i="179"/>
  <c r="AB32" i="179"/>
  <c r="AA32" i="179"/>
  <c r="GK31" i="179"/>
  <c r="GF31" i="179"/>
  <c r="FQ31" i="179"/>
  <c r="FO31" i="179"/>
  <c r="FE31" i="179"/>
  <c r="FD31" i="179"/>
  <c r="FC31" i="179"/>
  <c r="FF31" i="179" s="1"/>
  <c r="EU31" i="179"/>
  <c r="ET31" i="179"/>
  <c r="ES31" i="179"/>
  <c r="ER31" i="179"/>
  <c r="EQ31" i="179"/>
  <c r="EM31" i="179"/>
  <c r="BU31" i="179"/>
  <c r="BS31" i="179"/>
  <c r="BQ31" i="179"/>
  <c r="BP31" i="179"/>
  <c r="BO31" i="179"/>
  <c r="BN31" i="179"/>
  <c r="BM31" i="179" s="1"/>
  <c r="BR31" i="179" s="1"/>
  <c r="BJ31" i="179"/>
  <c r="BG31" i="179"/>
  <c r="BF31" i="179"/>
  <c r="BC31" i="179"/>
  <c r="BB31" i="179"/>
  <c r="AY31" i="179"/>
  <c r="AX31" i="179"/>
  <c r="AW31" i="179"/>
  <c r="AV31" i="179"/>
  <c r="FG71" i="179" s="1"/>
  <c r="AU31" i="179"/>
  <c r="AT31" i="179"/>
  <c r="AS31" i="179"/>
  <c r="AK31" i="179"/>
  <c r="AA31" i="179"/>
  <c r="L31" i="179"/>
  <c r="K31" i="179"/>
  <c r="J31" i="179"/>
  <c r="GK30" i="179"/>
  <c r="GF30" i="179"/>
  <c r="FQ30" i="179"/>
  <c r="FO30" i="179"/>
  <c r="FE30" i="179"/>
  <c r="FF30" i="179" s="1"/>
  <c r="FD30" i="179"/>
  <c r="FC30" i="179"/>
  <c r="EU30" i="179"/>
  <c r="ET30" i="179"/>
  <c r="EQ30" i="179" s="1"/>
  <c r="ES30" i="179"/>
  <c r="ER30" i="179"/>
  <c r="EM30" i="179"/>
  <c r="BU30" i="179"/>
  <c r="BS30" i="179"/>
  <c r="BQ30" i="179"/>
  <c r="BP30" i="179"/>
  <c r="BO30" i="179"/>
  <c r="BN30" i="179"/>
  <c r="BM30" i="179" s="1"/>
  <c r="BR30" i="179" s="1"/>
  <c r="BJ30" i="179"/>
  <c r="BG30" i="179"/>
  <c r="BF30" i="179"/>
  <c r="BE30" i="179"/>
  <c r="BC30" i="179"/>
  <c r="BB30" i="179"/>
  <c r="AZ30" i="179"/>
  <c r="FH70" i="179" s="1"/>
  <c r="AY30" i="179"/>
  <c r="AX30" i="179"/>
  <c r="AQ30" i="179"/>
  <c r="AK30" i="179"/>
  <c r="AA30" i="179"/>
  <c r="GK29" i="179"/>
  <c r="GF29" i="179"/>
  <c r="FQ29" i="179"/>
  <c r="FO29" i="179"/>
  <c r="FF29" i="179"/>
  <c r="FE29" i="179"/>
  <c r="FD29" i="179"/>
  <c r="FC29" i="179"/>
  <c r="EU29" i="179"/>
  <c r="ET29" i="179"/>
  <c r="ES29" i="179"/>
  <c r="ER29" i="179"/>
  <c r="EM29" i="179"/>
  <c r="BU29" i="179"/>
  <c r="BS29" i="179"/>
  <c r="BQ29" i="179"/>
  <c r="BP29" i="179"/>
  <c r="BN29" i="179"/>
  <c r="BO29" i="179" s="1"/>
  <c r="BM29" i="179"/>
  <c r="BK29" i="179"/>
  <c r="BJ29" i="179"/>
  <c r="BG29" i="179"/>
  <c r="BF29" i="179"/>
  <c r="BE29" i="179"/>
  <c r="BD29" i="179"/>
  <c r="FI69" i="179" s="1"/>
  <c r="BC29" i="179"/>
  <c r="BB29" i="179"/>
  <c r="AY29" i="179"/>
  <c r="AX29" i="179"/>
  <c r="AU29" i="179"/>
  <c r="AT29" i="179"/>
  <c r="AS29" i="179"/>
  <c r="AR29" i="179"/>
  <c r="FF69" i="179" s="1"/>
  <c r="AK29" i="179"/>
  <c r="AA29" i="179"/>
  <c r="GK28" i="179"/>
  <c r="GF28" i="179"/>
  <c r="FQ28" i="179"/>
  <c r="FO28" i="179"/>
  <c r="FE28" i="179"/>
  <c r="FF28" i="179" s="1"/>
  <c r="FD28" i="179"/>
  <c r="FC28" i="179"/>
  <c r="EU28" i="179"/>
  <c r="ET28" i="179"/>
  <c r="ES28" i="179"/>
  <c r="ER28" i="179"/>
  <c r="EQ28" i="179"/>
  <c r="EM28" i="179"/>
  <c r="BU28" i="179"/>
  <c r="BS28" i="179"/>
  <c r="BQ28" i="179"/>
  <c r="BP28" i="179"/>
  <c r="FA68" i="179" s="1"/>
  <c r="EY68" i="179" s="1"/>
  <c r="BO28" i="179"/>
  <c r="BR28" i="179" s="1"/>
  <c r="BN28" i="179"/>
  <c r="BM28" i="179"/>
  <c r="BJ28" i="179"/>
  <c r="BY14" i="179" s="1"/>
  <c r="BG28" i="179"/>
  <c r="BF28" i="179"/>
  <c r="BC28" i="179"/>
  <c r="BB28" i="179"/>
  <c r="AZ28" i="179"/>
  <c r="FH68" i="179" s="1"/>
  <c r="AY28" i="179"/>
  <c r="AX28" i="179"/>
  <c r="AU28" i="179"/>
  <c r="AT28" i="179"/>
  <c r="AK28" i="179"/>
  <c r="AA28" i="179"/>
  <c r="FQ27" i="179"/>
  <c r="FF27" i="179"/>
  <c r="FE27" i="179"/>
  <c r="FD27" i="179"/>
  <c r="FC27" i="179"/>
  <c r="BZ27" i="179"/>
  <c r="BG27" i="179"/>
  <c r="BF27" i="179"/>
  <c r="BD27" i="179"/>
  <c r="FI67" i="179" s="1"/>
  <c r="BC27" i="179"/>
  <c r="BB27" i="179"/>
  <c r="AY27" i="179"/>
  <c r="AX27" i="179"/>
  <c r="AU27" i="179"/>
  <c r="AT27" i="179"/>
  <c r="AQ27" i="179"/>
  <c r="AK27" i="179"/>
  <c r="HY26" i="179"/>
  <c r="HU26" i="179"/>
  <c r="HI26" i="179"/>
  <c r="HD26" i="179"/>
  <c r="FQ26" i="179"/>
  <c r="EY26" i="179"/>
  <c r="BG26" i="179"/>
  <c r="BF26" i="179"/>
  <c r="BC26" i="179"/>
  <c r="BB26" i="179"/>
  <c r="AY26" i="179"/>
  <c r="AX26" i="179"/>
  <c r="AW26" i="179"/>
  <c r="AV26" i="179"/>
  <c r="FG66" i="179" s="1"/>
  <c r="AU26" i="179"/>
  <c r="AO26" i="179"/>
  <c r="AN26" i="179"/>
  <c r="AM26" i="179"/>
  <c r="AL26" i="179"/>
  <c r="AK26" i="179"/>
  <c r="AC26" i="179"/>
  <c r="AB26" i="179"/>
  <c r="EZ26" i="179" s="1"/>
  <c r="FQ25" i="179"/>
  <c r="FE25" i="179"/>
  <c r="FF25" i="179" s="1"/>
  <c r="FD25" i="179"/>
  <c r="FC25" i="179"/>
  <c r="BZ25" i="179"/>
  <c r="BG25" i="179"/>
  <c r="BC25" i="179"/>
  <c r="AY25" i="179"/>
  <c r="AU25" i="179"/>
  <c r="AK25" i="179"/>
  <c r="BW25" i="179" s="1"/>
  <c r="BX25" i="179" s="1"/>
  <c r="FQ24" i="179"/>
  <c r="FF24" i="179"/>
  <c r="FE24" i="179"/>
  <c r="FD24" i="179"/>
  <c r="FC24" i="179"/>
  <c r="BG24" i="179"/>
  <c r="BF24" i="179"/>
  <c r="BD24" i="179"/>
  <c r="FI64" i="179" s="1"/>
  <c r="BC24" i="179"/>
  <c r="BB24" i="179"/>
  <c r="AY24" i="179"/>
  <c r="AX24" i="179"/>
  <c r="AK24" i="179"/>
  <c r="FQ23" i="179"/>
  <c r="FF23" i="179"/>
  <c r="FE23" i="179"/>
  <c r="FD23" i="179"/>
  <c r="FC23" i="179"/>
  <c r="BG23" i="179"/>
  <c r="BF23" i="179"/>
  <c r="BC23" i="179"/>
  <c r="BB23" i="179"/>
  <c r="AY23" i="179"/>
  <c r="AX23" i="179"/>
  <c r="AV23" i="179"/>
  <c r="FG63" i="179" s="1"/>
  <c r="AU23" i="179"/>
  <c r="AT23" i="179"/>
  <c r="AQ23" i="179"/>
  <c r="AK23" i="179"/>
  <c r="HC22" i="179"/>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B22" i="179"/>
  <c r="FQ22" i="179"/>
  <c r="FF22" i="179"/>
  <c r="FE22" i="179"/>
  <c r="FD22" i="179"/>
  <c r="FC22" i="179"/>
  <c r="BG22" i="179"/>
  <c r="BF22" i="179"/>
  <c r="BE22" i="179"/>
  <c r="BD22" i="179"/>
  <c r="FI62" i="179" s="1"/>
  <c r="BC22" i="179"/>
  <c r="BB22" i="179"/>
  <c r="AY22" i="179"/>
  <c r="AX22" i="179"/>
  <c r="AU22" i="179"/>
  <c r="AT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C21" i="179"/>
  <c r="FF21" i="179" s="1"/>
  <c r="BG21" i="179"/>
  <c r="BF21" i="179"/>
  <c r="BD21" i="179"/>
  <c r="FI61" i="179" s="1"/>
  <c r="BC21" i="179"/>
  <c r="BB21" i="179"/>
  <c r="AY21" i="179"/>
  <c r="AX21" i="179"/>
  <c r="AU21" i="179"/>
  <c r="AT21" i="179"/>
  <c r="AS21" i="179"/>
  <c r="AK21" i="179"/>
  <c r="HC20" i="179"/>
  <c r="HD20" i="179" s="1"/>
  <c r="HE20" i="179" s="1"/>
  <c r="HF20" i="179" s="1"/>
  <c r="HG20" i="179" s="1"/>
  <c r="HH20" i="179" s="1"/>
  <c r="HI20" i="179" s="1"/>
  <c r="HJ20" i="179" s="1"/>
  <c r="HK20" i="179" s="1"/>
  <c r="HL20" i="179" s="1"/>
  <c r="HM20" i="179" s="1"/>
  <c r="HN20" i="179" s="1"/>
  <c r="HO20" i="179" s="1"/>
  <c r="HP20" i="179" s="1"/>
  <c r="HQ20" i="179" s="1"/>
  <c r="HR20" i="179" s="1"/>
  <c r="HS20" i="179" s="1"/>
  <c r="HT20" i="179" s="1"/>
  <c r="HU20" i="179" s="1"/>
  <c r="HV20" i="179" s="1"/>
  <c r="HW20" i="179" s="1"/>
  <c r="HX20" i="179" s="1"/>
  <c r="HY20" i="179" s="1"/>
  <c r="HZ20" i="179" s="1"/>
  <c r="HB20" i="179"/>
  <c r="BZ20" i="179"/>
  <c r="BG20" i="179"/>
  <c r="BF20" i="179"/>
  <c r="BC20" i="179"/>
  <c r="AY20" i="179"/>
  <c r="AU20" i="179"/>
  <c r="AO20" i="179"/>
  <c r="AN20" i="179"/>
  <c r="AM20" i="179"/>
  <c r="AL20" i="179"/>
  <c r="AK20" i="179"/>
  <c r="AC20" i="179"/>
  <c r="AB20" i="179"/>
  <c r="FO43" i="179" s="1"/>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C19" i="179"/>
  <c r="AY19" i="179"/>
  <c r="AU19" i="179"/>
  <c r="AK19" i="179"/>
  <c r="BW19" i="179" s="1"/>
  <c r="BX19" i="179" s="1"/>
  <c r="FQ18" i="179"/>
  <c r="FE18" i="179"/>
  <c r="FF18" i="179" s="1"/>
  <c r="FD18" i="179"/>
  <c r="FC18" i="179"/>
  <c r="BG18" i="179"/>
  <c r="BF18" i="179"/>
  <c r="BC18" i="179"/>
  <c r="BB18" i="179"/>
  <c r="AY18" i="179"/>
  <c r="AX18" i="179"/>
  <c r="AQ18" i="179"/>
  <c r="AK18" i="179"/>
  <c r="FQ17" i="179"/>
  <c r="FF17" i="179"/>
  <c r="FE17" i="179"/>
  <c r="FD17" i="179"/>
  <c r="FC17" i="179"/>
  <c r="BZ17" i="179"/>
  <c r="BG17" i="179"/>
  <c r="BF17" i="179"/>
  <c r="BE17" i="179"/>
  <c r="BC17" i="179"/>
  <c r="BB17" i="179"/>
  <c r="AY17" i="179"/>
  <c r="AX17" i="179"/>
  <c r="AW17" i="179"/>
  <c r="AU17" i="179"/>
  <c r="AT17" i="179"/>
  <c r="AK17" i="179"/>
  <c r="FQ16" i="179"/>
  <c r="FE16" i="179"/>
  <c r="FF16" i="179" s="1"/>
  <c r="FD16" i="179"/>
  <c r="FC16" i="179"/>
  <c r="BZ16" i="179"/>
  <c r="BG16" i="179"/>
  <c r="BF16" i="179"/>
  <c r="BD16" i="179"/>
  <c r="FI56" i="179" s="1"/>
  <c r="BC16" i="179"/>
  <c r="BB16" i="179"/>
  <c r="AY16" i="179"/>
  <c r="AX16" i="179"/>
  <c r="AW16" i="179"/>
  <c r="AV16" i="179"/>
  <c r="FG56" i="179" s="1"/>
  <c r="AU16" i="179"/>
  <c r="AT16" i="179"/>
  <c r="AK16" i="179"/>
  <c r="FQ15" i="179"/>
  <c r="FE15" i="179"/>
  <c r="FF15" i="179" s="1"/>
  <c r="FD15" i="179"/>
  <c r="FC15" i="179"/>
  <c r="BZ15" i="179"/>
  <c r="BG15" i="179"/>
  <c r="BF15" i="179"/>
  <c r="BC15" i="179"/>
  <c r="BB15" i="179"/>
  <c r="AY15" i="179"/>
  <c r="AX15" i="179"/>
  <c r="AU15" i="179"/>
  <c r="AT15" i="179"/>
  <c r="AS15" i="179"/>
  <c r="AK15" i="179"/>
  <c r="JL14" i="179"/>
  <c r="JL15" i="179" s="1"/>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4" i="179"/>
  <c r="FE14" i="179"/>
  <c r="FF14" i="179" s="1"/>
  <c r="FD14" i="179"/>
  <c r="FC14" i="179"/>
  <c r="FB14" i="179"/>
  <c r="EZ14" i="179"/>
  <c r="EX14" i="179"/>
  <c r="BZ14" i="179"/>
  <c r="BX14" i="179"/>
  <c r="BG14" i="179"/>
  <c r="BF14" i="179"/>
  <c r="BE14" i="179"/>
  <c r="BD14" i="179"/>
  <c r="FI54" i="179" s="1"/>
  <c r="BC14" i="179"/>
  <c r="BB14" i="179"/>
  <c r="BA14" i="179"/>
  <c r="AY14" i="179"/>
  <c r="AX14" i="179"/>
  <c r="AU14" i="179"/>
  <c r="AT14" i="179"/>
  <c r="AK14" i="179"/>
  <c r="JK12" i="179"/>
  <c r="JF12" i="179"/>
  <c r="JC12" i="179"/>
  <c r="JB12" i="179"/>
  <c r="IV12" i="179"/>
  <c r="IU12" i="179"/>
  <c r="IP12" i="179"/>
  <c r="IM12" i="179"/>
  <c r="IL12"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BE10" i="179"/>
  <c r="AX10" i="179"/>
  <c r="AE10" i="179"/>
  <c r="Z10" i="179"/>
  <c r="T10" i="179"/>
  <c r="C10" i="179"/>
  <c r="T9" i="179"/>
  <c r="AX9" i="179" s="1"/>
  <c r="C9" i="179"/>
  <c r="AE9" i="179" s="1"/>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H6" i="179"/>
  <c r="II6" i="179" s="1"/>
  <c r="IJ6" i="179" s="1"/>
  <c r="IK6" i="179" s="1"/>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G6" i="179"/>
  <c r="BB6" i="179"/>
  <c r="X6" i="179"/>
  <c r="M6" i="179"/>
  <c r="EX5" i="179"/>
  <c r="FF4" i="179"/>
  <c r="FE4" i="179"/>
  <c r="BT39" i="179" s="1"/>
  <c r="FD4" i="179"/>
  <c r="FC4" i="179"/>
  <c r="FB4" i="179"/>
  <c r="FA4" i="179"/>
  <c r="EZ4" i="179"/>
  <c r="EY4" i="179"/>
  <c r="FG2" i="179"/>
  <c r="FE2" i="179"/>
  <c r="FC2" i="179"/>
  <c r="FA2" i="179"/>
  <c r="AU2" i="179"/>
  <c r="Q2" i="179"/>
  <c r="HA1" i="179"/>
  <c r="HT26" i="179" s="1"/>
  <c r="FG1" i="179"/>
  <c r="FB1" i="179"/>
  <c r="FA1" i="179"/>
  <c r="BK1" i="179"/>
  <c r="BK40" i="179" s="1"/>
  <c r="BJ1" i="179"/>
  <c r="Q4" i="179" s="1"/>
  <c r="AU4" i="179" s="1"/>
  <c r="Q1" i="179"/>
  <c r="AU1" i="179" s="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AO46" i="176"/>
  <c r="P46" i="176" s="1"/>
  <c r="R46" i="176"/>
  <c r="AO45" i="176"/>
  <c r="R45" i="176"/>
  <c r="P45" i="176"/>
  <c r="R44" i="176"/>
  <c r="R43" i="176"/>
  <c r="AO42" i="176"/>
  <c r="AO43" i="176" s="1"/>
  <c r="R42" i="176"/>
  <c r="R41" i="176"/>
  <c r="R40" i="176"/>
  <c r="AO39" i="176"/>
  <c r="AO40" i="176" s="1"/>
  <c r="R39" i="176"/>
  <c r="P39" i="176"/>
  <c r="R38" i="176"/>
  <c r="R37" i="176"/>
  <c r="R36" i="176"/>
  <c r="R35" i="176"/>
  <c r="R34" i="176"/>
  <c r="AO33" i="176"/>
  <c r="AO34" i="176" s="1"/>
  <c r="R33" i="176"/>
  <c r="R32" i="176"/>
  <c r="AO31" i="176"/>
  <c r="AO32" i="176" s="1"/>
  <c r="P32" i="176" s="1"/>
  <c r="R31" i="176"/>
  <c r="P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P23" i="176"/>
  <c r="R22" i="176"/>
  <c r="R21" i="176"/>
  <c r="R20" i="176"/>
  <c r="AO19" i="176"/>
  <c r="AO20" i="176" s="1"/>
  <c r="R19" i="176"/>
  <c r="R18" i="176"/>
  <c r="R17" i="176"/>
  <c r="R16" i="176"/>
  <c r="AO15" i="176"/>
  <c r="AO16" i="176" s="1"/>
  <c r="R15" i="176"/>
  <c r="P15" i="176"/>
  <c r="AO14" i="176"/>
  <c r="P14" i="176" s="1"/>
  <c r="R14" i="176"/>
  <c r="N10" i="176"/>
  <c r="K10" i="176"/>
  <c r="B10" i="176"/>
  <c r="K9" i="176"/>
  <c r="B9" i="176"/>
  <c r="N6" i="176"/>
  <c r="I2" i="176"/>
  <c r="T1" i="176"/>
  <c r="S1" i="176"/>
  <c r="I4" i="176" s="1"/>
  <c r="R55" i="175"/>
  <c r="R54" i="175"/>
  <c r="R53" i="175"/>
  <c r="AO52" i="175"/>
  <c r="AO53" i="175" s="1"/>
  <c r="R52" i="175"/>
  <c r="P52" i="175"/>
  <c r="AO51" i="175"/>
  <c r="P51" i="175" s="1"/>
  <c r="R51" i="175"/>
  <c r="AO50" i="175"/>
  <c r="P50" i="175" s="1"/>
  <c r="R50" i="175"/>
  <c r="R49" i="175"/>
  <c r="AO48" i="175"/>
  <c r="P48" i="175" s="1"/>
  <c r="R48" i="175"/>
  <c r="R47" i="175"/>
  <c r="AO46" i="175"/>
  <c r="AO47" i="175" s="1"/>
  <c r="P47" i="175" s="1"/>
  <c r="R46" i="175"/>
  <c r="AO45" i="175"/>
  <c r="R45" i="175"/>
  <c r="P45" i="175"/>
  <c r="AO44" i="175"/>
  <c r="R44" i="175"/>
  <c r="P44" i="175"/>
  <c r="AO43" i="175"/>
  <c r="P43" i="175" s="1"/>
  <c r="R43" i="175"/>
  <c r="AO42" i="175"/>
  <c r="R42" i="175"/>
  <c r="P42" i="175"/>
  <c r="AO41" i="175"/>
  <c r="P41" i="175" s="1"/>
  <c r="R41" i="175"/>
  <c r="AO40" i="175"/>
  <c r="P40" i="175" s="1"/>
  <c r="R40" i="175"/>
  <c r="AO39" i="175"/>
  <c r="P39" i="175" s="1"/>
  <c r="R39" i="175"/>
  <c r="AO38" i="175"/>
  <c r="R38" i="175"/>
  <c r="P38" i="175"/>
  <c r="R37" i="175"/>
  <c r="AO36" i="175"/>
  <c r="AO37" i="175" s="1"/>
  <c r="P37" i="175" s="1"/>
  <c r="R36" i="175"/>
  <c r="P36" i="175"/>
  <c r="R35" i="175"/>
  <c r="AO34" i="175"/>
  <c r="AO35" i="175" s="1"/>
  <c r="P35" i="175" s="1"/>
  <c r="R34" i="175"/>
  <c r="R33" i="175"/>
  <c r="AO32" i="175"/>
  <c r="P32" i="175" s="1"/>
  <c r="R32" i="175"/>
  <c r="AO31" i="175"/>
  <c r="R31" i="175"/>
  <c r="P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R30" i="175"/>
  <c r="P30" i="175"/>
  <c r="AO29" i="175"/>
  <c r="P29" i="175" s="1"/>
  <c r="R29" i="175"/>
  <c r="AO28" i="175"/>
  <c r="R28" i="175"/>
  <c r="P28" i="175"/>
  <c r="AO27" i="175"/>
  <c r="P27" i="175" s="1"/>
  <c r="R27" i="175"/>
  <c r="R26" i="175"/>
  <c r="AO25" i="175"/>
  <c r="AO26" i="175" s="1"/>
  <c r="P26" i="175" s="1"/>
  <c r="R25" i="175"/>
  <c r="P25" i="175"/>
  <c r="AO24" i="175"/>
  <c r="P24" i="175" s="1"/>
  <c r="R24" i="175"/>
  <c r="AO23" i="175"/>
  <c r="R23" i="175"/>
  <c r="P23" i="175"/>
  <c r="AO22" i="175"/>
  <c r="P22" i="175" s="1"/>
  <c r="R22" i="175"/>
  <c r="AO21" i="175"/>
  <c r="R21" i="175"/>
  <c r="P21" i="175"/>
  <c r="AO20" i="175"/>
  <c r="R20" i="175"/>
  <c r="P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AV34" i="179" l="1"/>
  <c r="FG74" i="179" s="1"/>
  <c r="AZ37" i="179"/>
  <c r="FH77" i="179" s="1"/>
  <c r="AR42" i="179"/>
  <c r="FF82" i="179" s="1"/>
  <c r="AV15" i="180"/>
  <c r="FG55" i="180" s="1"/>
  <c r="AZ19" i="180"/>
  <c r="FH59" i="180" s="1"/>
  <c r="BA15" i="179"/>
  <c r="AZ23" i="179"/>
  <c r="FH63" i="179" s="1"/>
  <c r="EV75" i="180"/>
  <c r="BD18" i="179"/>
  <c r="FI58" i="179" s="1"/>
  <c r="BD41" i="179"/>
  <c r="FI81" i="179" s="1"/>
  <c r="AR14" i="179"/>
  <c r="FF54" i="179" s="1"/>
  <c r="AR36" i="179"/>
  <c r="FF76" i="179" s="1"/>
  <c r="EF76" i="179"/>
  <c r="BD28" i="179"/>
  <c r="FI68" i="179" s="1"/>
  <c r="BE38" i="179"/>
  <c r="AR44" i="179"/>
  <c r="FF84" i="179" s="1"/>
  <c r="CZ75" i="179"/>
  <c r="AZ16" i="180"/>
  <c r="FH56" i="180" s="1"/>
  <c r="AR27" i="180"/>
  <c r="FF67" i="180" s="1"/>
  <c r="BD31" i="180"/>
  <c r="FI71" i="180" s="1"/>
  <c r="AZ45" i="179"/>
  <c r="FH85" i="179" s="1"/>
  <c r="AR22" i="179"/>
  <c r="FF62" i="179" s="1"/>
  <c r="AR37" i="179"/>
  <c r="FF77" i="179" s="1"/>
  <c r="EV77" i="179"/>
  <c r="AZ22" i="179"/>
  <c r="FH62" i="179" s="1"/>
  <c r="AV24" i="179"/>
  <c r="FG64" i="179" s="1"/>
  <c r="EF57" i="180"/>
  <c r="EV73" i="180"/>
  <c r="EE77" i="179"/>
  <c r="EG77" i="179" s="1"/>
  <c r="DL77" i="179" s="1"/>
  <c r="DN77" i="179" s="1"/>
  <c r="AW29" i="179"/>
  <c r="AS37" i="180"/>
  <c r="BE38" i="180"/>
  <c r="BD45" i="179"/>
  <c r="FI85" i="179" s="1"/>
  <c r="BD26" i="180"/>
  <c r="FI66" i="180" s="1"/>
  <c r="AZ18" i="179"/>
  <c r="FH58" i="179" s="1"/>
  <c r="AZ26" i="179"/>
  <c r="FH66" i="179" s="1"/>
  <c r="AS41" i="179"/>
  <c r="EQ42" i="179"/>
  <c r="AR43" i="179"/>
  <c r="FF83" i="179" s="1"/>
  <c r="AV24" i="180"/>
  <c r="FG64" i="180" s="1"/>
  <c r="AR25" i="180"/>
  <c r="AZ40" i="180"/>
  <c r="FH80" i="180" s="1"/>
  <c r="AS27" i="179"/>
  <c r="AZ29" i="179"/>
  <c r="FH69" i="179" s="1"/>
  <c r="AS16" i="180"/>
  <c r="BW16" i="180" s="1"/>
  <c r="BX16" i="180" s="1"/>
  <c r="BD22" i="180"/>
  <c r="FI62" i="180" s="1"/>
  <c r="AZ23" i="180"/>
  <c r="FH63" i="180" s="1"/>
  <c r="AZ27" i="180"/>
  <c r="FH67" i="180" s="1"/>
  <c r="BD28" i="180"/>
  <c r="FI68" i="180" s="1"/>
  <c r="BA31" i="180"/>
  <c r="G33" i="180"/>
  <c r="AV37" i="180"/>
  <c r="FG77" i="180" s="1"/>
  <c r="AR38" i="180"/>
  <c r="FF78" i="180" s="1"/>
  <c r="G39" i="180"/>
  <c r="BE39" i="180"/>
  <c r="EE58" i="180"/>
  <c r="EG58" i="180" s="1"/>
  <c r="EQ38" i="180"/>
  <c r="BA17" i="179"/>
  <c r="AW21" i="179"/>
  <c r="AZ20" i="180"/>
  <c r="FH60" i="180" s="1"/>
  <c r="BD34" i="180"/>
  <c r="FI74" i="180" s="1"/>
  <c r="AV36" i="180"/>
  <c r="FG76" i="180" s="1"/>
  <c r="AZ44" i="180"/>
  <c r="FH84" i="180" s="1"/>
  <c r="BD20" i="179"/>
  <c r="FI60" i="179" s="1"/>
  <c r="EQ17" i="180"/>
  <c r="G35" i="180"/>
  <c r="EF79" i="180"/>
  <c r="BA32" i="179"/>
  <c r="BD44" i="180"/>
  <c r="FI84" i="180" s="1"/>
  <c r="H31" i="180"/>
  <c r="BD40" i="180"/>
  <c r="FI80" i="180" s="1"/>
  <c r="BD45" i="180"/>
  <c r="FI85" i="180" s="1"/>
  <c r="AR23" i="179"/>
  <c r="FF63" i="179" s="1"/>
  <c r="BE26" i="179"/>
  <c r="AR33" i="179"/>
  <c r="FF73" i="179" s="1"/>
  <c r="AW39" i="179"/>
  <c r="AR22" i="180"/>
  <c r="FF62" i="180" s="1"/>
  <c r="BD27" i="180"/>
  <c r="FI67" i="180" s="1"/>
  <c r="AR30" i="180"/>
  <c r="FF70" i="180" s="1"/>
  <c r="G45" i="180"/>
  <c r="EF66" i="180"/>
  <c r="AV27" i="179"/>
  <c r="FG67" i="179" s="1"/>
  <c r="EV76" i="179"/>
  <c r="AV15" i="179"/>
  <c r="FG55" i="179" s="1"/>
  <c r="AR40" i="179"/>
  <c r="FF80" i="179" s="1"/>
  <c r="I44" i="179"/>
  <c r="BS44" i="179" s="1"/>
  <c r="AR14" i="180"/>
  <c r="FF54" i="180" s="1"/>
  <c r="BD15" i="180"/>
  <c r="FI55" i="180" s="1"/>
  <c r="AS38" i="179"/>
  <c r="AZ31" i="179"/>
  <c r="FH71" i="179" s="1"/>
  <c r="AV14" i="180"/>
  <c r="FG54" i="180" s="1"/>
  <c r="BD19" i="180"/>
  <c r="FI59" i="180" s="1"/>
  <c r="AZ29" i="180"/>
  <c r="FH69" i="180" s="1"/>
  <c r="AR36" i="180"/>
  <c r="FF76" i="180" s="1"/>
  <c r="AV14" i="179"/>
  <c r="FG54" i="179" s="1"/>
  <c r="AZ16" i="179"/>
  <c r="FH56" i="179" s="1"/>
  <c r="BE34" i="179"/>
  <c r="BA44" i="179"/>
  <c r="AZ30" i="180"/>
  <c r="FH70" i="180" s="1"/>
  <c r="AV31" i="180"/>
  <c r="FG71" i="180" s="1"/>
  <c r="EQ34" i="180"/>
  <c r="AZ39" i="180"/>
  <c r="FH79" i="180" s="1"/>
  <c r="AV45" i="180"/>
  <c r="FG85" i="180" s="1"/>
  <c r="EE74" i="180"/>
  <c r="EG74" i="180" s="1"/>
  <c r="DL74" i="180" s="1"/>
  <c r="AD23" i="182"/>
  <c r="AD37" i="184"/>
  <c r="AD21" i="185"/>
  <c r="BW29" i="179"/>
  <c r="BX29" i="179" s="1"/>
  <c r="FB29" i="179" s="1"/>
  <c r="FA29" i="179" s="1"/>
  <c r="EF85" i="179"/>
  <c r="EQ35" i="180"/>
  <c r="EF75" i="180"/>
  <c r="BD42" i="179"/>
  <c r="FI82" i="179" s="1"/>
  <c r="EF71" i="180"/>
  <c r="EQ36" i="179"/>
  <c r="BD39" i="179"/>
  <c r="FI79" i="179" s="1"/>
  <c r="EE69" i="179"/>
  <c r="EG69" i="179" s="1"/>
  <c r="DL69" i="179" s="1"/>
  <c r="DM69" i="179" s="1"/>
  <c r="AV18" i="179"/>
  <c r="FG58" i="179" s="1"/>
  <c r="BD36" i="179"/>
  <c r="FI76" i="179" s="1"/>
  <c r="EF83" i="179"/>
  <c r="EV85" i="179"/>
  <c r="AV18" i="180"/>
  <c r="FG58" i="180" s="1"/>
  <c r="EE78" i="180"/>
  <c r="EG78" i="180" s="1"/>
  <c r="DL78" i="180" s="1"/>
  <c r="DL75" i="180"/>
  <c r="DM75" i="180" s="1"/>
  <c r="DQ75" i="180" s="1"/>
  <c r="AR16" i="179"/>
  <c r="FF56" i="179" s="1"/>
  <c r="AR39" i="179"/>
  <c r="FF79" i="179" s="1"/>
  <c r="G44" i="179"/>
  <c r="EQ28" i="180"/>
  <c r="EV84" i="180"/>
  <c r="BD32" i="179"/>
  <c r="FI72" i="179" s="1"/>
  <c r="EV82" i="179"/>
  <c r="AZ17" i="180"/>
  <c r="FH57" i="180" s="1"/>
  <c r="EF77" i="180"/>
  <c r="EV60" i="180"/>
  <c r="EE69" i="180"/>
  <c r="EG69" i="180" s="1"/>
  <c r="AZ27" i="179"/>
  <c r="FH67" i="179" s="1"/>
  <c r="AR28" i="179"/>
  <c r="FF68" i="179" s="1"/>
  <c r="AV30" i="179"/>
  <c r="FG70" i="179" s="1"/>
  <c r="BD31" i="179"/>
  <c r="FI71" i="179" s="1"/>
  <c r="BD35" i="179"/>
  <c r="FI75" i="179" s="1"/>
  <c r="EQ35" i="179"/>
  <c r="BD40" i="179"/>
  <c r="FI80" i="179" s="1"/>
  <c r="EQ26" i="180"/>
  <c r="AZ21" i="179"/>
  <c r="FH61" i="179" s="1"/>
  <c r="EE76" i="180"/>
  <c r="EG76" i="180" s="1"/>
  <c r="DL76" i="180" s="1"/>
  <c r="BD15" i="179"/>
  <c r="FI55" i="179" s="1"/>
  <c r="AV22" i="179"/>
  <c r="FG62" i="179" s="1"/>
  <c r="AZ24" i="179"/>
  <c r="FH64" i="179" s="1"/>
  <c r="AV33" i="179"/>
  <c r="FG73" i="179" s="1"/>
  <c r="BD37" i="179"/>
  <c r="FI77" i="179" s="1"/>
  <c r="AZ42" i="179"/>
  <c r="FH82" i="179" s="1"/>
  <c r="EE70" i="179"/>
  <c r="EG70" i="179" s="1"/>
  <c r="DL70" i="179" s="1"/>
  <c r="EV74" i="179"/>
  <c r="EF75" i="179"/>
  <c r="BD23" i="179"/>
  <c r="FI63" i="179" s="1"/>
  <c r="AV28" i="179"/>
  <c r="FG68" i="179" s="1"/>
  <c r="EQ29" i="179"/>
  <c r="AR35" i="179"/>
  <c r="FF75" i="179" s="1"/>
  <c r="EE84" i="179"/>
  <c r="EG84" i="179" s="1"/>
  <c r="DL84" i="179" s="1"/>
  <c r="DM84" i="179" s="1"/>
  <c r="BW22" i="180"/>
  <c r="BX22" i="180" s="1"/>
  <c r="EE67" i="180"/>
  <c r="EG67" i="180" s="1"/>
  <c r="EV73" i="179"/>
  <c r="EV81" i="179"/>
  <c r="CZ83" i="179"/>
  <c r="EE60" i="180"/>
  <c r="EG60" i="180" s="1"/>
  <c r="DL60" i="180" s="1"/>
  <c r="DM71" i="180"/>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GK54" i="179"/>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FQ55" i="179"/>
  <c r="FY55" i="179" s="1"/>
  <c r="GB55" i="179" s="1"/>
  <c r="AE13" i="170"/>
  <c r="AF15" i="170"/>
  <c r="AF18" i="170"/>
  <c r="AF28" i="170"/>
  <c r="AE33" i="170"/>
  <c r="AC40" i="170"/>
  <c r="AC43" i="170"/>
  <c r="AC47" i="170"/>
  <c r="FR55" i="179"/>
  <c r="FS56" i="179" s="1"/>
  <c r="FN56" i="179" s="1"/>
  <c r="FW56" i="179" s="1"/>
  <c r="FV56" i="179" s="1"/>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FB25" i="179"/>
  <c r="FA25" i="179" s="1"/>
  <c r="EZ25" i="179"/>
  <c r="GK65" i="179"/>
  <c r="BY25" i="179"/>
  <c r="BR38" i="179"/>
  <c r="AO51" i="176"/>
  <c r="P50" i="176"/>
  <c r="P40" i="176"/>
  <c r="AO41" i="176"/>
  <c r="P41" i="176" s="1"/>
  <c r="EZ81" i="179"/>
  <c r="AO25" i="176"/>
  <c r="P24" i="176"/>
  <c r="BY29" i="179"/>
  <c r="BR35" i="179"/>
  <c r="GE44" i="179"/>
  <c r="GD44" i="179"/>
  <c r="GC44" i="179"/>
  <c r="GB44" i="179"/>
  <c r="GA44" i="179"/>
  <c r="AO44" i="176"/>
  <c r="P44" i="176" s="1"/>
  <c r="P43" i="176"/>
  <c r="P53" i="175"/>
  <c r="AO54" i="175"/>
  <c r="P16" i="176"/>
  <c r="AO17" i="176"/>
  <c r="GK59" i="179"/>
  <c r="BY19" i="179"/>
  <c r="FB19" i="179"/>
  <c r="FA19" i="179" s="1"/>
  <c r="EZ19" i="179"/>
  <c r="BR29" i="179"/>
  <c r="GE45" i="179"/>
  <c r="GD45" i="179"/>
  <c r="GC45" i="179"/>
  <c r="GA45" i="179"/>
  <c r="GL45" i="179" s="1"/>
  <c r="GB45" i="179"/>
  <c r="DU69" i="179"/>
  <c r="DT69" i="179"/>
  <c r="GE29" i="179"/>
  <c r="GL29" i="179" s="1"/>
  <c r="GM29" i="179" s="1"/>
  <c r="AO35" i="176"/>
  <c r="P34" i="176"/>
  <c r="N24" i="178"/>
  <c r="O24" i="178" s="1" a="1"/>
  <c r="O24" i="178" s="1"/>
  <c r="L25" i="178"/>
  <c r="AO21" i="176"/>
  <c r="P20" i="176"/>
  <c r="DN62" i="180"/>
  <c r="DM62" i="180"/>
  <c r="H2" i="170"/>
  <c r="AE16" i="170"/>
  <c r="AC17" i="170"/>
  <c r="AA18" i="170"/>
  <c r="AE24" i="170"/>
  <c r="AC25" i="170"/>
  <c r="AA26" i="170"/>
  <c r="AE32" i="170"/>
  <c r="AC33" i="170"/>
  <c r="AA34" i="170"/>
  <c r="AE40" i="170"/>
  <c r="AC41" i="170"/>
  <c r="AA42" i="170"/>
  <c r="AE48" i="170"/>
  <c r="AC49" i="170"/>
  <c r="I2" i="177"/>
  <c r="DF77" i="179"/>
  <c r="DF84" i="179"/>
  <c r="HF26" i="179"/>
  <c r="HV26" i="179"/>
  <c r="BK28" i="179"/>
  <c r="BT32" i="179"/>
  <c r="BZ34" i="179"/>
  <c r="FO35" i="179"/>
  <c r="FO36" i="179"/>
  <c r="FA77" i="179"/>
  <c r="EY77" i="179" s="1"/>
  <c r="EZ77" i="179"/>
  <c r="BZ39" i="179"/>
  <c r="FA80" i="179"/>
  <c r="EY80" i="179" s="1"/>
  <c r="EZ80" i="179"/>
  <c r="BT41" i="179"/>
  <c r="EZ43" i="179"/>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DF70" i="179"/>
  <c r="EN72" i="179"/>
  <c r="X32" i="179" s="1"/>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IN12" i="179"/>
  <c r="JD12" i="179"/>
  <c r="HG26" i="179"/>
  <c r="HW26" i="179"/>
  <c r="FQ35" i="179"/>
  <c r="FQ36" i="179"/>
  <c r="BV38" i="179"/>
  <c r="FO39" i="179"/>
  <c r="FQ42" i="179"/>
  <c r="BK42" i="179"/>
  <c r="BV43" i="179"/>
  <c r="FO45" i="179"/>
  <c r="FU55" i="179"/>
  <c r="FT55" i="179" s="1"/>
  <c r="EQ68" i="179"/>
  <c r="ER68" i="179" s="1"/>
  <c r="ES68" i="179" s="1"/>
  <c r="Y28" i="179" s="1"/>
  <c r="DF69" i="179"/>
  <c r="EN81" i="179"/>
  <c r="X41" i="179" s="1"/>
  <c r="EQ82" i="179"/>
  <c r="ER82" i="179" s="1"/>
  <c r="ES82" i="179" s="1"/>
  <c r="Y42" i="179" s="1"/>
  <c r="EN83" i="179"/>
  <c r="X43" i="179" s="1"/>
  <c r="FH55" i="180"/>
  <c r="BW15" i="180"/>
  <c r="BX15" i="180" s="1"/>
  <c r="AC18" i="170"/>
  <c r="AA19" i="170"/>
  <c r="AC26" i="170"/>
  <c r="AA27" i="170"/>
  <c r="AC34" i="170"/>
  <c r="AA35" i="170"/>
  <c r="AC42" i="170"/>
  <c r="AA43" i="170"/>
  <c r="I2" i="175"/>
  <c r="P34" i="175"/>
  <c r="P29" i="176"/>
  <c r="AO47" i="176"/>
  <c r="IO12" i="179"/>
  <c r="JE12" i="179"/>
  <c r="HH26" i="179"/>
  <c r="HX26" i="179"/>
  <c r="BT30" i="179"/>
  <c r="BV32" i="179"/>
  <c r="BK34" i="179"/>
  <c r="FQ39" i="179"/>
  <c r="BV41" i="179"/>
  <c r="FQ45" i="179"/>
  <c r="EA69" i="179"/>
  <c r="FC69" i="179"/>
  <c r="DO69" i="179"/>
  <c r="ES72" i="179"/>
  <c r="Y32" i="179" s="1"/>
  <c r="DN78" i="179"/>
  <c r="DM78" i="179"/>
  <c r="DF83" i="179"/>
  <c r="DY84" i="179"/>
  <c r="DW84" i="179"/>
  <c r="BX87" i="179"/>
  <c r="FA71" i="179"/>
  <c r="EY71" i="179" s="1"/>
  <c r="EZ71" i="179"/>
  <c r="AD26" i="170"/>
  <c r="AD34" i="170"/>
  <c r="AD42" i="170"/>
  <c r="BW23" i="179"/>
  <c r="BX23" i="179" s="1"/>
  <c r="FA69" i="179"/>
  <c r="EY69" i="179" s="1"/>
  <c r="EZ69" i="179"/>
  <c r="BT31" i="179"/>
  <c r="BZ33" i="179"/>
  <c r="BM34" i="179"/>
  <c r="BR34" i="179" s="1"/>
  <c r="FO34" i="179"/>
  <c r="FA75" i="179"/>
  <c r="EY75" i="179" s="1"/>
  <c r="EZ75" i="179"/>
  <c r="FA76" i="179"/>
  <c r="EY76" i="179" s="1"/>
  <c r="EZ76" i="179"/>
  <c r="AZ40" i="179"/>
  <c r="FH80" i="179" s="1"/>
  <c r="DN69" i="179"/>
  <c r="DN70" i="179"/>
  <c r="DM70" i="179"/>
  <c r="DF72" i="179"/>
  <c r="EF73" i="179"/>
  <c r="EE73" i="179"/>
  <c r="EG73" i="179" s="1"/>
  <c r="DL73" i="179" s="1"/>
  <c r="EW73" i="179"/>
  <c r="DF73" i="179"/>
  <c r="EN80" i="179"/>
  <c r="X40" i="179" s="1"/>
  <c r="GE40" i="179" s="1"/>
  <c r="GL40" i="179" s="1"/>
  <c r="GM40" i="179" s="1"/>
  <c r="P19" i="176"/>
  <c r="N16" i="178"/>
  <c r="O16" i="178" s="1" a="1"/>
  <c r="O16" i="178" s="1"/>
  <c r="IQ12" i="179"/>
  <c r="JG12" i="179"/>
  <c r="BZ24" i="179"/>
  <c r="BZ26" i="179"/>
  <c r="HJ26" i="179"/>
  <c r="HZ26" i="179"/>
  <c r="EZ68" i="179"/>
  <c r="BV30" i="179"/>
  <c r="FQ34" i="179"/>
  <c r="BT37" i="179"/>
  <c r="BK39" i="179"/>
  <c r="BT40" i="179"/>
  <c r="BZ44" i="179"/>
  <c r="FO44" i="179"/>
  <c r="BJ45" i="179"/>
  <c r="CZ68" i="179"/>
  <c r="DL76" i="179"/>
  <c r="DF78" i="179"/>
  <c r="DF79" i="179"/>
  <c r="EU80" i="179"/>
  <c r="EU81" i="179"/>
  <c r="FK56" i="179"/>
  <c r="FJ55" i="179"/>
  <c r="AD19" i="170"/>
  <c r="AB20" i="170"/>
  <c r="AD27" i="170"/>
  <c r="AB28" i="170"/>
  <c r="AD35" i="170"/>
  <c r="AB36" i="170"/>
  <c r="AD43" i="170"/>
  <c r="I1" i="176"/>
  <c r="IR12" i="179"/>
  <c r="JH12" i="179"/>
  <c r="EY20" i="179"/>
  <c r="HK26" i="179"/>
  <c r="IA26" i="179"/>
  <c r="BV31" i="179"/>
  <c r="BK33" i="179"/>
  <c r="EY37" i="179"/>
  <c r="BZ38" i="179"/>
  <c r="BM39" i="179"/>
  <c r="BR39" i="179" s="1"/>
  <c r="BZ41" i="179"/>
  <c r="FA82" i="179"/>
  <c r="EY82" i="179" s="1"/>
  <c r="EZ82" i="179"/>
  <c r="BZ43" i="179"/>
  <c r="FQ44" i="179"/>
  <c r="BK45" i="179"/>
  <c r="DQ69" i="179"/>
  <c r="DU72" i="179"/>
  <c r="DT72" i="179"/>
  <c r="EU73" i="179"/>
  <c r="EN73" i="179"/>
  <c r="X33" i="179" s="1"/>
  <c r="DD78" i="179"/>
  <c r="DC78" i="179"/>
  <c r="EV78" i="179" s="1"/>
  <c r="DB78" i="179"/>
  <c r="DA78" i="179"/>
  <c r="CV78" i="179"/>
  <c r="DK78" i="179" s="1"/>
  <c r="DQ84" i="179"/>
  <c r="DO84" i="179"/>
  <c r="AA13" i="170"/>
  <c r="AC20" i="170"/>
  <c r="AC28" i="170"/>
  <c r="AA29" i="170"/>
  <c r="AC36" i="170"/>
  <c r="AA37" i="170"/>
  <c r="AC44" i="170"/>
  <c r="AA45" i="170"/>
  <c r="P46" i="175"/>
  <c r="P33" i="176"/>
  <c r="P49" i="176"/>
  <c r="IS12" i="179"/>
  <c r="JI12" i="179"/>
  <c r="EZ20" i="179"/>
  <c r="BZ23" i="179"/>
  <c r="HL26" i="179"/>
  <c r="IB26" i="179"/>
  <c r="BZ32" i="179"/>
  <c r="FA74" i="179"/>
  <c r="EY74" i="179" s="1"/>
  <c r="EZ74" i="179"/>
  <c r="BV37" i="179"/>
  <c r="BV40" i="179"/>
  <c r="FO41" i="179"/>
  <c r="EN75" i="179"/>
  <c r="X35" i="179" s="1"/>
  <c r="EN78" i="179"/>
  <c r="X38" i="179" s="1"/>
  <c r="BM14" i="180"/>
  <c r="BO14" i="180"/>
  <c r="AA21" i="170"/>
  <c r="AB13" i="170"/>
  <c r="Z14" i="170"/>
  <c r="AD20" i="170"/>
  <c r="AB21" i="170"/>
  <c r="Z22" i="170"/>
  <c r="AD28" i="170"/>
  <c r="AB29" i="170"/>
  <c r="Z30" i="170"/>
  <c r="AD36" i="170"/>
  <c r="AB37" i="170"/>
  <c r="Z38" i="170"/>
  <c r="AD44" i="170"/>
  <c r="AB45" i="170"/>
  <c r="Z46" i="170"/>
  <c r="N23" i="178"/>
  <c r="O23" i="178" s="1" a="1"/>
  <c r="O23" i="178" s="1"/>
  <c r="IT12" i="179"/>
  <c r="JJ12" i="179"/>
  <c r="HM26" i="179"/>
  <c r="IC26" i="179"/>
  <c r="BT29" i="179"/>
  <c r="BT35" i="179"/>
  <c r="BT36" i="179"/>
  <c r="BK38" i="179"/>
  <c r="FQ41" i="179"/>
  <c r="BJ44" i="179"/>
  <c r="HW48" i="179"/>
  <c r="EQ69" i="179"/>
  <c r="ER69" i="179" s="1"/>
  <c r="ES69" i="179" s="1"/>
  <c r="Y29" i="179" s="1"/>
  <c r="D45" i="179"/>
  <c r="GK45" i="179" s="1"/>
  <c r="GM45" i="179" s="1"/>
  <c r="DK85" i="179"/>
  <c r="DN85" i="179"/>
  <c r="DM85" i="179"/>
  <c r="DJ69" i="179"/>
  <c r="DI69" i="179"/>
  <c r="EW69" i="179" s="1"/>
  <c r="DH69" i="179"/>
  <c r="DG69" i="179"/>
  <c r="DU77" i="179"/>
  <c r="DT77" i="179"/>
  <c r="AC29" i="170"/>
  <c r="AA30" i="170"/>
  <c r="AC37" i="170"/>
  <c r="AA38" i="170"/>
  <c r="AC45" i="170"/>
  <c r="AA46" i="170"/>
  <c r="EU83" i="179"/>
  <c r="EU75" i="179"/>
  <c r="EU82" i="179"/>
  <c r="EU71" i="179"/>
  <c r="EU78" i="179"/>
  <c r="EU77" i="179"/>
  <c r="EU69" i="179"/>
  <c r="EU76" i="179"/>
  <c r="EU68" i="179"/>
  <c r="HN26" i="179"/>
  <c r="ID26" i="179"/>
  <c r="BT28" i="179"/>
  <c r="BZ30" i="179"/>
  <c r="BK32" i="179"/>
  <c r="FO38" i="179"/>
  <c r="FA79" i="179"/>
  <c r="EY79" i="179" s="1"/>
  <c r="EZ79" i="179"/>
  <c r="BK41" i="179"/>
  <c r="BK43" i="179"/>
  <c r="FF55" i="179"/>
  <c r="DF68" i="179"/>
  <c r="EH68" i="179"/>
  <c r="EJ68" i="179" s="1"/>
  <c r="DS68" i="179" s="1"/>
  <c r="EO69" i="179"/>
  <c r="FD69" i="179"/>
  <c r="CW69" i="179"/>
  <c r="CV69" i="179"/>
  <c r="DK69" i="179" s="1"/>
  <c r="DD70" i="179"/>
  <c r="DC70" i="179"/>
  <c r="DB70" i="179"/>
  <c r="DA70" i="179"/>
  <c r="CV70" i="179"/>
  <c r="DK70" i="179" s="1"/>
  <c r="EU70" i="179"/>
  <c r="DF71" i="179"/>
  <c r="DS74" i="179"/>
  <c r="DN75" i="179"/>
  <c r="DM75" i="179"/>
  <c r="DF75" i="179"/>
  <c r="EQ76" i="179"/>
  <c r="ER76" i="179" s="1"/>
  <c r="ES76" i="179" s="1"/>
  <c r="Y36" i="179" s="1"/>
  <c r="EQ77" i="179"/>
  <c r="ER77" i="179" s="1"/>
  <c r="ES77" i="179" s="1"/>
  <c r="Y37" i="179" s="1"/>
  <c r="EU85" i="179"/>
  <c r="BO24" i="180"/>
  <c r="BM24" i="180"/>
  <c r="GE38" i="180"/>
  <c r="GD38" i="180"/>
  <c r="GC38" i="180"/>
  <c r="GB38" i="180"/>
  <c r="GA38" i="180"/>
  <c r="AC13" i="170"/>
  <c r="AC21" i="170"/>
  <c r="AA22" i="170"/>
  <c r="AD13" i="170"/>
  <c r="AB14" i="170"/>
  <c r="AD21" i="170"/>
  <c r="AB22" i="170"/>
  <c r="AD29" i="170"/>
  <c r="AB30" i="170"/>
  <c r="AD37" i="170"/>
  <c r="AB38" i="170"/>
  <c r="AD45" i="170"/>
  <c r="AB46" i="170"/>
  <c r="HO26" i="179"/>
  <c r="BV29" i="179"/>
  <c r="BZ31" i="179"/>
  <c r="FA73" i="179"/>
  <c r="EY73" i="179" s="1"/>
  <c r="BV35" i="179"/>
  <c r="EZ35" i="179"/>
  <c r="EZ36" i="179"/>
  <c r="BZ40" i="179"/>
  <c r="BT42" i="179"/>
  <c r="CV68" i="179"/>
  <c r="DK68" i="179" s="1"/>
  <c r="DJ68" i="179"/>
  <c r="DI68" i="179"/>
  <c r="DG68" i="179"/>
  <c r="EW68" i="179"/>
  <c r="EI68" i="179"/>
  <c r="EL70" i="179"/>
  <c r="EM70" i="179" s="1"/>
  <c r="EN70" i="179" s="1"/>
  <c r="X30" i="179" s="1"/>
  <c r="GE30" i="179" s="1"/>
  <c r="GL30" i="179" s="1"/>
  <c r="GM30" i="179" s="1"/>
  <c r="EZ73" i="179"/>
  <c r="EO77" i="179"/>
  <c r="FD77" i="179"/>
  <c r="CW77" i="179"/>
  <c r="DN83" i="179"/>
  <c r="DM83" i="179"/>
  <c r="EV83" i="179"/>
  <c r="EU84" i="179"/>
  <c r="BO87" i="179"/>
  <c r="BQ87" i="179"/>
  <c r="BP87" i="179"/>
  <c r="BN87" i="179"/>
  <c r="BM87" i="179"/>
  <c r="BR87" i="179" s="1"/>
  <c r="DU66" i="180"/>
  <c r="DT66" i="180"/>
  <c r="EA80" i="179"/>
  <c r="FC80" i="179"/>
  <c r="AC22" i="170"/>
  <c r="AC30" i="170"/>
  <c r="AC38" i="170"/>
  <c r="AE45" i="170"/>
  <c r="AC46" i="170"/>
  <c r="IW12" i="179"/>
  <c r="BZ22" i="179"/>
  <c r="HP26" i="179"/>
  <c r="BV28" i="179"/>
  <c r="BK30" i="179"/>
  <c r="BT34" i="179"/>
  <c r="BZ37" i="179"/>
  <c r="FO40" i="179"/>
  <c r="BO43" i="179"/>
  <c r="BR43" i="179" s="1"/>
  <c r="BO44" i="179"/>
  <c r="BR44" i="179" s="1"/>
  <c r="GI87" i="179"/>
  <c r="GJ87" i="179" s="1"/>
  <c r="DH68" i="179"/>
  <c r="EL71" i="179"/>
  <c r="EM71" i="179" s="1"/>
  <c r="EN71" i="179" s="1"/>
  <c r="X31" i="179" s="1"/>
  <c r="GE31" i="179" s="1"/>
  <c r="GL31" i="179" s="1"/>
  <c r="GM31" i="179" s="1"/>
  <c r="EA72" i="179"/>
  <c r="EU74" i="179"/>
  <c r="EQ75" i="179"/>
  <c r="ER75" i="179" s="1"/>
  <c r="ES75" i="179" s="1"/>
  <c r="Y35" i="179" s="1"/>
  <c r="DF80" i="179"/>
  <c r="EW62" i="180"/>
  <c r="DF62" i="180"/>
  <c r="H4" i="170"/>
  <c r="AD14" i="170"/>
  <c r="AB15" i="170"/>
  <c r="Z16" i="170"/>
  <c r="AD22" i="170"/>
  <c r="AB23" i="170"/>
  <c r="Z24" i="170"/>
  <c r="AD30" i="170"/>
  <c r="AB31" i="170"/>
  <c r="Z32" i="170"/>
  <c r="AD38" i="170"/>
  <c r="AB39" i="170"/>
  <c r="Z40" i="170"/>
  <c r="AD46" i="170"/>
  <c r="AB47" i="170"/>
  <c r="Z48" i="170"/>
  <c r="IX12" i="179"/>
  <c r="BW16" i="179"/>
  <c r="BX16" i="179" s="1"/>
  <c r="HQ26" i="179"/>
  <c r="BK31" i="179"/>
  <c r="EY34" i="179"/>
  <c r="FA78" i="179"/>
  <c r="EY78" i="179" s="1"/>
  <c r="EZ78" i="179"/>
  <c r="FQ40" i="179"/>
  <c r="BV42" i="179"/>
  <c r="FA83" i="179"/>
  <c r="EY83" i="179" s="1"/>
  <c r="EZ83" i="179"/>
  <c r="BP44" i="179"/>
  <c r="FN55" i="179"/>
  <c r="FW55" i="179" s="1"/>
  <c r="FV55" i="179" s="1"/>
  <c r="DN68" i="179"/>
  <c r="CZ69" i="179"/>
  <c r="DU80" i="179"/>
  <c r="DT80" i="179"/>
  <c r="EH82" i="179"/>
  <c r="EJ82" i="179" s="1"/>
  <c r="DS82" i="179" s="1"/>
  <c r="EQ83" i="179"/>
  <c r="ER83" i="179" s="1"/>
  <c r="ES83" i="179" s="1"/>
  <c r="Y43" i="179" s="1"/>
  <c r="AA14" i="170"/>
  <c r="AE14" i="170"/>
  <c r="AA16" i="170"/>
  <c r="AE22" i="170"/>
  <c r="AA24" i="170"/>
  <c r="AE30" i="170"/>
  <c r="AA32" i="170"/>
  <c r="AE38" i="170"/>
  <c r="AA40" i="170"/>
  <c r="AE46" i="170"/>
  <c r="AA48" i="170"/>
  <c r="IY12" i="179"/>
  <c r="AR17" i="179"/>
  <c r="FF57" i="179" s="1"/>
  <c r="BZ18" i="179"/>
  <c r="HR26" i="179"/>
  <c r="FA72" i="179"/>
  <c r="EY72" i="179" s="1"/>
  <c r="EZ72" i="179"/>
  <c r="BV34" i="179"/>
  <c r="EZ34" i="179"/>
  <c r="BK37" i="179"/>
  <c r="FA81" i="179"/>
  <c r="EY81" i="179" s="1"/>
  <c r="FO55" i="179"/>
  <c r="FX55" i="179" s="1"/>
  <c r="DO68" i="179"/>
  <c r="ET68" i="179"/>
  <c r="FB71" i="179"/>
  <c r="DZ71" i="179"/>
  <c r="DN72" i="179"/>
  <c r="DM72" i="179"/>
  <c r="EN82" i="179"/>
  <c r="X42" i="179" s="1"/>
  <c r="GE42" i="179" s="1"/>
  <c r="GL42" i="179" s="1"/>
  <c r="GM42" i="179" s="1"/>
  <c r="AC14" i="170"/>
  <c r="BK87" i="179"/>
  <c r="BK44" i="179"/>
  <c r="BZ42" i="179"/>
  <c r="BZ87" i="179"/>
  <c r="IZ12" i="179"/>
  <c r="FQ20" i="179"/>
  <c r="BZ21" i="179"/>
  <c r="HS26" i="179"/>
  <c r="BZ29" i="179"/>
  <c r="BT33" i="179"/>
  <c r="BZ35" i="179"/>
  <c r="BZ36" i="179"/>
  <c r="FO37" i="179"/>
  <c r="BV39" i="179"/>
  <c r="CZ85" i="179"/>
  <c r="BM17" i="180"/>
  <c r="BR17" i="180" s="1"/>
  <c r="BO17" i="180"/>
  <c r="GK62" i="180"/>
  <c r="BY22" i="180"/>
  <c r="FB22" i="180"/>
  <c r="FA22" i="180" s="1"/>
  <c r="EZ22" i="180"/>
  <c r="GE32" i="180"/>
  <c r="GD32" i="180"/>
  <c r="GC32" i="180"/>
  <c r="GB32" i="180"/>
  <c r="GA32" i="180"/>
  <c r="EZ32" i="180"/>
  <c r="EY32" i="180"/>
  <c r="FQ32" i="180"/>
  <c r="JA12" i="179"/>
  <c r="BZ28" i="179"/>
  <c r="FA70" i="179"/>
  <c r="EY70" i="179" s="1"/>
  <c r="EZ70" i="179"/>
  <c r="EV70" i="179"/>
  <c r="EU72" i="179"/>
  <c r="EW75" i="179"/>
  <c r="EN77" i="179"/>
  <c r="X37" i="179" s="1"/>
  <c r="GE37" i="179" s="1"/>
  <c r="GL37" i="179" s="1"/>
  <c r="GM37" i="179" s="1"/>
  <c r="CZ84" i="179"/>
  <c r="EF62" i="180"/>
  <c r="EQ70" i="179"/>
  <c r="ER70" i="179" s="1"/>
  <c r="ES70" i="179" s="1"/>
  <c r="Y30" i="179" s="1"/>
  <c r="DA75" i="179"/>
  <c r="EQ78" i="179"/>
  <c r="ER78" i="179" s="1"/>
  <c r="ES78" i="179" s="1"/>
  <c r="Y38" i="179" s="1"/>
  <c r="DF85" i="180"/>
  <c r="DF74" i="180"/>
  <c r="DF80" i="180"/>
  <c r="DF55" i="180"/>
  <c r="DF71" i="180"/>
  <c r="CZ58" i="180"/>
  <c r="DF79" i="180"/>
  <c r="DF67" i="180"/>
  <c r="CZ74" i="180"/>
  <c r="CZ67" i="180"/>
  <c r="FA64" i="180"/>
  <c r="EY64" i="180" s="1"/>
  <c r="EZ64" i="180"/>
  <c r="FA65" i="180"/>
  <c r="EY65" i="180" s="1"/>
  <c r="EZ65" i="180"/>
  <c r="FQ44" i="180"/>
  <c r="FQ28" i="180"/>
  <c r="FQ35" i="180"/>
  <c r="GF27" i="180"/>
  <c r="FQ31" i="180"/>
  <c r="FO27" i="180"/>
  <c r="FO37" i="180"/>
  <c r="FO44" i="180"/>
  <c r="EY27" i="180"/>
  <c r="FO40" i="180"/>
  <c r="FO38" i="180"/>
  <c r="FO36" i="180"/>
  <c r="FQ27" i="180"/>
  <c r="FO34" i="180"/>
  <c r="FO41" i="180"/>
  <c r="FO32" i="180"/>
  <c r="FO28" i="180"/>
  <c r="GE43" i="180"/>
  <c r="GD43" i="180"/>
  <c r="GC43" i="180"/>
  <c r="GB43" i="180"/>
  <c r="GA43" i="180"/>
  <c r="GL43" i="180" s="1"/>
  <c r="EN54" i="180"/>
  <c r="X14" i="180" s="1"/>
  <c r="GE14" i="180" s="1"/>
  <c r="GL14" i="180" s="1"/>
  <c r="GM14" i="180" s="1"/>
  <c r="DU56" i="180"/>
  <c r="DT56" i="180"/>
  <c r="DV62" i="180"/>
  <c r="DF63" i="180"/>
  <c r="DX67" i="180"/>
  <c r="DV67" i="180"/>
  <c r="DN74" i="180"/>
  <c r="DM74" i="180"/>
  <c r="DB75" i="179"/>
  <c r="EH75" i="179"/>
  <c r="EJ75" i="179" s="1"/>
  <c r="DS75" i="179" s="1"/>
  <c r="CZ76" i="179"/>
  <c r="DZ79" i="179"/>
  <c r="DF81" i="179"/>
  <c r="EH83" i="179"/>
  <c r="EJ83" i="179" s="1"/>
  <c r="DS83" i="179" s="1"/>
  <c r="JC12" i="180"/>
  <c r="IM12" i="180"/>
  <c r="HP12" i="180"/>
  <c r="IZ12" i="180"/>
  <c r="IC12" i="180"/>
  <c r="HM12" i="180"/>
  <c r="HL12" i="180"/>
  <c r="IL12" i="180"/>
  <c r="JE12" i="180"/>
  <c r="FA54" i="180"/>
  <c r="EY54" i="180" s="1"/>
  <c r="EZ54" i="180"/>
  <c r="BV15" i="180"/>
  <c r="FF24" i="180"/>
  <c r="FQ40" i="180"/>
  <c r="BZ41" i="180"/>
  <c r="EQ54" i="180"/>
  <c r="ER54" i="180" s="1"/>
  <c r="ES54" i="180" s="1"/>
  <c r="Y14" i="180" s="1"/>
  <c r="DB63" i="180"/>
  <c r="DA63" i="180"/>
  <c r="DD63" i="180"/>
  <c r="DC63" i="180"/>
  <c r="EV63" i="180" s="1"/>
  <c r="CV63" i="180"/>
  <c r="DK63" i="180" s="1"/>
  <c r="ES63" i="180"/>
  <c r="Y23" i="180" s="1"/>
  <c r="DU67" i="180"/>
  <c r="EN71" i="180"/>
  <c r="X31" i="180" s="1"/>
  <c r="CW70" i="179"/>
  <c r="EQ71" i="179"/>
  <c r="ER71" i="179" s="1"/>
  <c r="ES71" i="179" s="1"/>
  <c r="Y31" i="179" s="1"/>
  <c r="FC73" i="179"/>
  <c r="DC75" i="179"/>
  <c r="EV75" i="179" s="1"/>
  <c r="CW78" i="179"/>
  <c r="EQ79" i="179"/>
  <c r="ER79" i="179" s="1"/>
  <c r="ES79" i="179" s="1"/>
  <c r="Y39" i="179" s="1"/>
  <c r="GE39" i="179" s="1"/>
  <c r="GL39" i="179" s="1"/>
  <c r="GM39" i="179" s="1"/>
  <c r="FC81" i="179"/>
  <c r="EI83" i="179"/>
  <c r="HN12" i="180"/>
  <c r="IN12" i="180"/>
  <c r="JF12" i="180"/>
  <c r="BK22" i="180"/>
  <c r="BN28" i="180"/>
  <c r="BR28" i="180" s="1"/>
  <c r="BQ28" i="180"/>
  <c r="BP28" i="180"/>
  <c r="FO30" i="180"/>
  <c r="FO35" i="180"/>
  <c r="BJ35" i="180"/>
  <c r="GF35" i="180"/>
  <c r="FA75" i="180"/>
  <c r="EY75" i="180" s="1"/>
  <c r="EZ75" i="180"/>
  <c r="DU60" i="180"/>
  <c r="DT60" i="180"/>
  <c r="EN62" i="180"/>
  <c r="X22" i="180" s="1"/>
  <c r="GE22" i="180" s="1"/>
  <c r="GL22" i="180" s="1"/>
  <c r="GM22" i="180" s="1"/>
  <c r="DF65" i="180"/>
  <c r="DK74" i="180"/>
  <c r="E34" i="180"/>
  <c r="D34" i="180"/>
  <c r="GK34" i="180" s="1"/>
  <c r="CV71" i="179"/>
  <c r="DK71" i="179" s="1"/>
  <c r="DF74" i="179"/>
  <c r="EL74" i="179"/>
  <c r="EM74" i="179" s="1"/>
  <c r="EN74" i="179" s="1"/>
  <c r="X34" i="179" s="1"/>
  <c r="GE34" i="179" s="1"/>
  <c r="GL34" i="179" s="1"/>
  <c r="GM34" i="179" s="1"/>
  <c r="DD75" i="179"/>
  <c r="EH76" i="179"/>
  <c r="EJ76" i="179" s="1"/>
  <c r="DS76" i="179" s="1"/>
  <c r="CZ77" i="179"/>
  <c r="CV79" i="179"/>
  <c r="DK79" i="179" s="1"/>
  <c r="DJ80" i="179"/>
  <c r="FD81" i="179"/>
  <c r="DF82" i="179"/>
  <c r="DD83" i="179"/>
  <c r="EQ85" i="179"/>
  <c r="ER85" i="179" s="1"/>
  <c r="ES85" i="179" s="1"/>
  <c r="Y45" i="179" s="1"/>
  <c r="HO12" i="180"/>
  <c r="IO12" i="180"/>
  <c r="JG12" i="180"/>
  <c r="BR22" i="180"/>
  <c r="BT24" i="180"/>
  <c r="BR29" i="180"/>
  <c r="EQ40" i="180"/>
  <c r="GM43" i="180"/>
  <c r="EQ80" i="179"/>
  <c r="ER80" i="179" s="1"/>
  <c r="ES80" i="179" s="1"/>
  <c r="Y40" i="179" s="1"/>
  <c r="FE81" i="179"/>
  <c r="DG82" i="179"/>
  <c r="BK16" i="180"/>
  <c r="BK18" i="180"/>
  <c r="BK20" i="180"/>
  <c r="FO29" i="180"/>
  <c r="GE30" i="180"/>
  <c r="GD30" i="180"/>
  <c r="GC30" i="180"/>
  <c r="GA30" i="180"/>
  <c r="BR35" i="180"/>
  <c r="CZ55" i="180"/>
  <c r="FJ57" i="180"/>
  <c r="FK58" i="180"/>
  <c r="DN68" i="180"/>
  <c r="DM68" i="180"/>
  <c r="I38" i="180"/>
  <c r="BS38" i="180" s="1"/>
  <c r="H38" i="180"/>
  <c r="G38" i="180"/>
  <c r="CZ70" i="179"/>
  <c r="CV72" i="179"/>
  <c r="DK72" i="179" s="1"/>
  <c r="DH74" i="179"/>
  <c r="FD74" i="179"/>
  <c r="CZ78" i="179"/>
  <c r="CX79" i="179"/>
  <c r="DH82" i="179"/>
  <c r="FD82" i="179"/>
  <c r="DT84" i="179"/>
  <c r="DH85" i="179"/>
  <c r="BT25" i="180"/>
  <c r="BT20" i="180"/>
  <c r="BV19" i="180"/>
  <c r="BT18" i="180"/>
  <c r="BV26" i="180"/>
  <c r="BT19" i="180"/>
  <c r="BV23" i="180"/>
  <c r="BV17" i="180"/>
  <c r="HR12" i="180"/>
  <c r="IQ12" i="180"/>
  <c r="JI12" i="180"/>
  <c r="BT14" i="180"/>
  <c r="BZ15" i="180"/>
  <c r="BT17" i="180"/>
  <c r="BR18" i="180"/>
  <c r="BZ19" i="180"/>
  <c r="BR20" i="180"/>
  <c r="FG63" i="180"/>
  <c r="BV24" i="180"/>
  <c r="FQ29" i="180"/>
  <c r="FO33" i="180"/>
  <c r="FQ33" i="180"/>
  <c r="EN56" i="180"/>
  <c r="X16" i="180" s="1"/>
  <c r="GE16" i="180" s="1"/>
  <c r="GL16" i="180" s="1"/>
  <c r="GM16" i="180" s="1"/>
  <c r="CZ57" i="180"/>
  <c r="CZ59" i="180"/>
  <c r="EN78" i="180"/>
  <c r="X38" i="180" s="1"/>
  <c r="EE71" i="179"/>
  <c r="EG71" i="179" s="1"/>
  <c r="DL71" i="179" s="1"/>
  <c r="EQ73" i="179"/>
  <c r="ER73" i="179" s="1"/>
  <c r="ES73" i="179" s="1"/>
  <c r="Y33" i="179" s="1"/>
  <c r="EO74" i="179"/>
  <c r="EE79" i="179"/>
  <c r="EG79" i="179" s="1"/>
  <c r="DL79" i="179" s="1"/>
  <c r="EU79" i="179"/>
  <c r="EQ81" i="179"/>
  <c r="ER81" i="179" s="1"/>
  <c r="ES81" i="179" s="1"/>
  <c r="Y41" i="179" s="1"/>
  <c r="DI82" i="179"/>
  <c r="EW82" i="179" s="1"/>
  <c r="EO82" i="179"/>
  <c r="FE82" i="179"/>
  <c r="DG83" i="179"/>
  <c r="FC83" i="179"/>
  <c r="DJ85" i="179"/>
  <c r="HS12" i="180"/>
  <c r="IR12" i="180"/>
  <c r="JJ12" i="180"/>
  <c r="EQ16" i="180"/>
  <c r="BK21" i="180"/>
  <c r="EZ62" i="180"/>
  <c r="FA62" i="180"/>
  <c r="EY62" i="180" s="1"/>
  <c r="FF23" i="180"/>
  <c r="FO31" i="180"/>
  <c r="BR34" i="180"/>
  <c r="GE45" i="180"/>
  <c r="GD45" i="180"/>
  <c r="GC45" i="180"/>
  <c r="GB45" i="180"/>
  <c r="GA45" i="180"/>
  <c r="EN59" i="180"/>
  <c r="X19" i="180" s="1"/>
  <c r="EI65" i="180"/>
  <c r="EH65" i="180"/>
  <c r="EJ65" i="180" s="1"/>
  <c r="DS65" i="180" s="1"/>
  <c r="ES68" i="180"/>
  <c r="Y28" i="180" s="1"/>
  <c r="P43" i="180"/>
  <c r="O43" i="180"/>
  <c r="EL68" i="179"/>
  <c r="EM68" i="179" s="1"/>
  <c r="EN68" i="179" s="1"/>
  <c r="X28" i="179" s="1"/>
  <c r="GE28" i="179" s="1"/>
  <c r="GL28" i="179" s="1"/>
  <c r="GM28" i="179" s="1"/>
  <c r="EH70" i="179"/>
  <c r="EJ70" i="179" s="1"/>
  <c r="DS70" i="179" s="1"/>
  <c r="CZ71" i="179"/>
  <c r="CV73" i="179"/>
  <c r="DK73" i="179" s="1"/>
  <c r="DH75" i="179"/>
  <c r="EL76" i="179"/>
  <c r="EM76" i="179" s="1"/>
  <c r="EN76" i="179" s="1"/>
  <c r="X36" i="179" s="1"/>
  <c r="GE36" i="179" s="1"/>
  <c r="GL36" i="179" s="1"/>
  <c r="GM36" i="179" s="1"/>
  <c r="EH78" i="179"/>
  <c r="EJ78" i="179" s="1"/>
  <c r="DS78" i="179" s="1"/>
  <c r="CZ79" i="179"/>
  <c r="CX80" i="179"/>
  <c r="CV81" i="179"/>
  <c r="DK81" i="179" s="1"/>
  <c r="DJ82" i="179"/>
  <c r="DH83" i="179"/>
  <c r="FE84" i="179"/>
  <c r="DF85" i="179"/>
  <c r="HT12" i="180"/>
  <c r="IS12" i="180"/>
  <c r="JK12" i="180"/>
  <c r="BV14" i="180"/>
  <c r="FA56" i="180"/>
  <c r="EY56" i="180" s="1"/>
  <c r="EZ56" i="180"/>
  <c r="BW21" i="180"/>
  <c r="BX21" i="180" s="1"/>
  <c r="EX22" i="180" s="1"/>
  <c r="BT23" i="180"/>
  <c r="BZ24" i="180"/>
  <c r="BQ33" i="180"/>
  <c r="BP33" i="180"/>
  <c r="BO33" i="180"/>
  <c r="BN33" i="180"/>
  <c r="BM33" i="180"/>
  <c r="EI59" i="180"/>
  <c r="EH59" i="180"/>
  <c r="EJ59" i="180" s="1"/>
  <c r="DS59" i="180" s="1"/>
  <c r="DF59" i="180"/>
  <c r="DN77" i="180"/>
  <c r="DM77" i="180"/>
  <c r="DF77" i="180"/>
  <c r="DA71" i="179"/>
  <c r="EW71" i="179"/>
  <c r="EQ74" i="179"/>
  <c r="ER74" i="179" s="1"/>
  <c r="ES74" i="179" s="1"/>
  <c r="Y34" i="179" s="1"/>
  <c r="FE75" i="179"/>
  <c r="DG76" i="179"/>
  <c r="DA79" i="179"/>
  <c r="EW79" i="179"/>
  <c r="EE80" i="179"/>
  <c r="EG80" i="179" s="1"/>
  <c r="DL80" i="179" s="1"/>
  <c r="DI83" i="179"/>
  <c r="EW83" i="179" s="1"/>
  <c r="FE83" i="179"/>
  <c r="DG84" i="179"/>
  <c r="EO84" i="179"/>
  <c r="HU12" i="180"/>
  <c r="IT12" i="180"/>
  <c r="BW14" i="180"/>
  <c r="BX14" i="180" s="1"/>
  <c r="BK15" i="180"/>
  <c r="FA58" i="180"/>
  <c r="EY58" i="180" s="1"/>
  <c r="EZ58" i="180"/>
  <c r="FA60" i="180"/>
  <c r="EY60" i="180" s="1"/>
  <c r="EZ60" i="180"/>
  <c r="EZ27" i="180"/>
  <c r="FA70" i="180"/>
  <c r="EY70" i="180" s="1"/>
  <c r="EZ70" i="180"/>
  <c r="DN60" i="180"/>
  <c r="DM60" i="180"/>
  <c r="DN63" i="180"/>
  <c r="DM63" i="180"/>
  <c r="EN65" i="180"/>
  <c r="X25" i="180" s="1"/>
  <c r="DB71" i="179"/>
  <c r="EH71" i="179"/>
  <c r="EJ71" i="179" s="1"/>
  <c r="DS71" i="179" s="1"/>
  <c r="CZ72" i="179"/>
  <c r="DH76" i="179"/>
  <c r="DB79" i="179"/>
  <c r="EH79" i="179"/>
  <c r="EJ79" i="179" s="1"/>
  <c r="DS79" i="179" s="1"/>
  <c r="CZ80" i="179"/>
  <c r="CX81" i="179"/>
  <c r="DH84" i="179"/>
  <c r="EL85" i="179"/>
  <c r="EM85" i="179" s="1"/>
  <c r="EN85" i="179" s="1"/>
  <c r="X45" i="179" s="1"/>
  <c r="EW85" i="179"/>
  <c r="HV12" i="180"/>
  <c r="IU12" i="180"/>
  <c r="BW19" i="180"/>
  <c r="BX19" i="180" s="1"/>
  <c r="BT22" i="180"/>
  <c r="DN61" i="180"/>
  <c r="DM61" i="180"/>
  <c r="DU63" i="180"/>
  <c r="DT63" i="180"/>
  <c r="ES73" i="180"/>
  <c r="Y33" i="180" s="1"/>
  <c r="BO45" i="179"/>
  <c r="FA85" i="179" s="1"/>
  <c r="EY85" i="179" s="1"/>
  <c r="EO68" i="179"/>
  <c r="DC71" i="179"/>
  <c r="EV71" i="179" s="1"/>
  <c r="DA72" i="179"/>
  <c r="DI76" i="179"/>
  <c r="EW76" i="179" s="1"/>
  <c r="EO76" i="179"/>
  <c r="DG77" i="179"/>
  <c r="FC77" i="179"/>
  <c r="DC79" i="179"/>
  <c r="EV79" i="179" s="1"/>
  <c r="DA80" i="179"/>
  <c r="EE81" i="179"/>
  <c r="EG81" i="179" s="1"/>
  <c r="DL81" i="179" s="1"/>
  <c r="DI84" i="179"/>
  <c r="EW84" i="179" s="1"/>
  <c r="EQ84" i="179"/>
  <c r="ER84" i="179" s="1"/>
  <c r="ES84" i="179" s="1"/>
  <c r="Y44" i="179" s="1"/>
  <c r="HD12" i="180"/>
  <c r="HW12" i="180"/>
  <c r="IV12" i="180"/>
  <c r="BO15" i="180"/>
  <c r="BR15" i="180" s="1"/>
  <c r="BT16" i="180"/>
  <c r="BZ17" i="180"/>
  <c r="BV22" i="180"/>
  <c r="BW26" i="180"/>
  <c r="BX26" i="180" s="1"/>
  <c r="GE36" i="180"/>
  <c r="GD36" i="180"/>
  <c r="GC36" i="180"/>
  <c r="GB36" i="180"/>
  <c r="GA36" i="180"/>
  <c r="FQ37" i="180"/>
  <c r="FQ42" i="180"/>
  <c r="ES60" i="180"/>
  <c r="Y20" i="180" s="1"/>
  <c r="EN60" i="180"/>
  <c r="X20" i="180" s="1"/>
  <c r="GE20" i="180" s="1"/>
  <c r="GL20" i="180" s="1"/>
  <c r="GM20" i="180" s="1"/>
  <c r="DB72" i="179"/>
  <c r="CZ73" i="179"/>
  <c r="CX74" i="179"/>
  <c r="DJ76" i="179"/>
  <c r="DH77" i="179"/>
  <c r="CZ81" i="179"/>
  <c r="CX82" i="179"/>
  <c r="DJ84" i="179"/>
  <c r="Q4" i="180"/>
  <c r="AU4" i="180" s="1"/>
  <c r="HF12" i="180"/>
  <c r="HX12" i="180"/>
  <c r="IW12" i="180"/>
  <c r="BK19" i="180"/>
  <c r="BV20" i="180"/>
  <c r="BZ22" i="180"/>
  <c r="FA66" i="180"/>
  <c r="EY66" i="180" s="1"/>
  <c r="EZ66" i="180"/>
  <c r="BJ27" i="180"/>
  <c r="GE34" i="180"/>
  <c r="GD34" i="180"/>
  <c r="GC34" i="180"/>
  <c r="GB34" i="180"/>
  <c r="GA34" i="180"/>
  <c r="HS48" i="180"/>
  <c r="DS55" i="180"/>
  <c r="DN59" i="180"/>
  <c r="DM59" i="180"/>
  <c r="DG70" i="179"/>
  <c r="DC72" i="179"/>
  <c r="EV72" i="179" s="1"/>
  <c r="DA73" i="179"/>
  <c r="EE74" i="179"/>
  <c r="EG74" i="179" s="1"/>
  <c r="DL74" i="179" s="1"/>
  <c r="DI77" i="179"/>
  <c r="EW77" i="179" s="1"/>
  <c r="DA81" i="179"/>
  <c r="EE82" i="179"/>
  <c r="EG82" i="179" s="1"/>
  <c r="DL82" i="179" s="1"/>
  <c r="EH85" i="179"/>
  <c r="EJ85" i="179" s="1"/>
  <c r="DS85" i="179" s="1"/>
  <c r="HG12" i="180"/>
  <c r="HY12" i="180"/>
  <c r="IX12" i="180"/>
  <c r="BV16" i="180"/>
  <c r="BV18" i="180"/>
  <c r="BW25" i="180"/>
  <c r="BX25" i="180" s="1"/>
  <c r="FF65" i="180"/>
  <c r="FA76" i="180"/>
  <c r="EY76" i="180" s="1"/>
  <c r="EZ76" i="180"/>
  <c r="FO42" i="180"/>
  <c r="DU58" i="180"/>
  <c r="DT58" i="180"/>
  <c r="DU80" i="180"/>
  <c r="DT80" i="180"/>
  <c r="DH70" i="179"/>
  <c r="FD70" i="179"/>
  <c r="DB73" i="179"/>
  <c r="EH73" i="179"/>
  <c r="EJ73" i="179" s="1"/>
  <c r="DS73" i="179" s="1"/>
  <c r="CZ74" i="179"/>
  <c r="CX75" i="179"/>
  <c r="FD78" i="179"/>
  <c r="DB81" i="179"/>
  <c r="EH81" i="179"/>
  <c r="EJ81" i="179" s="1"/>
  <c r="DS81" i="179" s="1"/>
  <c r="CZ82" i="179"/>
  <c r="CX83" i="179"/>
  <c r="BZ32" i="180"/>
  <c r="BK30" i="180"/>
  <c r="BK26" i="180"/>
  <c r="BZ39" i="180"/>
  <c r="BK37" i="180"/>
  <c r="BK44" i="180"/>
  <c r="BZ30" i="180"/>
  <c r="BK28" i="180"/>
  <c r="BZ26" i="180"/>
  <c r="BZ37" i="180"/>
  <c r="BK35" i="180"/>
  <c r="BZ21" i="180"/>
  <c r="BZ44" i="180"/>
  <c r="BK42" i="180"/>
  <c r="BZ28" i="180"/>
  <c r="BK23" i="180"/>
  <c r="BZ35" i="180"/>
  <c r="BK33" i="180"/>
  <c r="BZ42" i="180"/>
  <c r="BK40" i="180"/>
  <c r="BZ23" i="180"/>
  <c r="BZ14" i="180"/>
  <c r="BZ33" i="180"/>
  <c r="BK31" i="180"/>
  <c r="BZ40" i="180"/>
  <c r="BK38" i="180"/>
  <c r="BK45" i="180"/>
  <c r="BZ31" i="180"/>
  <c r="BK29" i="180"/>
  <c r="BK24" i="180"/>
  <c r="BZ38" i="180"/>
  <c r="BK36" i="180"/>
  <c r="BK43" i="180"/>
  <c r="BZ29" i="180"/>
  <c r="BZ45" i="180"/>
  <c r="BZ36" i="180"/>
  <c r="BK34" i="180"/>
  <c r="BZ43" i="180"/>
  <c r="BK41" i="180"/>
  <c r="BZ27" i="180"/>
  <c r="BZ25" i="180"/>
  <c r="BZ34" i="180"/>
  <c r="BK32" i="180"/>
  <c r="HH12" i="180"/>
  <c r="HZ12" i="180"/>
  <c r="IY12" i="180"/>
  <c r="BK25" i="180"/>
  <c r="GE31" i="180"/>
  <c r="GD31" i="180"/>
  <c r="GC31" i="180"/>
  <c r="GB31" i="180"/>
  <c r="GA31" i="180"/>
  <c r="IQ48" i="180"/>
  <c r="IA48" i="180"/>
  <c r="IN48" i="180"/>
  <c r="HX48" i="180"/>
  <c r="IJ48" i="180"/>
  <c r="HR48" i="180"/>
  <c r="II48" i="180"/>
  <c r="HQ48" i="180"/>
  <c r="IH48" i="180"/>
  <c r="IG48" i="180"/>
  <c r="IF48" i="180"/>
  <c r="IE48" i="180"/>
  <c r="ID48" i="180"/>
  <c r="IC48" i="180"/>
  <c r="IT48" i="180"/>
  <c r="IB48" i="180"/>
  <c r="IS48" i="180"/>
  <c r="HZ48" i="180"/>
  <c r="IR48" i="180"/>
  <c r="HY48" i="180"/>
  <c r="IP48" i="180"/>
  <c r="HW48" i="180"/>
  <c r="IO48" i="180"/>
  <c r="HV48" i="180"/>
  <c r="IM48" i="180"/>
  <c r="HU48" i="180"/>
  <c r="IL48" i="180"/>
  <c r="HT48" i="180"/>
  <c r="DN55" i="180"/>
  <c r="DM55" i="180"/>
  <c r="EN58" i="180"/>
  <c r="X18" i="180" s="1"/>
  <c r="GE18" i="180" s="1"/>
  <c r="GL18" i="180" s="1"/>
  <c r="GM18" i="180" s="1"/>
  <c r="ES59" i="180"/>
  <c r="Y19" i="180" s="1"/>
  <c r="FB61" i="180"/>
  <c r="DZ61" i="180"/>
  <c r="DU61" i="180"/>
  <c r="DT61" i="180"/>
  <c r="EN63" i="180"/>
  <c r="X23" i="180" s="1"/>
  <c r="GE23" i="180" s="1"/>
  <c r="GL23" i="180" s="1"/>
  <c r="GM23" i="180" s="1"/>
  <c r="EF64" i="180"/>
  <c r="EE64" i="180"/>
  <c r="EG64" i="180" s="1"/>
  <c r="DL64" i="180" s="1"/>
  <c r="DF64" i="180"/>
  <c r="EW64" i="180"/>
  <c r="EV66" i="180"/>
  <c r="CZ66" i="180"/>
  <c r="CZ68" i="180"/>
  <c r="CW84" i="179"/>
  <c r="M44" i="179" s="1"/>
  <c r="HI12" i="180"/>
  <c r="IA12" i="180"/>
  <c r="JA12" i="180"/>
  <c r="BK14" i="180"/>
  <c r="BK17" i="180"/>
  <c r="FA59" i="180"/>
  <c r="EY59" i="180" s="1"/>
  <c r="EZ59" i="180"/>
  <c r="BT21" i="180"/>
  <c r="BR25" i="180"/>
  <c r="BT26" i="180"/>
  <c r="EZ67" i="180"/>
  <c r="BK39" i="180"/>
  <c r="EZ82" i="180"/>
  <c r="ES56" i="180"/>
  <c r="Y16" i="180" s="1"/>
  <c r="DN57" i="180"/>
  <c r="DM57" i="180"/>
  <c r="DF57" i="180"/>
  <c r="EN57" i="180"/>
  <c r="X17" i="180" s="1"/>
  <c r="GE17" i="180" s="1"/>
  <c r="GL17" i="180" s="1"/>
  <c r="GM17" i="180" s="1"/>
  <c r="CZ60" i="180"/>
  <c r="ES64" i="180"/>
  <c r="Y24" i="180" s="1"/>
  <c r="GE24" i="180" s="1"/>
  <c r="GL24" i="180" s="1"/>
  <c r="GM24" i="180" s="1"/>
  <c r="EN66" i="180"/>
  <c r="X26" i="180" s="1"/>
  <c r="GE26" i="180" s="1"/>
  <c r="GL26" i="180" s="1"/>
  <c r="GM26" i="180" s="1"/>
  <c r="EN68" i="180"/>
  <c r="X28" i="180" s="1"/>
  <c r="FQ30" i="180"/>
  <c r="EY31" i="180"/>
  <c r="BO37" i="180"/>
  <c r="BR37" i="180" s="1"/>
  <c r="FO39" i="180"/>
  <c r="GD42" i="180"/>
  <c r="BP44" i="180"/>
  <c r="EV54" i="180"/>
  <c r="FC56" i="180"/>
  <c r="EW57" i="180"/>
  <c r="DF58" i="180"/>
  <c r="ET58" i="180"/>
  <c r="DJ59" i="180"/>
  <c r="DI59" i="180"/>
  <c r="EW59" i="180" s="1"/>
  <c r="DG59" i="180"/>
  <c r="DD62" i="180"/>
  <c r="DC62" i="180"/>
  <c r="EV62" i="180" s="1"/>
  <c r="DA62" i="180"/>
  <c r="EU63" i="180"/>
  <c r="DC64" i="180"/>
  <c r="EV64" i="180" s="1"/>
  <c r="DB64" i="180"/>
  <c r="DG65" i="180"/>
  <c r="DF68" i="180"/>
  <c r="EH68" i="180"/>
  <c r="EJ68" i="180" s="1"/>
  <c r="DS68" i="180" s="1"/>
  <c r="DQ71" i="180"/>
  <c r="EN31" i="180" s="1"/>
  <c r="DO71" i="180"/>
  <c r="EQ74" i="180"/>
  <c r="ER74" i="180" s="1"/>
  <c r="ES74" i="180" s="1"/>
  <c r="Y34" i="180" s="1"/>
  <c r="DD77" i="180"/>
  <c r="DC77" i="180"/>
  <c r="EV77" i="180" s="1"/>
  <c r="DB77" i="180"/>
  <c r="DA77" i="180"/>
  <c r="CV77" i="180"/>
  <c r="DN79" i="180"/>
  <c r="DM79" i="180"/>
  <c r="DF81" i="180"/>
  <c r="EN81" i="180"/>
  <c r="X41" i="180" s="1"/>
  <c r="FA61" i="180"/>
  <c r="EY61" i="180" s="1"/>
  <c r="BM32" i="180"/>
  <c r="GF33" i="180"/>
  <c r="BJ34" i="180"/>
  <c r="BP37" i="180"/>
  <c r="GB37" i="180"/>
  <c r="GL37" i="180" s="1"/>
  <c r="BN39" i="180"/>
  <c r="BR39" i="180" s="1"/>
  <c r="FQ39" i="180"/>
  <c r="EY40" i="180"/>
  <c r="GE42" i="180"/>
  <c r="BQ44" i="180"/>
  <c r="DB54" i="180"/>
  <c r="ET55" i="180"/>
  <c r="FL55" i="180"/>
  <c r="EV56" i="180"/>
  <c r="FD56" i="180"/>
  <c r="DG58" i="180"/>
  <c r="EU58" i="180"/>
  <c r="DB60" i="180"/>
  <c r="FD63" i="180"/>
  <c r="EU64" i="180"/>
  <c r="EO64" i="180"/>
  <c r="DH65" i="180"/>
  <c r="DJ68" i="180"/>
  <c r="DI68" i="180"/>
  <c r="DH68" i="180"/>
  <c r="DG68" i="180"/>
  <c r="EU69" i="180"/>
  <c r="EU70" i="180"/>
  <c r="EN77" i="180"/>
  <c r="X37" i="180" s="1"/>
  <c r="EU80" i="180"/>
  <c r="AJ24" i="182"/>
  <c r="AQ24" i="182"/>
  <c r="AO24" i="182"/>
  <c r="AN24" i="182"/>
  <c r="AL24" i="182"/>
  <c r="AM24" i="182"/>
  <c r="GA39" i="180"/>
  <c r="GL39" i="180" s="1"/>
  <c r="GM39" i="180" s="1"/>
  <c r="EZ40" i="180"/>
  <c r="BM41" i="180"/>
  <c r="BJ43" i="180"/>
  <c r="EV55" i="180"/>
  <c r="EQ57" i="180"/>
  <c r="ER57" i="180" s="1"/>
  <c r="ES57" i="180" s="1"/>
  <c r="Y17" i="180" s="1"/>
  <c r="ET59" i="180"/>
  <c r="DH60" i="180"/>
  <c r="DG60" i="180"/>
  <c r="CZ61" i="180"/>
  <c r="ET65" i="180"/>
  <c r="CX65" i="180"/>
  <c r="EQ75" i="180"/>
  <c r="ER75" i="180" s="1"/>
  <c r="ES75" i="180" s="1"/>
  <c r="Y35" i="180" s="1"/>
  <c r="EN75" i="180"/>
  <c r="X35" i="180" s="1"/>
  <c r="EQ76" i="180"/>
  <c r="ER76" i="180" s="1"/>
  <c r="ES76" i="180" s="1"/>
  <c r="Y36" i="180" s="1"/>
  <c r="EU79" i="180"/>
  <c r="EN79" i="180"/>
  <c r="X39" i="180" s="1"/>
  <c r="EQ81" i="180"/>
  <c r="ER81" i="180" s="1"/>
  <c r="ES81" i="180" s="1"/>
  <c r="Y41" i="180" s="1"/>
  <c r="EA85" i="180"/>
  <c r="FC85" i="180"/>
  <c r="FA79" i="180"/>
  <c r="EY79" i="180" s="1"/>
  <c r="EZ79" i="180"/>
  <c r="GB39" i="180"/>
  <c r="BN41" i="180"/>
  <c r="FQ41" i="180"/>
  <c r="EU55" i="180"/>
  <c r="FO55" i="180"/>
  <c r="EZ57" i="180"/>
  <c r="EU59" i="180"/>
  <c r="CW62" i="180"/>
  <c r="DF66" i="180"/>
  <c r="EV68" i="180"/>
  <c r="EV72" i="180"/>
  <c r="EO76" i="180"/>
  <c r="FD76" i="180"/>
  <c r="CW76" i="180"/>
  <c r="M36" i="180" s="1"/>
  <c r="GE23" i="182"/>
  <c r="GL23" i="182" s="1"/>
  <c r="GM23" i="182" s="1"/>
  <c r="BM27" i="180"/>
  <c r="FA67" i="180" s="1"/>
  <c r="EY67" i="180" s="1"/>
  <c r="GF28" i="180"/>
  <c r="BP32" i="180"/>
  <c r="FQ34" i="180"/>
  <c r="EY35" i="180"/>
  <c r="GC39" i="180"/>
  <c r="BO41" i="180"/>
  <c r="GA41" i="180"/>
  <c r="EZ42" i="180"/>
  <c r="BM43" i="180"/>
  <c r="FO43" i="180"/>
  <c r="GF44" i="180"/>
  <c r="FQ45" i="180"/>
  <c r="BJ45" i="180"/>
  <c r="FO45" i="180"/>
  <c r="DF54" i="180"/>
  <c r="CV55" i="180"/>
  <c r="DK55" i="180" s="1"/>
  <c r="EF55" i="180"/>
  <c r="FP55" i="180"/>
  <c r="GA55" i="180" s="1"/>
  <c r="EO56" i="180"/>
  <c r="CW57" i="180"/>
  <c r="EH57" i="180"/>
  <c r="EJ57" i="180" s="1"/>
  <c r="DS57" i="180" s="1"/>
  <c r="DH59" i="180"/>
  <c r="EV59" i="180"/>
  <c r="ET66" i="180"/>
  <c r="CX66" i="180"/>
  <c r="FE66" i="180"/>
  <c r="DG66" i="180"/>
  <c r="EW68" i="180"/>
  <c r="BN27" i="180"/>
  <c r="BM36" i="180"/>
  <c r="BR36" i="180" s="1"/>
  <c r="BJ38" i="180"/>
  <c r="GD39" i="180"/>
  <c r="BP41" i="180"/>
  <c r="GB41" i="180"/>
  <c r="BN43" i="180"/>
  <c r="FQ43" i="180"/>
  <c r="CW55" i="180"/>
  <c r="FQ55" i="180"/>
  <c r="FY55" i="180" s="1"/>
  <c r="DF56" i="180"/>
  <c r="CV58" i="180"/>
  <c r="DK58" i="180" s="1"/>
  <c r="DF60" i="180"/>
  <c r="EA60" i="180"/>
  <c r="EQ61" i="180"/>
  <c r="ER61" i="180" s="1"/>
  <c r="ES61" i="180" s="1"/>
  <c r="Y21" i="180" s="1"/>
  <c r="DU62" i="180"/>
  <c r="CZ63" i="180"/>
  <c r="DA64" i="180"/>
  <c r="DH66" i="180"/>
  <c r="DN66" i="180"/>
  <c r="DM66" i="180"/>
  <c r="FC66" i="180"/>
  <c r="DL67" i="180"/>
  <c r="DR71" i="180"/>
  <c r="DP71" i="180"/>
  <c r="FA74" i="180"/>
  <c r="EY74" i="180" s="1"/>
  <c r="EZ74" i="180"/>
  <c r="FQ36" i="180"/>
  <c r="DZ54" i="180"/>
  <c r="CX55" i="180"/>
  <c r="EZ55" i="180"/>
  <c r="FR55" i="180"/>
  <c r="FS56" i="180" s="1"/>
  <c r="FJ56" i="180"/>
  <c r="FC57" i="180"/>
  <c r="DL58" i="180"/>
  <c r="DI60" i="180"/>
  <c r="EW60" i="180" s="1"/>
  <c r="EU60" i="180"/>
  <c r="CZ62" i="180"/>
  <c r="EQ62" i="180"/>
  <c r="ER62" i="180" s="1"/>
  <c r="ES62" i="180" s="1"/>
  <c r="Y22" i="180" s="1"/>
  <c r="DD64" i="180"/>
  <c r="EF65" i="180"/>
  <c r="EE65" i="180"/>
  <c r="EG65" i="180" s="1"/>
  <c r="DL65" i="180" s="1"/>
  <c r="EW65" i="180"/>
  <c r="DJ66" i="180"/>
  <c r="CV67" i="180"/>
  <c r="DJ67" i="180"/>
  <c r="DI67" i="180"/>
  <c r="EW67" i="180" s="1"/>
  <c r="DH67" i="180"/>
  <c r="DG67" i="180"/>
  <c r="EN74" i="180"/>
  <c r="X34" i="180" s="1"/>
  <c r="EV80" i="180"/>
  <c r="DT84" i="180"/>
  <c r="DU84" i="180"/>
  <c r="EY30" i="180"/>
  <c r="EZ83" i="180"/>
  <c r="DF70" i="180"/>
  <c r="EW70" i="180"/>
  <c r="EU71" i="180"/>
  <c r="CV73" i="180"/>
  <c r="DJ73" i="180"/>
  <c r="DI73" i="180"/>
  <c r="DH73" i="180"/>
  <c r="DG73" i="180"/>
  <c r="CZ81" i="180"/>
  <c r="ET83" i="180"/>
  <c r="CX83" i="180"/>
  <c r="N43" i="180" s="1"/>
  <c r="FE83" i="180"/>
  <c r="EN85" i="180"/>
  <c r="X45" i="180" s="1"/>
  <c r="DV85" i="180"/>
  <c r="GA29" i="180"/>
  <c r="GL29" i="180" s="1"/>
  <c r="EZ30" i="180"/>
  <c r="BM31" i="180"/>
  <c r="BJ33" i="180"/>
  <c r="BN38" i="180"/>
  <c r="BR38" i="180" s="1"/>
  <c r="EY39" i="180"/>
  <c r="BP45" i="180"/>
  <c r="FL56" i="180"/>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CX58" i="180"/>
  <c r="EQ65" i="180"/>
  <c r="ER65" i="180" s="1"/>
  <c r="ES65" i="180" s="1"/>
  <c r="Y25" i="180" s="1"/>
  <c r="DF69" i="180"/>
  <c r="ET72" i="180"/>
  <c r="CX72" i="180"/>
  <c r="N32" i="180" s="1"/>
  <c r="FE72" i="180"/>
  <c r="EN76" i="180"/>
  <c r="X36" i="180" s="1"/>
  <c r="DU83" i="180"/>
  <c r="DT83" i="180"/>
  <c r="FA69" i="180"/>
  <c r="EY69" i="180" s="1"/>
  <c r="EZ69" i="180"/>
  <c r="GB29" i="180"/>
  <c r="BN31" i="180"/>
  <c r="EU54" i="180"/>
  <c r="DA55" i="180"/>
  <c r="EL55" i="180"/>
  <c r="EM55" i="180" s="1"/>
  <c r="EN55" i="180" s="1"/>
  <c r="X15" i="180" s="1"/>
  <c r="FU55" i="180"/>
  <c r="FT55" i="180" s="1"/>
  <c r="CV59" i="180"/>
  <c r="DK59" i="180" s="1"/>
  <c r="DZ62" i="180"/>
  <c r="CV65" i="180"/>
  <c r="DK65" i="180" s="1"/>
  <c r="CV66" i="180"/>
  <c r="DK66" i="180" s="1"/>
  <c r="EA67" i="180"/>
  <c r="FC67" i="180"/>
  <c r="EN67" i="180"/>
  <c r="X27" i="180" s="1"/>
  <c r="DD69" i="180"/>
  <c r="DC69" i="180"/>
  <c r="EV69" i="180" s="1"/>
  <c r="DB69" i="180"/>
  <c r="CV69" i="180"/>
  <c r="DF75" i="180"/>
  <c r="DF76" i="180"/>
  <c r="DN76" i="180"/>
  <c r="DM76" i="180"/>
  <c r="DU79" i="180"/>
  <c r="DT79" i="180"/>
  <c r="DT38" i="182"/>
  <c r="DZ39" i="182"/>
  <c r="DZ40" i="182"/>
  <c r="DT37" i="182"/>
  <c r="DT35" i="182"/>
  <c r="DT33" i="182"/>
  <c r="DT26" i="182"/>
  <c r="DZ29" i="182"/>
  <c r="DT28" i="182"/>
  <c r="GC29" i="180"/>
  <c r="BO31" i="180"/>
  <c r="FA78" i="180"/>
  <c r="EY78" i="180" s="1"/>
  <c r="EZ78" i="180"/>
  <c r="EY41" i="180"/>
  <c r="DC55" i="180"/>
  <c r="CW59" i="180"/>
  <c r="FB59" i="180"/>
  <c r="EA62" i="180"/>
  <c r="DG63" i="180"/>
  <c r="EQ66" i="180"/>
  <c r="ER66" i="180" s="1"/>
  <c r="ES66" i="180" s="1"/>
  <c r="Y26" i="180" s="1"/>
  <c r="ET67" i="180"/>
  <c r="EO68" i="180"/>
  <c r="FD68" i="180"/>
  <c r="CV68" i="180"/>
  <c r="EL69" i="180"/>
  <c r="EM69" i="180" s="1"/>
  <c r="EN69" i="180" s="1"/>
  <c r="X29" i="180" s="1"/>
  <c r="EH73" i="180"/>
  <c r="EJ73" i="180" s="1"/>
  <c r="DS73" i="180" s="1"/>
  <c r="EU74" i="180"/>
  <c r="EU66" i="180"/>
  <c r="EU73" i="180"/>
  <c r="EU65" i="180"/>
  <c r="EU78" i="180"/>
  <c r="EU76" i="180"/>
  <c r="EU68" i="180"/>
  <c r="EU75" i="180"/>
  <c r="GD29" i="180"/>
  <c r="BP31" i="180"/>
  <c r="EY34" i="180"/>
  <c r="BO40" i="180"/>
  <c r="FA80" i="180" s="1"/>
  <c r="EY80" i="180" s="1"/>
  <c r="GA40" i="180"/>
  <c r="EZ41" i="180"/>
  <c r="BM42" i="180"/>
  <c r="BR42" i="180" s="1"/>
  <c r="EE54" i="180"/>
  <c r="EG54" i="180" s="1"/>
  <c r="DL54" i="180" s="1"/>
  <c r="DD55" i="180"/>
  <c r="EE56" i="180"/>
  <c r="EG56" i="180" s="1"/>
  <c r="DL56" i="180" s="1"/>
  <c r="DA58" i="180"/>
  <c r="CX59" i="180"/>
  <c r="FD59" i="180"/>
  <c r="DF61" i="180"/>
  <c r="EW61" i="180"/>
  <c r="DH63" i="180"/>
  <c r="DB65" i="180"/>
  <c r="EU67" i="180"/>
  <c r="DZ68" i="180"/>
  <c r="FB68" i="180"/>
  <c r="FB70" i="180"/>
  <c r="DZ70" i="180"/>
  <c r="EE70" i="180"/>
  <c r="EG70" i="180" s="1"/>
  <c r="DL70" i="180" s="1"/>
  <c r="EN82" i="180"/>
  <c r="X42" i="180" s="1"/>
  <c r="EN83" i="180"/>
  <c r="X43" i="180" s="1"/>
  <c r="CM23" i="182"/>
  <c r="GB40" i="180"/>
  <c r="BN42" i="180"/>
  <c r="EY43" i="180"/>
  <c r="EY45" i="180"/>
  <c r="CV54" i="180"/>
  <c r="DK54" i="180" s="1"/>
  <c r="ET57" i="180"/>
  <c r="CX57" i="180"/>
  <c r="DB58" i="180"/>
  <c r="CW60" i="180"/>
  <c r="FD64" i="180"/>
  <c r="DC65" i="180"/>
  <c r="EV65" i="180" s="1"/>
  <c r="EW72" i="180"/>
  <c r="EA81" i="180"/>
  <c r="CZ85" i="180"/>
  <c r="EG25" i="182"/>
  <c r="EK25" i="182" s="1"/>
  <c r="EF25" i="182"/>
  <c r="EJ25" i="182" s="1"/>
  <c r="CH25" i="182" s="1"/>
  <c r="GA42" i="180"/>
  <c r="GL42" i="180" s="1"/>
  <c r="EZ43" i="180"/>
  <c r="BM44" i="180"/>
  <c r="BR44" i="180" s="1"/>
  <c r="EH54" i="180"/>
  <c r="EJ54" i="180" s="1"/>
  <c r="DS54" i="180" s="1"/>
  <c r="EL61" i="180"/>
  <c r="EM61" i="180" s="1"/>
  <c r="EN61" i="180" s="1"/>
  <c r="X21" i="180" s="1"/>
  <c r="GE21" i="180" s="1"/>
  <c r="GL21" i="180" s="1"/>
  <c r="GM21" i="180" s="1"/>
  <c r="EZ61" i="180"/>
  <c r="DD65" i="180"/>
  <c r="DL69" i="180"/>
  <c r="EW73" i="180"/>
  <c r="EN73" i="180"/>
  <c r="X33" i="180" s="1"/>
  <c r="EA79" i="180"/>
  <c r="FC79" i="180"/>
  <c r="EU82" i="180"/>
  <c r="FA63" i="180"/>
  <c r="EY63" i="180" s="1"/>
  <c r="EQ55" i="180"/>
  <c r="ER55" i="180" s="1"/>
  <c r="ES55" i="180" s="1"/>
  <c r="Y15" i="180" s="1"/>
  <c r="EU57" i="180"/>
  <c r="EW63" i="180"/>
  <c r="EF63" i="180"/>
  <c r="EZ63" i="180"/>
  <c r="EQ67" i="180"/>
  <c r="ER67" i="180" s="1"/>
  <c r="ES67" i="180" s="1"/>
  <c r="Y27" i="180" s="1"/>
  <c r="DS71" i="180"/>
  <c r="FC71" i="180"/>
  <c r="EU72" i="180"/>
  <c r="EQ72" i="180"/>
  <c r="ER72" i="180" s="1"/>
  <c r="ES72" i="180" s="1"/>
  <c r="Y32" i="180" s="1"/>
  <c r="EL72" i="180"/>
  <c r="EM72" i="180" s="1"/>
  <c r="EN72" i="180" s="1"/>
  <c r="X32" i="180" s="1"/>
  <c r="DF78" i="180"/>
  <c r="DN78" i="180"/>
  <c r="DM78" i="180"/>
  <c r="EQ82" i="180"/>
  <c r="ER82" i="180" s="1"/>
  <c r="ES82" i="180" s="1"/>
  <c r="Y42" i="180" s="1"/>
  <c r="DA74" i="180"/>
  <c r="EQ77" i="180"/>
  <c r="ER77" i="180" s="1"/>
  <c r="ES77" i="180" s="1"/>
  <c r="Y37" i="180" s="1"/>
  <c r="EO78" i="180"/>
  <c r="EU81" i="180"/>
  <c r="DN84" i="180"/>
  <c r="DM84" i="180"/>
  <c r="EW84" i="180"/>
  <c r="K23" i="182"/>
  <c r="J23" i="182"/>
  <c r="I23" i="182"/>
  <c r="AO26" i="182"/>
  <c r="AM26" i="182"/>
  <c r="AS26" i="182"/>
  <c r="AN26" i="182"/>
  <c r="AL26" i="182"/>
  <c r="AJ26" i="182"/>
  <c r="FD71" i="180"/>
  <c r="DF72" i="180"/>
  <c r="DB74" i="180"/>
  <c r="EH74" i="180"/>
  <c r="EJ74" i="180" s="1"/>
  <c r="DS74" i="180" s="1"/>
  <c r="CZ75" i="180"/>
  <c r="FD79" i="180"/>
  <c r="EL80" i="180"/>
  <c r="EM80" i="180" s="1"/>
  <c r="EN80" i="180" s="1"/>
  <c r="X40" i="180" s="1"/>
  <c r="DD84" i="180"/>
  <c r="DA84" i="180"/>
  <c r="CV84" i="180"/>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CW69" i="180"/>
  <c r="M29" i="180" s="1"/>
  <c r="EA70" i="180"/>
  <c r="EQ70" i="180"/>
  <c r="ER70" i="180" s="1"/>
  <c r="ES70" i="180" s="1"/>
  <c r="Y30" i="180" s="1"/>
  <c r="DC74" i="180"/>
  <c r="EV74" i="180" s="1"/>
  <c r="CW77" i="180"/>
  <c r="M37" i="180" s="1"/>
  <c r="EQ78" i="180"/>
  <c r="ER78" i="180" s="1"/>
  <c r="ES78" i="180" s="1"/>
  <c r="Y38" i="180" s="1"/>
  <c r="EW81" i="180"/>
  <c r="FB83" i="180"/>
  <c r="EU84" i="180"/>
  <c r="ET85" i="180"/>
  <c r="HM21" i="182"/>
  <c r="AO28" i="182"/>
  <c r="AN28" i="182"/>
  <c r="AM28" i="182"/>
  <c r="AL28" i="182"/>
  <c r="AJ28" i="182"/>
  <c r="DF73" i="180"/>
  <c r="EH75" i="180"/>
  <c r="EJ75" i="180" s="1"/>
  <c r="DS75" i="180" s="1"/>
  <c r="CZ76" i="180"/>
  <c r="CV78" i="180"/>
  <c r="DD81" i="180"/>
  <c r="DC81" i="180"/>
  <c r="EV81" i="180" s="1"/>
  <c r="EE81" i="180"/>
  <c r="EG81" i="180" s="1"/>
  <c r="DL81" i="180" s="1"/>
  <c r="EE82" i="180"/>
  <c r="EG82" i="180" s="1"/>
  <c r="DL82" i="180" s="1"/>
  <c r="EF83" i="180"/>
  <c r="EE83" i="180"/>
  <c r="EG83" i="180" s="1"/>
  <c r="DL83" i="180" s="1"/>
  <c r="EQ84" i="180"/>
  <c r="ER84" i="180" s="1"/>
  <c r="ES84" i="180" s="1"/>
  <c r="Y44" i="180" s="1"/>
  <c r="HO21" i="182"/>
  <c r="DT24" i="182"/>
  <c r="EQ71" i="180"/>
  <c r="ER71" i="180" s="1"/>
  <c r="ES71" i="180" s="1"/>
  <c r="Y31" i="180" s="1"/>
  <c r="EO72" i="180"/>
  <c r="FC73" i="180"/>
  <c r="EI75" i="180"/>
  <c r="DA76" i="180"/>
  <c r="EU77" i="180"/>
  <c r="EQ79" i="180"/>
  <c r="ER79" i="180" s="1"/>
  <c r="ES79" i="180" s="1"/>
  <c r="Y39" i="180" s="1"/>
  <c r="EO80" i="180"/>
  <c r="FB81" i="180"/>
  <c r="FD83" i="180"/>
  <c r="CZ84" i="180"/>
  <c r="EU85" i="180"/>
  <c r="HP21" i="182"/>
  <c r="CL25" i="182"/>
  <c r="DZ25" i="182"/>
  <c r="CH28" i="182"/>
  <c r="DT30" i="182"/>
  <c r="FQ30" i="182"/>
  <c r="CZ69" i="180"/>
  <c r="CV71" i="180"/>
  <c r="EH76" i="180"/>
  <c r="EJ76" i="180" s="1"/>
  <c r="DS76" i="180" s="1"/>
  <c r="CZ77" i="180"/>
  <c r="EU83" i="180"/>
  <c r="CL27" i="182"/>
  <c r="DZ27" i="182"/>
  <c r="F29" i="182"/>
  <c r="AZ29" i="182" s="1"/>
  <c r="H29" i="182"/>
  <c r="AQ29" i="182" s="1"/>
  <c r="G29" i="182"/>
  <c r="AJ31" i="182"/>
  <c r="AO31" i="182"/>
  <c r="AN31" i="182"/>
  <c r="AM31" i="182"/>
  <c r="AL31" i="182"/>
  <c r="EQ80" i="180"/>
  <c r="ER80" i="180" s="1"/>
  <c r="ES80" i="180" s="1"/>
  <c r="Y40" i="180" s="1"/>
  <c r="DU81" i="180"/>
  <c r="DT81" i="180"/>
  <c r="FD81" i="180"/>
  <c r="DC82" i="180"/>
  <c r="EV82" i="180" s="1"/>
  <c r="DB82" i="180"/>
  <c r="DA82" i="180"/>
  <c r="DZ23" i="182"/>
  <c r="EV24" i="182"/>
  <c r="CJ24" i="182" s="1"/>
  <c r="FJ25" i="182"/>
  <c r="FK25" i="182" s="1"/>
  <c r="FL25" i="182" s="1"/>
  <c r="Z25" i="182" s="1"/>
  <c r="EN26" i="182"/>
  <c r="ER26" i="182" s="1"/>
  <c r="EM26" i="182"/>
  <c r="EQ26" i="182" s="1"/>
  <c r="CI26" i="182" s="1"/>
  <c r="CL29" i="182"/>
  <c r="EH69" i="180"/>
  <c r="EJ69" i="180" s="1"/>
  <c r="DS69" i="180" s="1"/>
  <c r="CZ70" i="180"/>
  <c r="CX71" i="180"/>
  <c r="N31" i="180" s="1"/>
  <c r="CV72" i="180"/>
  <c r="DH74" i="180"/>
  <c r="FB75" i="180"/>
  <c r="EH77" i="180"/>
  <c r="EJ77" i="180" s="1"/>
  <c r="DS77" i="180" s="1"/>
  <c r="CZ78" i="180"/>
  <c r="CX79" i="180"/>
  <c r="N39" i="180" s="1"/>
  <c r="CV80" i="180"/>
  <c r="CW83" i="180"/>
  <c r="M43" i="180" s="1"/>
  <c r="DW85" i="180"/>
  <c r="IA21" i="182"/>
  <c r="FH23" i="182"/>
  <c r="FU23" i="182"/>
  <c r="CL26" i="182"/>
  <c r="CM30" i="182"/>
  <c r="CZ54" i="180"/>
  <c r="DA70" i="180"/>
  <c r="DG75" i="180"/>
  <c r="FC75" i="180"/>
  <c r="DA78" i="180"/>
  <c r="EW78" i="180"/>
  <c r="CV82" i="180"/>
  <c r="DF84" i="180"/>
  <c r="IC21" i="182"/>
  <c r="AS25" i="182"/>
  <c r="FS29" i="182"/>
  <c r="ES29" i="182"/>
  <c r="FJ29" i="182"/>
  <c r="FK29" i="182" s="1"/>
  <c r="FL29" i="182" s="1"/>
  <c r="Z29" i="182" s="1"/>
  <c r="FE29" i="182"/>
  <c r="FF29" i="182" s="1"/>
  <c r="FG29" i="182" s="1"/>
  <c r="Y29" i="182" s="1"/>
  <c r="EN39" i="182"/>
  <c r="ER39" i="182" s="1"/>
  <c r="EM39" i="182"/>
  <c r="EQ39" i="182" s="1"/>
  <c r="EH70" i="180"/>
  <c r="EJ70" i="180" s="1"/>
  <c r="DS70" i="180" s="1"/>
  <c r="CZ71" i="180"/>
  <c r="EH78" i="180"/>
  <c r="EJ78" i="180" s="1"/>
  <c r="DS78" i="180" s="1"/>
  <c r="CZ79" i="180"/>
  <c r="DB83" i="180"/>
  <c r="DG84" i="180"/>
  <c r="EV85" i="180"/>
  <c r="IE21" i="182"/>
  <c r="AK23" i="182"/>
  <c r="EE23" i="182"/>
  <c r="EO67" i="180"/>
  <c r="FC68" i="180"/>
  <c r="DC70" i="180"/>
  <c r="EV70" i="180" s="1"/>
  <c r="DA71" i="180"/>
  <c r="EE72" i="180"/>
  <c r="EG72" i="180" s="1"/>
  <c r="DL72" i="180" s="1"/>
  <c r="DI75" i="180"/>
  <c r="EW75" i="180" s="1"/>
  <c r="EO75" i="180"/>
  <c r="DG76" i="180"/>
  <c r="FC76" i="180"/>
  <c r="DC78" i="180"/>
  <c r="EV78" i="180" s="1"/>
  <c r="DA79" i="180"/>
  <c r="EE80" i="180"/>
  <c r="EG80" i="180" s="1"/>
  <c r="DL80" i="180" s="1"/>
  <c r="DA81" i="180"/>
  <c r="CX82" i="180"/>
  <c r="N42" i="180" s="1"/>
  <c r="DC83" i="180"/>
  <c r="EV83" i="180" s="1"/>
  <c r="DH84" i="180"/>
  <c r="EF84" i="180"/>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CZ56" i="180"/>
  <c r="CZ64" i="180"/>
  <c r="DB71" i="180"/>
  <c r="CZ72" i="180"/>
  <c r="CX73" i="180"/>
  <c r="N33" i="180" s="1"/>
  <c r="DH76" i="180"/>
  <c r="DB79" i="180"/>
  <c r="CZ80" i="180"/>
  <c r="DB81" i="180"/>
  <c r="DD83" i="180"/>
  <c r="EQ83" i="180"/>
  <c r="ER83" i="180" s="1"/>
  <c r="ES83" i="180" s="1"/>
  <c r="Y43" i="180" s="1"/>
  <c r="DI84" i="180"/>
  <c r="FQ24" i="182"/>
  <c r="EY24" i="182"/>
  <c r="EX24" i="182"/>
  <c r="BQ24" i="182"/>
  <c r="EN24" i="182"/>
  <c r="ER24" i="182" s="1"/>
  <c r="EM24" i="182"/>
  <c r="J25" i="182"/>
  <c r="K25" i="182"/>
  <c r="I25" i="182"/>
  <c r="GM27" i="182"/>
  <c r="H28" i="182"/>
  <c r="AQ28" i="182" s="1"/>
  <c r="G28" i="182"/>
  <c r="F28" i="182"/>
  <c r="DC71" i="180"/>
  <c r="EV71" i="180" s="1"/>
  <c r="DA72" i="180"/>
  <c r="EE73" i="180"/>
  <c r="EG73" i="180" s="1"/>
  <c r="DL73" i="180" s="1"/>
  <c r="DI76" i="180"/>
  <c r="EW76" i="180" s="1"/>
  <c r="DC79" i="180"/>
  <c r="EV79" i="180" s="1"/>
  <c r="DA80" i="180"/>
  <c r="DD82" i="180"/>
  <c r="ET84" i="180"/>
  <c r="CX84" i="180"/>
  <c r="N44" i="180" s="1"/>
  <c r="DJ85" i="180"/>
  <c r="DI85" i="180"/>
  <c r="EW85" i="180" s="1"/>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EH64" i="180"/>
  <c r="EJ64" i="180" s="1"/>
  <c r="DS64" i="180" s="1"/>
  <c r="CZ65" i="180"/>
  <c r="FD69" i="180"/>
  <c r="DB72" i="180"/>
  <c r="EH72" i="180"/>
  <c r="EJ72" i="180" s="1"/>
  <c r="DS72" i="180" s="1"/>
  <c r="CZ73" i="180"/>
  <c r="FD77" i="180"/>
  <c r="DB80" i="180"/>
  <c r="DF83" i="180"/>
  <c r="FP24" i="182"/>
  <c r="DZ24" i="182"/>
  <c r="DF82" i="180"/>
  <c r="EL84" i="180"/>
  <c r="EM84" i="180" s="1"/>
  <c r="EN84" i="180" s="1"/>
  <c r="X44" i="180" s="1"/>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CZ82" i="180"/>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EQ85" i="180"/>
  <c r="ER85" i="180" s="1"/>
  <c r="ES85" i="180" s="1"/>
  <c r="Y45" i="180" s="1"/>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H82" i="180"/>
  <c r="EJ82" i="180" s="1"/>
  <c r="DS82" i="180" s="1"/>
  <c r="CZ83" i="180"/>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EE85" i="180"/>
  <c r="EG85" i="180" s="1"/>
  <c r="DL85" i="180"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GK56" i="180" l="1"/>
  <c r="FB16" i="180"/>
  <c r="FA16" i="180" s="1"/>
  <c r="BY16" i="180"/>
  <c r="EZ16" i="180"/>
  <c r="GK69" i="179"/>
  <c r="DN75" i="180"/>
  <c r="DO75" i="180"/>
  <c r="BW23" i="180"/>
  <c r="BX23" i="180" s="1"/>
  <c r="DM77" i="179"/>
  <c r="BW24" i="180"/>
  <c r="BX24" i="180" s="1"/>
  <c r="BW31" i="179"/>
  <c r="BX31" i="179" s="1"/>
  <c r="EX31" i="179" s="1"/>
  <c r="BW14" i="179"/>
  <c r="BW30" i="179"/>
  <c r="BX30" i="179" s="1"/>
  <c r="EX30" i="179" s="1"/>
  <c r="EZ29" i="179"/>
  <c r="BW18" i="180"/>
  <c r="BX18" i="180" s="1"/>
  <c r="EX19" i="180" s="1"/>
  <c r="BW22" i="179"/>
  <c r="BX22" i="179" s="1"/>
  <c r="FB22" i="179" s="1"/>
  <c r="FA22" i="179" s="1"/>
  <c r="BW24" i="179"/>
  <c r="BX24" i="179" s="1"/>
  <c r="BW20" i="180"/>
  <c r="BX20" i="180" s="1"/>
  <c r="DN84" i="179"/>
  <c r="BW27" i="179"/>
  <c r="BX27" i="179" s="1"/>
  <c r="BW18" i="179"/>
  <c r="BX18" i="179" s="1"/>
  <c r="BW21" i="179"/>
  <c r="BX21" i="179" s="1"/>
  <c r="EX22" i="179" s="1"/>
  <c r="GK62" i="179"/>
  <c r="BW15" i="179"/>
  <c r="BX15" i="179" s="1"/>
  <c r="EX16" i="179" s="1"/>
  <c r="BW28" i="179"/>
  <c r="BX28" i="179" s="1"/>
  <c r="BW17" i="180"/>
  <c r="BX17" i="180" s="1"/>
  <c r="AG46" i="183"/>
  <c r="AH46" i="183"/>
  <c r="FZ55" i="179"/>
  <c r="FO56" i="179"/>
  <c r="FP56" i="179"/>
  <c r="GA56" i="179" s="1"/>
  <c r="FR56" i="179"/>
  <c r="FS57" i="179" s="1"/>
  <c r="FQ57" i="179" s="1"/>
  <c r="FY57" i="179" s="1"/>
  <c r="FU56" i="179"/>
  <c r="FT56" i="179" s="1"/>
  <c r="AG46" i="185"/>
  <c r="AD41" i="182"/>
  <c r="FQ56" i="179"/>
  <c r="FY56" i="179" s="1"/>
  <c r="GB56" i="179" s="1"/>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DU85" i="179"/>
  <c r="DT85" i="179"/>
  <c r="DY72" i="179"/>
  <c r="DW72" i="179"/>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DU78" i="180"/>
  <c r="DT78" i="180"/>
  <c r="AZ31" i="182"/>
  <c r="AU31" i="182"/>
  <c r="AP31" i="182"/>
  <c r="R27" i="180"/>
  <c r="Q27" i="180"/>
  <c r="BR43" i="180"/>
  <c r="R45" i="180"/>
  <c r="Q45" i="180"/>
  <c r="DQ79" i="180"/>
  <c r="DO79" i="180"/>
  <c r="FA82" i="180"/>
  <c r="EY82" i="180" s="1"/>
  <c r="DO55" i="180"/>
  <c r="DQ55" i="180"/>
  <c r="DN82" i="179"/>
  <c r="DM82" i="179"/>
  <c r="GK66" i="180"/>
  <c r="BY26" i="180"/>
  <c r="FB26" i="180"/>
  <c r="FA26" i="180" s="1"/>
  <c r="EZ26" i="180"/>
  <c r="EX26" i="180"/>
  <c r="DQ60" i="180"/>
  <c r="DO60" i="180"/>
  <c r="DR74" i="180"/>
  <c r="DP74" i="180"/>
  <c r="DX80" i="179"/>
  <c r="DV80" i="179"/>
  <c r="DR85" i="179"/>
  <c r="DP85" i="179"/>
  <c r="AO48" i="176"/>
  <c r="P48" i="176" s="1"/>
  <c r="P47" i="176"/>
  <c r="L26" i="178"/>
  <c r="N25" i="178"/>
  <c r="O25" i="178" s="1" a="1"/>
  <c r="O25" i="178" s="1"/>
  <c r="EL90" i="184"/>
  <c r="EJ90" i="184"/>
  <c r="CS31" i="184"/>
  <c r="DR31" i="184"/>
  <c r="DQ31" i="184"/>
  <c r="CR31" i="184"/>
  <c r="AT31" i="184"/>
  <c r="EU31" i="184"/>
  <c r="GE27" i="180"/>
  <c r="GD27" i="180"/>
  <c r="GC27" i="180"/>
  <c r="GB27" i="180"/>
  <c r="GA27" i="180"/>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L45" i="180"/>
  <c r="BU45" i="180" s="1"/>
  <c r="K45" i="180"/>
  <c r="J45" i="180"/>
  <c r="I41" i="180"/>
  <c r="BS41" i="180" s="1"/>
  <c r="H41" i="180"/>
  <c r="G41" i="180"/>
  <c r="CI25" i="182"/>
  <c r="DQ78" i="180"/>
  <c r="DO78" i="180"/>
  <c r="EV25" i="182"/>
  <c r="CJ25" i="182" s="1"/>
  <c r="EZ85" i="180"/>
  <c r="FA85" i="180"/>
  <c r="EY85" i="180" s="1"/>
  <c r="DN58" i="180"/>
  <c r="DM58" i="180"/>
  <c r="FZ55" i="180"/>
  <c r="GB55" i="180"/>
  <c r="BR41" i="180"/>
  <c r="DR79" i="180"/>
  <c r="DP79" i="180"/>
  <c r="DR55" i="180"/>
  <c r="DP55" i="180"/>
  <c r="DV58" i="180"/>
  <c r="DX58" i="180"/>
  <c r="L36" i="179"/>
  <c r="BU36" i="179" s="1"/>
  <c r="BV36" i="179" s="1"/>
  <c r="K36" i="179"/>
  <c r="J36" i="179"/>
  <c r="DP60" i="180"/>
  <c r="DR60" i="180"/>
  <c r="DY80" i="179"/>
  <c r="DW80" i="179"/>
  <c r="DQ70" i="179"/>
  <c r="DO70" i="179"/>
  <c r="DQ62" i="180"/>
  <c r="DO62" i="180"/>
  <c r="GK61" i="179"/>
  <c r="AZ16" i="185"/>
  <c r="AU16" i="185"/>
  <c r="AP16" i="185"/>
  <c r="AU42" i="184"/>
  <c r="AP42" i="184"/>
  <c r="AZ42" i="184"/>
  <c r="GK59" i="180"/>
  <c r="EZ19" i="180"/>
  <c r="BY19" i="180"/>
  <c r="FB19" i="180"/>
  <c r="FA19" i="180" s="1"/>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DU70" i="180"/>
  <c r="DT70" i="180"/>
  <c r="DU77" i="180"/>
  <c r="DT77" i="180"/>
  <c r="DK78" i="180"/>
  <c r="E38" i="180"/>
  <c r="D38" i="180"/>
  <c r="GK38" i="180" s="1"/>
  <c r="DR78" i="180"/>
  <c r="DP78" i="180"/>
  <c r="L33" i="180"/>
  <c r="BU33" i="180" s="1"/>
  <c r="K33" i="180"/>
  <c r="J33" i="180"/>
  <c r="T31" i="180"/>
  <c r="S31" i="180"/>
  <c r="GL41" i="180"/>
  <c r="GM41" i="180" s="1"/>
  <c r="DK77" i="180"/>
  <c r="E37" i="180"/>
  <c r="D37" i="180"/>
  <c r="GK37" i="180" s="1"/>
  <c r="GM37" i="180" s="1"/>
  <c r="DY58" i="180"/>
  <c r="DW58" i="180"/>
  <c r="DN80" i="179"/>
  <c r="DM80" i="179"/>
  <c r="BY16" i="179"/>
  <c r="GK56" i="179"/>
  <c r="FB16" i="179"/>
  <c r="FA16" i="179" s="1"/>
  <c r="EZ16" i="179"/>
  <c r="DM76" i="179"/>
  <c r="DN76" i="179"/>
  <c r="DR70" i="179"/>
  <c r="DP70" i="179"/>
  <c r="GK63" i="179"/>
  <c r="FB23" i="179"/>
  <c r="FA23" i="179" s="1"/>
  <c r="EZ23" i="179"/>
  <c r="EX23" i="179"/>
  <c r="BY23" i="179"/>
  <c r="GK55" i="180"/>
  <c r="EX15" i="180"/>
  <c r="BY15" i="180"/>
  <c r="FB15" i="180"/>
  <c r="EZ15" i="180"/>
  <c r="DR62" i="180"/>
  <c r="DP62" i="180"/>
  <c r="DX69" i="179"/>
  <c r="DV69" i="179"/>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R41" i="180"/>
  <c r="Q41" i="180"/>
  <c r="DK73" i="180"/>
  <c r="E33" i="180"/>
  <c r="D33" i="180"/>
  <c r="GK33" i="180" s="1"/>
  <c r="DM67" i="180"/>
  <c r="DN67" i="180"/>
  <c r="DN74" i="179"/>
  <c r="DM74" i="179"/>
  <c r="BR33" i="180"/>
  <c r="DX60" i="180"/>
  <c r="EO20" i="180" s="1"/>
  <c r="DV60" i="180"/>
  <c r="BR24" i="180"/>
  <c r="DR69" i="179"/>
  <c r="EN29" i="179" s="1"/>
  <c r="DP69" i="179"/>
  <c r="EX16" i="180"/>
  <c r="DY69" i="179"/>
  <c r="DW69" i="179"/>
  <c r="P17" i="176"/>
  <c r="AO18" i="176"/>
  <c r="P18" i="176" s="1"/>
  <c r="D29" i="185"/>
  <c r="GK29" i="185" s="1"/>
  <c r="GM29" i="185" s="1"/>
  <c r="E29" i="185"/>
  <c r="CM38" i="184"/>
  <c r="EP38" i="184"/>
  <c r="EO38" i="184"/>
  <c r="E39" i="182"/>
  <c r="D39" i="182"/>
  <c r="GK39" i="182" s="1"/>
  <c r="P27" i="182"/>
  <c r="O27" i="182"/>
  <c r="N27" i="182"/>
  <c r="DY80" i="180"/>
  <c r="DW80" i="180"/>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DU72" i="180"/>
  <c r="DT72" i="180"/>
  <c r="I42" i="180"/>
  <c r="BS42" i="180" s="1"/>
  <c r="H42" i="180"/>
  <c r="G42" i="180"/>
  <c r="EO24" i="182"/>
  <c r="EQ24" i="182"/>
  <c r="CI24" i="182" s="1"/>
  <c r="DN72" i="180"/>
  <c r="DM72" i="180"/>
  <c r="DU75" i="180"/>
  <c r="DT75" i="180"/>
  <c r="DK84" i="180"/>
  <c r="E44" i="180"/>
  <c r="D44" i="180"/>
  <c r="GK44" i="180" s="1"/>
  <c r="R39" i="180"/>
  <c r="Q39" i="180"/>
  <c r="DR75" i="180"/>
  <c r="DP75" i="180"/>
  <c r="DX79" i="180"/>
  <c r="DV79" i="180"/>
  <c r="DU57" i="180"/>
  <c r="DT57" i="180"/>
  <c r="L28" i="180"/>
  <c r="BU28" i="180" s="1"/>
  <c r="K28" i="180"/>
  <c r="J28" i="180"/>
  <c r="DW60" i="180"/>
  <c r="DY60" i="180"/>
  <c r="DR84" i="179"/>
  <c r="DP84" i="179"/>
  <c r="GL44" i="179"/>
  <c r="GM44" i="179" s="1"/>
  <c r="E30" i="185"/>
  <c r="D30" i="185"/>
  <c r="GK30" i="185" s="1"/>
  <c r="CM36" i="183"/>
  <c r="AU28" i="183"/>
  <c r="AP28" i="183"/>
  <c r="H32" i="182"/>
  <c r="AQ32" i="182" s="1"/>
  <c r="G32" i="182"/>
  <c r="F32" i="182"/>
  <c r="DY83" i="180"/>
  <c r="DW83" i="180"/>
  <c r="DU70" i="179"/>
  <c r="DT70" i="179"/>
  <c r="DU82" i="179"/>
  <c r="DT82" i="179"/>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E32" i="180"/>
  <c r="D32" i="180"/>
  <c r="GK32" i="180" s="1"/>
  <c r="DK72" i="180"/>
  <c r="DM56" i="180"/>
  <c r="DN56" i="180"/>
  <c r="DY79" i="180"/>
  <c r="DW79" i="180"/>
  <c r="BR31" i="180"/>
  <c r="K27" i="180"/>
  <c r="J27" i="180"/>
  <c r="L27" i="180"/>
  <c r="BU27" i="180" s="1"/>
  <c r="FR56" i="180"/>
  <c r="FS57" i="180" s="1"/>
  <c r="FQ56" i="180"/>
  <c r="FY56" i="180" s="1"/>
  <c r="FP56" i="180"/>
  <c r="GA56" i="180" s="1"/>
  <c r="FO56" i="180"/>
  <c r="FN56" i="180"/>
  <c r="FW56" i="180" s="1"/>
  <c r="FV56" i="180" s="1"/>
  <c r="FU56" i="180"/>
  <c r="FT56" i="180" s="1"/>
  <c r="DO66" i="180"/>
  <c r="DQ66" i="180"/>
  <c r="DU81" i="179"/>
  <c r="DT81" i="179"/>
  <c r="BR40" i="180"/>
  <c r="DU65" i="180"/>
  <c r="DT65" i="180"/>
  <c r="DX56" i="180"/>
  <c r="EO16" i="180" s="1"/>
  <c r="DV56" i="180"/>
  <c r="DR68" i="179"/>
  <c r="DP68" i="179"/>
  <c r="BR14" i="180"/>
  <c r="GE43" i="179"/>
  <c r="GL43" i="179" s="1"/>
  <c r="GM43" i="179" s="1"/>
  <c r="P51" i="176"/>
  <c r="AO52" i="176"/>
  <c r="E35" i="185"/>
  <c r="D35" i="185"/>
  <c r="GK35" i="185" s="1"/>
  <c r="H22" i="184"/>
  <c r="AQ22" i="184" s="1"/>
  <c r="G22" i="184"/>
  <c r="F22" i="184"/>
  <c r="J24" i="184"/>
  <c r="I24" i="184"/>
  <c r="K24" i="184"/>
  <c r="K21" i="183"/>
  <c r="AS21" i="183" s="1"/>
  <c r="J21" i="183"/>
  <c r="I21" i="183"/>
  <c r="DO74" i="180"/>
  <c r="DQ74" i="180"/>
  <c r="EN34" i="180" s="1"/>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I44" i="180"/>
  <c r="BS44" i="180" s="1"/>
  <c r="H44" i="180"/>
  <c r="G44" i="180"/>
  <c r="DQ76" i="180"/>
  <c r="DO76" i="180"/>
  <c r="GE15" i="180"/>
  <c r="GL15" i="180" s="1"/>
  <c r="GM15" i="180" s="1"/>
  <c r="DK67" i="180"/>
  <c r="E27" i="180"/>
  <c r="D27" i="180"/>
  <c r="GK27" i="180" s="1"/>
  <c r="DR66" i="180"/>
  <c r="DP66" i="180"/>
  <c r="I37" i="180"/>
  <c r="BS37" i="180" s="1"/>
  <c r="H37" i="180"/>
  <c r="G37" i="180"/>
  <c r="DX63" i="180"/>
  <c r="DV63" i="180"/>
  <c r="FA73" i="180"/>
  <c r="EY73" i="180" s="1"/>
  <c r="EZ73" i="180"/>
  <c r="DN79" i="179"/>
  <c r="DM79" i="179"/>
  <c r="BR45" i="180"/>
  <c r="DY56" i="180"/>
  <c r="DW56" i="180"/>
  <c r="GE38" i="179"/>
  <c r="GL38" i="179" s="1"/>
  <c r="GM38" i="179" s="1"/>
  <c r="EN44" i="179"/>
  <c r="AO26" i="176"/>
  <c r="P26" i="176" s="1"/>
  <c r="P25" i="176"/>
  <c r="EJ81" i="185"/>
  <c r="DR22" i="185"/>
  <c r="AR22" i="185"/>
  <c r="CS22" i="185"/>
  <c r="CR22" i="185"/>
  <c r="AT22" i="185"/>
  <c r="EU22" i="185"/>
  <c r="ET22" i="185"/>
  <c r="ES22" i="185"/>
  <c r="DQ22" i="185"/>
  <c r="CM19" i="183"/>
  <c r="DR63" i="180"/>
  <c r="DP63" i="180"/>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DM85" i="180"/>
  <c r="DN85" i="180"/>
  <c r="EQ69" i="182"/>
  <c r="EO69" i="182"/>
  <c r="EP27" i="182"/>
  <c r="P29" i="182"/>
  <c r="O29" i="182"/>
  <c r="N29" i="182"/>
  <c r="DX81" i="180"/>
  <c r="EO41" i="180" s="1"/>
  <c r="DV81" i="180"/>
  <c r="R30" i="180"/>
  <c r="Q30" i="180"/>
  <c r="DM69" i="180"/>
  <c r="DN69" i="180"/>
  <c r="DN54" i="180"/>
  <c r="DM54" i="180"/>
  <c r="DR76" i="180"/>
  <c r="DP76" i="180"/>
  <c r="FA81" i="180"/>
  <c r="EY81" i="180" s="1"/>
  <c r="EZ81" i="180"/>
  <c r="FX55" i="180"/>
  <c r="DM64" i="180"/>
  <c r="DN64" i="180"/>
  <c r="DQ59" i="180"/>
  <c r="DO59" i="180"/>
  <c r="DY63" i="180"/>
  <c r="DW63" i="180"/>
  <c r="DU79" i="179"/>
  <c r="DT79" i="179"/>
  <c r="DO68" i="180"/>
  <c r="DQ68" i="180"/>
  <c r="FA84" i="179"/>
  <c r="EY84" i="179" s="1"/>
  <c r="EZ84" i="179"/>
  <c r="DO83" i="179"/>
  <c r="DQ83" i="179"/>
  <c r="GE35" i="179"/>
  <c r="GL35" i="179" s="1"/>
  <c r="GM35" i="179" s="1"/>
  <c r="GE41" i="179"/>
  <c r="GL41" i="179" s="1"/>
  <c r="GM41" i="179" s="1"/>
  <c r="CL17" i="184"/>
  <c r="DN81" i="180"/>
  <c r="DM81" i="180"/>
  <c r="DQ85" i="179"/>
  <c r="EN45" i="179" s="1"/>
  <c r="DO85" i="179"/>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DU64" i="180"/>
  <c r="DT64" i="180"/>
  <c r="DU69" i="180"/>
  <c r="DT69" i="180"/>
  <c r="DY81" i="180"/>
  <c r="DW81" i="180"/>
  <c r="EI27" i="182"/>
  <c r="DU71" i="180"/>
  <c r="DT71" i="180"/>
  <c r="DN70" i="180"/>
  <c r="DM70" i="180"/>
  <c r="DU73" i="180"/>
  <c r="DT73" i="180"/>
  <c r="DR59" i="180"/>
  <c r="DP59" i="180"/>
  <c r="FA55" i="180"/>
  <c r="EY55" i="180" s="1"/>
  <c r="DQ61" i="180"/>
  <c r="DO61" i="180"/>
  <c r="GK63" i="180"/>
  <c r="EZ23" i="180"/>
  <c r="BY23" i="180"/>
  <c r="FB23" i="180"/>
  <c r="FA23" i="180" s="1"/>
  <c r="EX23" i="180"/>
  <c r="EX24" i="180"/>
  <c r="DR68" i="180"/>
  <c r="DP68" i="180"/>
  <c r="GA35" i="180"/>
  <c r="GE35" i="180"/>
  <c r="GD35" i="180"/>
  <c r="GC35" i="180"/>
  <c r="GB35" i="180"/>
  <c r="DR83" i="179"/>
  <c r="DP83" i="179"/>
  <c r="EZ80" i="180"/>
  <c r="DQ77" i="179"/>
  <c r="DO77" i="179"/>
  <c r="BW17" i="179"/>
  <c r="BX17" i="179" s="1"/>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DU82" i="180"/>
  <c r="DT82" i="180"/>
  <c r="DN73" i="180"/>
  <c r="DM73" i="180"/>
  <c r="EF23" i="182"/>
  <c r="EG23" i="182"/>
  <c r="P30" i="180"/>
  <c r="O30" i="180"/>
  <c r="DN65" i="180"/>
  <c r="DM65" i="180"/>
  <c r="FA72" i="180"/>
  <c r="EY72" i="180" s="1"/>
  <c r="EZ72" i="180"/>
  <c r="FA77" i="180"/>
  <c r="EY77" i="180" s="1"/>
  <c r="EZ77" i="180"/>
  <c r="EX25" i="180"/>
  <c r="GK65" i="180"/>
  <c r="BY25" i="180"/>
  <c r="FB25" i="180"/>
  <c r="FA25" i="180" s="1"/>
  <c r="EZ25" i="180"/>
  <c r="DU55" i="180"/>
  <c r="DT55" i="180"/>
  <c r="DR61" i="180"/>
  <c r="EC61" i="180" s="1"/>
  <c r="EP21" i="180" s="1"/>
  <c r="DP61" i="180"/>
  <c r="GE19" i="180"/>
  <c r="GL19" i="180" s="1"/>
  <c r="GM19" i="180" s="1"/>
  <c r="DN71" i="179"/>
  <c r="DM71" i="179"/>
  <c r="FJ58" i="180"/>
  <c r="FK59" i="180"/>
  <c r="DU76" i="179"/>
  <c r="DT76" i="179"/>
  <c r="DU83" i="179"/>
  <c r="DT83" i="179"/>
  <c r="DX77" i="179"/>
  <c r="EO37" i="179" s="1"/>
  <c r="DV77" i="179"/>
  <c r="BY87" i="179"/>
  <c r="DR77" i="179"/>
  <c r="DP77" i="179"/>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DU74" i="180"/>
  <c r="DT74" i="180"/>
  <c r="DQ84" i="180"/>
  <c r="DO84" i="180"/>
  <c r="GL40" i="180"/>
  <c r="D29" i="180"/>
  <c r="GK29" i="180" s="1"/>
  <c r="GM29" i="180" s="1"/>
  <c r="DK69" i="180"/>
  <c r="E29" i="180"/>
  <c r="FA83" i="180"/>
  <c r="EY83" i="180" s="1"/>
  <c r="DW62" i="180"/>
  <c r="DY62" i="180"/>
  <c r="EO22" i="180" s="1"/>
  <c r="GC28" i="180"/>
  <c r="GB28" i="180"/>
  <c r="GE28" i="180"/>
  <c r="GD28" i="180"/>
  <c r="GA28" i="180"/>
  <c r="AU24" i="182"/>
  <c r="EH24" i="182" s="1"/>
  <c r="AP24" i="182"/>
  <c r="DV61" i="180"/>
  <c r="DX61" i="180"/>
  <c r="EO21" i="180" s="1"/>
  <c r="DU73" i="179"/>
  <c r="DT73" i="179"/>
  <c r="GL36" i="180"/>
  <c r="GM36" i="180" s="1"/>
  <c r="DN81" i="179"/>
  <c r="DM81" i="179"/>
  <c r="DU78" i="179"/>
  <c r="DT78" i="179"/>
  <c r="GL45" i="180"/>
  <c r="GM45" i="180" s="1"/>
  <c r="DV66" i="180"/>
  <c r="DX66" i="180"/>
  <c r="DT68" i="179"/>
  <c r="DU68" i="179"/>
  <c r="DY77" i="179"/>
  <c r="DW77" i="179"/>
  <c r="AO16" i="177"/>
  <c r="P15" i="177"/>
  <c r="GE32" i="179"/>
  <c r="GL32" i="179" s="1"/>
  <c r="GM32" i="179" s="1"/>
  <c r="P35" i="176"/>
  <c r="AO36" i="176"/>
  <c r="DK80" i="180"/>
  <c r="E40" i="180"/>
  <c r="D40" i="180"/>
  <c r="GK40" i="180" s="1"/>
  <c r="DT59" i="180"/>
  <c r="DU59" i="180"/>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DP84" i="180"/>
  <c r="DR84" i="180"/>
  <c r="DK68" i="180"/>
  <c r="E28" i="180"/>
  <c r="D28" i="180"/>
  <c r="GK28" i="180" s="1"/>
  <c r="BR27" i="180"/>
  <c r="GC33" i="180"/>
  <c r="GB33" i="180"/>
  <c r="GA33" i="180"/>
  <c r="GE33" i="180"/>
  <c r="GD33" i="180"/>
  <c r="DU68" i="180"/>
  <c r="DT68" i="180"/>
  <c r="DQ57" i="180"/>
  <c r="DO57" i="180"/>
  <c r="DY61" i="180"/>
  <c r="DW61" i="180"/>
  <c r="DU71" i="179"/>
  <c r="DT71" i="179"/>
  <c r="GK54" i="180"/>
  <c r="BY14" i="180"/>
  <c r="FB14" i="180"/>
  <c r="EZ14" i="180"/>
  <c r="EX14" i="180"/>
  <c r="DQ77" i="180"/>
  <c r="DO77" i="180"/>
  <c r="DX84" i="179"/>
  <c r="EO44" i="179" s="1"/>
  <c r="DV84" i="179"/>
  <c r="GL32" i="180"/>
  <c r="GK57" i="180"/>
  <c r="DY66" i="180"/>
  <c r="DW66" i="180"/>
  <c r="DO75" i="179"/>
  <c r="DQ75" i="179"/>
  <c r="BR45" i="179"/>
  <c r="V44" i="179"/>
  <c r="U44" i="179"/>
  <c r="BV44" i="179" s="1"/>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H43" i="180"/>
  <c r="G43" i="180"/>
  <c r="I43" i="180"/>
  <c r="BS43" i="180" s="1"/>
  <c r="DK82" i="180"/>
  <c r="E42" i="180"/>
  <c r="D42" i="180"/>
  <c r="GK42" i="180" s="1"/>
  <c r="GM42" i="180" s="1"/>
  <c r="DN83" i="180"/>
  <c r="DM83" i="180"/>
  <c r="DU54" i="180"/>
  <c r="DT54" i="180"/>
  <c r="O28" i="180"/>
  <c r="P28" i="180"/>
  <c r="DY84" i="180"/>
  <c r="DW84" i="180"/>
  <c r="BR32" i="180"/>
  <c r="DR57" i="180"/>
  <c r="DP57" i="180"/>
  <c r="GL34" i="180"/>
  <c r="DR77" i="180"/>
  <c r="DP77" i="180"/>
  <c r="GK61" i="180"/>
  <c r="BY21" i="180"/>
  <c r="FB21" i="180"/>
  <c r="FA21" i="180" s="1"/>
  <c r="EZ21" i="180"/>
  <c r="EX21" i="180"/>
  <c r="FA68" i="180"/>
  <c r="EY68" i="180" s="1"/>
  <c r="EZ68" i="180"/>
  <c r="FA57" i="180"/>
  <c r="EY57" i="180" s="1"/>
  <c r="DR75" i="179"/>
  <c r="DP75" i="179"/>
  <c r="GE33" i="179"/>
  <c r="GL33" i="179" s="1"/>
  <c r="GM33" i="179" s="1"/>
  <c r="FK57" i="179"/>
  <c r="FJ56" i="179"/>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DN80" i="180"/>
  <c r="DM80" i="180"/>
  <c r="DU76" i="180"/>
  <c r="DT76" i="180"/>
  <c r="FA71" i="180"/>
  <c r="EY71" i="180" s="1"/>
  <c r="EZ71" i="180"/>
  <c r="I29" i="180"/>
  <c r="BS29" i="180" s="1"/>
  <c r="H29" i="180"/>
  <c r="G29" i="180"/>
  <c r="DX84" i="180"/>
  <c r="EO44" i="180" s="1"/>
  <c r="DV84" i="180"/>
  <c r="EZ84" i="180"/>
  <c r="FA84" i="180"/>
  <c r="EY84" i="180" s="1"/>
  <c r="L44" i="179"/>
  <c r="BU44" i="179" s="1"/>
  <c r="K44" i="179"/>
  <c r="J44" i="179"/>
  <c r="GE25" i="180"/>
  <c r="GL25" i="180" s="1"/>
  <c r="GM25" i="180" s="1"/>
  <c r="GL30" i="180"/>
  <c r="GM30" i="180" s="1"/>
  <c r="DY67" i="180"/>
  <c r="DW67" i="180"/>
  <c r="DU75" i="179"/>
  <c r="DT75" i="179"/>
  <c r="DQ72" i="179"/>
  <c r="DO72" i="179"/>
  <c r="DU74" i="179"/>
  <c r="DT74" i="179"/>
  <c r="EZ85" i="179"/>
  <c r="DN73" i="179"/>
  <c r="DM73" i="179"/>
  <c r="DQ78" i="179"/>
  <c r="DO78" i="179"/>
  <c r="EX24" i="179"/>
  <c r="GK67" i="179"/>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DK71" i="180"/>
  <c r="D31" i="180"/>
  <c r="GK31" i="180" s="1"/>
  <c r="GM31" i="180" s="1"/>
  <c r="E31" i="180"/>
  <c r="DN82" i="180"/>
  <c r="DM82" i="180"/>
  <c r="EI31" i="182"/>
  <c r="AP26" i="182"/>
  <c r="AZ26" i="182"/>
  <c r="AU26" i="182"/>
  <c r="DX83" i="180"/>
  <c r="EO43" i="180" s="1"/>
  <c r="DV83" i="180"/>
  <c r="GE44" i="180"/>
  <c r="GD44" i="180"/>
  <c r="GC44" i="180"/>
  <c r="GB44" i="180"/>
  <c r="GA44" i="180"/>
  <c r="GL44" i="180" s="1"/>
  <c r="GL31" i="180"/>
  <c r="DX80" i="180"/>
  <c r="EO40" i="180" s="1"/>
  <c r="DV80" i="180"/>
  <c r="DQ63" i="180"/>
  <c r="EN23" i="180" s="1"/>
  <c r="DO63" i="180"/>
  <c r="L45" i="179"/>
  <c r="BU45" i="179" s="1"/>
  <c r="K45" i="179"/>
  <c r="J45" i="179"/>
  <c r="GM34" i="180"/>
  <c r="DR72" i="179"/>
  <c r="EC72" i="179" s="1"/>
  <c r="EP32" i="179" s="1"/>
  <c r="DP72" i="179"/>
  <c r="GL38" i="180"/>
  <c r="DX72" i="179"/>
  <c r="EO32" i="179" s="1"/>
  <c r="DV72" i="179"/>
  <c r="DR78" i="179"/>
  <c r="DP78" i="179"/>
  <c r="GD48" i="84"/>
  <c r="GC48" i="84"/>
  <c r="GB48" i="84"/>
  <c r="GA48" i="84"/>
  <c r="GD48" i="160"/>
  <c r="GC48" i="160"/>
  <c r="GB48" i="160"/>
  <c r="GA48" i="160"/>
  <c r="GD57" i="147"/>
  <c r="GC57" i="147"/>
  <c r="GB57" i="147"/>
  <c r="GA57" i="147"/>
  <c r="AD47" i="184" l="1"/>
  <c r="GK71" i="179"/>
  <c r="BY31" i="179"/>
  <c r="FB31" i="179"/>
  <c r="FA31" i="179" s="1"/>
  <c r="EZ31" i="179"/>
  <c r="GK64" i="180"/>
  <c r="FB24" i="180"/>
  <c r="FA24" i="180" s="1"/>
  <c r="BY24" i="180"/>
  <c r="EZ24" i="180"/>
  <c r="GK70" i="179"/>
  <c r="BY30" i="179"/>
  <c r="FB30" i="179"/>
  <c r="FA30" i="179" s="1"/>
  <c r="EZ30" i="179"/>
  <c r="BY18" i="180"/>
  <c r="GK58" i="180"/>
  <c r="FB18" i="180"/>
  <c r="FA18" i="180" s="1"/>
  <c r="EZ18" i="180"/>
  <c r="GK60" i="180"/>
  <c r="BY20" i="180"/>
  <c r="FB20" i="180"/>
  <c r="FA20" i="180" s="1"/>
  <c r="EZ20" i="180"/>
  <c r="EX20" i="180"/>
  <c r="EX25" i="179"/>
  <c r="FB24" i="179"/>
  <c r="FA24" i="179" s="1"/>
  <c r="EZ24" i="179"/>
  <c r="BY24" i="179"/>
  <c r="GK64" i="179"/>
  <c r="EZ22" i="179"/>
  <c r="BY22" i="179"/>
  <c r="P56" i="175"/>
  <c r="EX18" i="180"/>
  <c r="EZ17" i="180"/>
  <c r="BY17" i="180"/>
  <c r="FB17" i="180"/>
  <c r="FA17" i="180" s="1"/>
  <c r="EX17" i="180"/>
  <c r="BY15" i="179"/>
  <c r="GK55" i="179"/>
  <c r="EX15" i="179"/>
  <c r="FB15" i="179"/>
  <c r="EZ15" i="179"/>
  <c r="GK68" i="179"/>
  <c r="BY28" i="179"/>
  <c r="EX29" i="179"/>
  <c r="FB28" i="179"/>
  <c r="FA28" i="179" s="1"/>
  <c r="EZ28" i="179"/>
  <c r="EX28" i="179"/>
  <c r="BY21" i="179"/>
  <c r="FB21" i="179"/>
  <c r="FA21" i="179" s="1"/>
  <c r="EZ21" i="179"/>
  <c r="BY18" i="179"/>
  <c r="FB18" i="179"/>
  <c r="FA18" i="179" s="1"/>
  <c r="GK58" i="179"/>
  <c r="EZ18" i="179"/>
  <c r="EX19" i="179"/>
  <c r="FB27" i="179"/>
  <c r="FA27" i="179" s="1"/>
  <c r="BY27" i="179"/>
  <c r="EZ27" i="179"/>
  <c r="EN19" i="180"/>
  <c r="AD47" i="183"/>
  <c r="AD47" i="185"/>
  <c r="FP57" i="179"/>
  <c r="GA57" i="179" s="1"/>
  <c r="FO57" i="179"/>
  <c r="FZ56" i="179"/>
  <c r="FU57" i="179"/>
  <c r="FT57" i="179" s="1"/>
  <c r="FR57" i="179"/>
  <c r="FS58" i="179" s="1"/>
  <c r="FP58" i="179" s="1"/>
  <c r="GA58" i="179" s="1"/>
  <c r="AD47" i="182"/>
  <c r="FN57" i="179"/>
  <c r="FW57" i="179" s="1"/>
  <c r="FV57" i="179" s="1"/>
  <c r="FX56" i="179"/>
  <c r="AA15" i="182"/>
  <c r="FX56" i="180"/>
  <c r="EK69" i="182"/>
  <c r="EV69" i="182" s="1"/>
  <c r="EI69" i="182"/>
  <c r="AP29" i="185"/>
  <c r="AZ29" i="185"/>
  <c r="AU29" i="185"/>
  <c r="EJ99" i="184"/>
  <c r="EL99" i="184" s="1"/>
  <c r="AT40" i="184"/>
  <c r="DR40" i="184"/>
  <c r="AR40" i="184"/>
  <c r="DQ40" i="184"/>
  <c r="EU40" i="184"/>
  <c r="ES40" i="184"/>
  <c r="CS40" i="184"/>
  <c r="CR40" i="184"/>
  <c r="ET40" i="184"/>
  <c r="EP40" i="184"/>
  <c r="EO40" i="184"/>
  <c r="EN32" i="179"/>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DW73" i="179"/>
  <c r="DY73" i="179"/>
  <c r="AP30" i="183"/>
  <c r="AZ30" i="183"/>
  <c r="AU30" i="183"/>
  <c r="DY82" i="180"/>
  <c r="DW82" i="180"/>
  <c r="BY17" i="179"/>
  <c r="FB17" i="179"/>
  <c r="FA17" i="179" s="1"/>
  <c r="GK57" i="179"/>
  <c r="EZ17" i="179"/>
  <c r="EX17" i="179"/>
  <c r="EX18" i="179"/>
  <c r="GL35" i="180"/>
  <c r="GM35" i="180" s="1"/>
  <c r="DQ70" i="180"/>
  <c r="DO70" i="180"/>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EC68" i="179"/>
  <c r="EP28" i="179" s="1"/>
  <c r="EN28" i="179"/>
  <c r="AZ27" i="185"/>
  <c r="AU27" i="185"/>
  <c r="AP27" i="185"/>
  <c r="EJ87" i="183"/>
  <c r="DR28" i="183"/>
  <c r="CS28" i="183"/>
  <c r="AT28" i="183"/>
  <c r="AR28" i="183"/>
  <c r="DQ28" i="183"/>
  <c r="EU28" i="183"/>
  <c r="ES28" i="183"/>
  <c r="CR28" i="183"/>
  <c r="ET28" i="183"/>
  <c r="EL87" i="183"/>
  <c r="DY57" i="180"/>
  <c r="EC57" i="180" s="1"/>
  <c r="EP17" i="180" s="1"/>
  <c r="DW57" i="180"/>
  <c r="EJ84" i="183"/>
  <c r="EL84" i="183" s="1"/>
  <c r="CS25" i="183"/>
  <c r="CR25" i="183"/>
  <c r="EU25" i="183"/>
  <c r="AR25" i="183"/>
  <c r="ET25" i="183"/>
  <c r="DR25" i="183"/>
  <c r="DQ25" i="183"/>
  <c r="AT25" i="183"/>
  <c r="EO25" i="183"/>
  <c r="EH25" i="183"/>
  <c r="EI25" i="183"/>
  <c r="ES25" i="183"/>
  <c r="EC62" i="180"/>
  <c r="EP22" i="180" s="1"/>
  <c r="EJ80" i="184"/>
  <c r="DR21" i="184"/>
  <c r="AR21" i="184"/>
  <c r="DQ21" i="184"/>
  <c r="CS21" i="184"/>
  <c r="EU21" i="184"/>
  <c r="ES21" i="184"/>
  <c r="CR21" i="184"/>
  <c r="AT21" i="184"/>
  <c r="EL80" i="184"/>
  <c r="EP21" i="184"/>
  <c r="ET21" i="184"/>
  <c r="EO21" i="184"/>
  <c r="W44" i="185"/>
  <c r="V44" i="185"/>
  <c r="EC55" i="180"/>
  <c r="EP15" i="180" s="1"/>
  <c r="W24" i="185"/>
  <c r="V24" i="185"/>
  <c r="AT24" i="185" s="1"/>
  <c r="GL27" i="180"/>
  <c r="DQ82" i="179"/>
  <c r="DO82" i="179"/>
  <c r="DV78" i="180"/>
  <c r="DX78" i="180"/>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N37" i="180"/>
  <c r="GL33" i="180"/>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DX83" i="179"/>
  <c r="EO43" i="179" s="1"/>
  <c r="DV83" i="179"/>
  <c r="DR70" i="180"/>
  <c r="DP70" i="180"/>
  <c r="EO23" i="184"/>
  <c r="DQ41" i="183"/>
  <c r="L41" i="183" s="1"/>
  <c r="EU41" i="183"/>
  <c r="EJ100" i="183"/>
  <c r="CS41" i="183"/>
  <c r="ET41" i="183"/>
  <c r="DR41" i="183"/>
  <c r="M41" i="183" s="1"/>
  <c r="ES41" i="183"/>
  <c r="EL100" i="183"/>
  <c r="EO41" i="183"/>
  <c r="CR41" i="183"/>
  <c r="EO23" i="180"/>
  <c r="EJ90" i="183"/>
  <c r="EL90" i="183" s="1"/>
  <c r="DR31" i="183"/>
  <c r="DQ31" i="183"/>
  <c r="EU31" i="183"/>
  <c r="CS31" i="183"/>
  <c r="CR31" i="183"/>
  <c r="AT31" i="183"/>
  <c r="AR31" i="183"/>
  <c r="ET31" i="183"/>
  <c r="ES31" i="183"/>
  <c r="EO31" i="183"/>
  <c r="EI31" i="183"/>
  <c r="EH31" i="183"/>
  <c r="EH43" i="184"/>
  <c r="CJ40" i="185"/>
  <c r="X40" i="185"/>
  <c r="GL24" i="185"/>
  <c r="DP82" i="179"/>
  <c r="DR82" i="179"/>
  <c r="DW78" i="180"/>
  <c r="DY78" i="180"/>
  <c r="EP35" i="184"/>
  <c r="U29" i="185"/>
  <c r="T29" i="185"/>
  <c r="AR29" i="185" s="1"/>
  <c r="T37" i="180"/>
  <c r="S37" i="180"/>
  <c r="AP45" i="183"/>
  <c r="AZ45" i="183"/>
  <c r="AU45" i="183"/>
  <c r="AO17" i="177"/>
  <c r="P16" i="177"/>
  <c r="EH23" i="183"/>
  <c r="AZ24" i="184"/>
  <c r="AU24" i="184"/>
  <c r="AP24" i="184"/>
  <c r="DY83" i="179"/>
  <c r="DW83" i="179"/>
  <c r="EJ83" i="185"/>
  <c r="DR24" i="185"/>
  <c r="M24" i="185" s="1"/>
  <c r="DQ24" i="185"/>
  <c r="L24" i="185" s="1"/>
  <c r="CS24" i="185"/>
  <c r="CR24" i="185"/>
  <c r="EU24" i="185"/>
  <c r="ET24" i="185"/>
  <c r="ES24" i="185"/>
  <c r="EL83" i="185"/>
  <c r="EO24" i="185"/>
  <c r="T28" i="180"/>
  <c r="S28" i="180"/>
  <c r="DX71" i="180"/>
  <c r="DV71" i="180"/>
  <c r="DR64" i="180"/>
  <c r="DP64" i="180"/>
  <c r="EU28" i="182"/>
  <c r="ES28" i="182"/>
  <c r="CS28" i="182"/>
  <c r="CR28" i="182"/>
  <c r="AT28" i="182"/>
  <c r="AR28" i="182"/>
  <c r="DR28" i="182"/>
  <c r="DQ28" i="182"/>
  <c r="EH28" i="182"/>
  <c r="EI28" i="182"/>
  <c r="ET28" i="182"/>
  <c r="AU35" i="183"/>
  <c r="AZ35" i="183"/>
  <c r="AP35" i="183"/>
  <c r="EO25" i="184"/>
  <c r="EO39" i="180"/>
  <c r="EJ88" i="183"/>
  <c r="EL88" i="183" s="1"/>
  <c r="CS29" i="183"/>
  <c r="AR29" i="183"/>
  <c r="DR29" i="183"/>
  <c r="DQ29" i="183"/>
  <c r="EU29" i="183"/>
  <c r="CR29" i="183"/>
  <c r="AT29" i="183"/>
  <c r="EI29" i="183"/>
  <c r="ES29" i="183"/>
  <c r="ET29" i="183"/>
  <c r="W39" i="182"/>
  <c r="V39" i="182"/>
  <c r="AT39" i="182" s="1"/>
  <c r="FA14" i="180"/>
  <c r="FA15" i="180"/>
  <c r="EO28" i="182"/>
  <c r="EC79" i="180"/>
  <c r="T39" i="180"/>
  <c r="S39" i="180"/>
  <c r="EP24" i="182"/>
  <c r="EN15" i="180"/>
  <c r="EJ92" i="185"/>
  <c r="DQ33" i="185"/>
  <c r="L33" i="185" s="1"/>
  <c r="EU33" i="185"/>
  <c r="DR33" i="185"/>
  <c r="M33" i="185" s="1"/>
  <c r="CR33" i="185"/>
  <c r="ES33" i="185"/>
  <c r="CS33" i="185"/>
  <c r="ET33" i="185"/>
  <c r="EL92" i="185"/>
  <c r="S18" i="183"/>
  <c r="R18" i="183"/>
  <c r="Q18" i="183"/>
  <c r="S26" i="183"/>
  <c r="R26" i="183"/>
  <c r="Q26" i="183"/>
  <c r="U25" i="185"/>
  <c r="T25" i="185"/>
  <c r="GM32" i="185"/>
  <c r="DX76" i="180"/>
  <c r="DV76" i="180"/>
  <c r="EJ79" i="183"/>
  <c r="AT20" i="183"/>
  <c r="DR20" i="183"/>
  <c r="AR20" i="183"/>
  <c r="DQ20" i="183"/>
  <c r="EU20" i="183"/>
  <c r="CS20" i="183"/>
  <c r="ES20" i="183"/>
  <c r="CR20" i="183"/>
  <c r="EO20" i="183"/>
  <c r="EL79" i="183"/>
  <c r="EP20" i="183"/>
  <c r="EI20" i="183"/>
  <c r="ET20" i="183"/>
  <c r="AR38" i="185"/>
  <c r="EN44" i="180"/>
  <c r="CJ41" i="183"/>
  <c r="X41" i="183"/>
  <c r="EI24" i="185"/>
  <c r="DX76" i="179"/>
  <c r="EO36" i="179" s="1"/>
  <c r="DV76" i="179"/>
  <c r="AU45" i="184"/>
  <c r="AZ45" i="184"/>
  <c r="AP45" i="184"/>
  <c r="DY71" i="180"/>
  <c r="DW71" i="180"/>
  <c r="DO64" i="180"/>
  <c r="DQ64" i="180"/>
  <c r="EO17" i="184"/>
  <c r="DX65" i="180"/>
  <c r="DV65" i="180"/>
  <c r="EO36" i="183"/>
  <c r="DX72" i="180"/>
  <c r="DV72" i="180"/>
  <c r="V40" i="180"/>
  <c r="U40" i="180"/>
  <c r="P40" i="182"/>
  <c r="O40" i="182"/>
  <c r="N40" i="182"/>
  <c r="V42" i="184"/>
  <c r="AT42" i="184" s="1"/>
  <c r="W42" i="184"/>
  <c r="CH40" i="185"/>
  <c r="EP28" i="182"/>
  <c r="AU57" i="183"/>
  <c r="AP57" i="183"/>
  <c r="AZ57" i="183" s="1"/>
  <c r="EN22" i="180"/>
  <c r="EH30" i="184"/>
  <c r="AU40" i="185"/>
  <c r="AZ40" i="185"/>
  <c r="AP40" i="185"/>
  <c r="AZ31" i="185"/>
  <c r="AU31" i="185"/>
  <c r="AP31" i="185"/>
  <c r="AS45" i="185"/>
  <c r="AQ45" i="185"/>
  <c r="AO45" i="185"/>
  <c r="AN45" i="185"/>
  <c r="AM45" i="185"/>
  <c r="AL45" i="185"/>
  <c r="AJ45" i="185"/>
  <c r="V27" i="180"/>
  <c r="U27" i="180"/>
  <c r="DY76" i="180"/>
  <c r="DW76" i="180"/>
  <c r="CS24" i="182"/>
  <c r="CR24" i="182"/>
  <c r="AT24" i="182"/>
  <c r="DR24" i="182"/>
  <c r="AR24" i="182"/>
  <c r="DQ24" i="182"/>
  <c r="EU24" i="182"/>
  <c r="ET24" i="182"/>
  <c r="ES24" i="182"/>
  <c r="DX74" i="180"/>
  <c r="DV74" i="180"/>
  <c r="EJ80" i="183"/>
  <c r="EL80" i="183" s="1"/>
  <c r="DQ21" i="183"/>
  <c r="EU21" i="183"/>
  <c r="CS21" i="183"/>
  <c r="CR21" i="183"/>
  <c r="AT21" i="183"/>
  <c r="DR21" i="183"/>
  <c r="AR21" i="183"/>
  <c r="ET21" i="183"/>
  <c r="ES21" i="183"/>
  <c r="EP21" i="183"/>
  <c r="EI21" i="183"/>
  <c r="EH21" i="183"/>
  <c r="EO21" i="183"/>
  <c r="AZ44" i="183"/>
  <c r="AP44" i="183"/>
  <c r="AU44" i="183"/>
  <c r="DY76" i="179"/>
  <c r="DW76" i="179"/>
  <c r="GL40" i="185"/>
  <c r="FZ57" i="179"/>
  <c r="GB57" i="179"/>
  <c r="S27" i="182"/>
  <c r="R27" i="182"/>
  <c r="Q27" i="182"/>
  <c r="DR39" i="183"/>
  <c r="AR39" i="183"/>
  <c r="DQ39" i="183"/>
  <c r="EL98" i="183"/>
  <c r="EJ98" i="183"/>
  <c r="ET39" i="183"/>
  <c r="CR39" i="183"/>
  <c r="CS39" i="183"/>
  <c r="AT39" i="183"/>
  <c r="EU39" i="183"/>
  <c r="EO39" i="183"/>
  <c r="ES39" i="183"/>
  <c r="GM35" i="185"/>
  <c r="DY65" i="180"/>
  <c r="DW65" i="180"/>
  <c r="AP33" i="183"/>
  <c r="AZ33" i="183"/>
  <c r="AU33" i="183"/>
  <c r="EQ35" i="183"/>
  <c r="CI35" i="183" s="1"/>
  <c r="EO35" i="183"/>
  <c r="EO18" i="185"/>
  <c r="GM40" i="185"/>
  <c r="T35" i="180"/>
  <c r="S35" i="180"/>
  <c r="DY72" i="180"/>
  <c r="DW72" i="180"/>
  <c r="EP24" i="183"/>
  <c r="EC69" i="179"/>
  <c r="EP29" i="179" s="1"/>
  <c r="R40" i="182"/>
  <c r="Q40" i="182"/>
  <c r="S40" i="182"/>
  <c r="EO27" i="180"/>
  <c r="EC78" i="180"/>
  <c r="T38" i="180"/>
  <c r="S38" i="180"/>
  <c r="GM42" i="185"/>
  <c r="GM24" i="185"/>
  <c r="T45" i="179"/>
  <c r="S45" i="179"/>
  <c r="EJ82" i="184"/>
  <c r="EL82" i="184" s="1"/>
  <c r="DR23" i="184"/>
  <c r="AR23" i="184"/>
  <c r="DQ23" i="184"/>
  <c r="CS23" i="184"/>
  <c r="EU23" i="184"/>
  <c r="ET23" i="184"/>
  <c r="AT23" i="184"/>
  <c r="CR23" i="184"/>
  <c r="EI23" i="184"/>
  <c r="ES23" i="184"/>
  <c r="EH23" i="184"/>
  <c r="DX73" i="179"/>
  <c r="EO33" i="179" s="1"/>
  <c r="DV73" i="179"/>
  <c r="DY85" i="179"/>
  <c r="DW85" i="179"/>
  <c r="CH27" i="185"/>
  <c r="DY68" i="179"/>
  <c r="DW68" i="179"/>
  <c r="DY74" i="180"/>
  <c r="DW74" i="180"/>
  <c r="W32" i="185"/>
  <c r="V32" i="185"/>
  <c r="FK60" i="180"/>
  <c r="FJ59" i="180"/>
  <c r="CJ39" i="182"/>
  <c r="X39" i="182"/>
  <c r="EL87" i="184"/>
  <c r="EJ87" i="184"/>
  <c r="DR28" i="184"/>
  <c r="DQ28" i="184"/>
  <c r="EU28" i="184"/>
  <c r="CS28" i="184"/>
  <c r="CR28" i="184"/>
  <c r="ES28" i="184"/>
  <c r="AT28" i="184"/>
  <c r="AR28" i="184"/>
  <c r="EP28" i="184"/>
  <c r="EH28" i="184"/>
  <c r="EO28" i="184"/>
  <c r="ET28" i="184"/>
  <c r="EN43" i="179"/>
  <c r="EI39" i="183"/>
  <c r="EI24" i="182"/>
  <c r="V39" i="180"/>
  <c r="U39" i="180"/>
  <c r="BV39" i="180" s="1"/>
  <c r="ER35" i="183"/>
  <c r="EV35" i="183" s="1"/>
  <c r="CJ35" i="183" s="1"/>
  <c r="EP35" i="183"/>
  <c r="GM30" i="185"/>
  <c r="AZ40" i="183"/>
  <c r="AP40" i="183"/>
  <c r="AU40" i="183"/>
  <c r="DQ80" i="179"/>
  <c r="DO80" i="179"/>
  <c r="GM38" i="180"/>
  <c r="EI44" i="184"/>
  <c r="EN30" i="179"/>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DY75" i="179"/>
  <c r="DW75" i="179"/>
  <c r="DQ80" i="180"/>
  <c r="DO80" i="180"/>
  <c r="FK58" i="179"/>
  <c r="FJ57" i="179"/>
  <c r="EJ29" i="182"/>
  <c r="CH29" i="182" s="1"/>
  <c r="EH29" i="182"/>
  <c r="DR80" i="180"/>
  <c r="DP80" i="180"/>
  <c r="DV68" i="179"/>
  <c r="DX68" i="179"/>
  <c r="GL28" i="180"/>
  <c r="GM28" i="180" s="1"/>
  <c r="V27" i="185"/>
  <c r="W27" i="185"/>
  <c r="U44" i="185"/>
  <c r="T44" i="185"/>
  <c r="CH29" i="184"/>
  <c r="V41" i="180"/>
  <c r="U41" i="180"/>
  <c r="EC63" i="180"/>
  <c r="EP23" i="180" s="1"/>
  <c r="EC66" i="180"/>
  <c r="EP26" i="180" s="1"/>
  <c r="GL36" i="185"/>
  <c r="GM36" i="185" s="1"/>
  <c r="AO53" i="176"/>
  <c r="P52" i="176"/>
  <c r="DX81" i="179"/>
  <c r="DV81" i="179"/>
  <c r="DP56" i="180"/>
  <c r="DR56" i="180"/>
  <c r="EC56" i="180" s="1"/>
  <c r="EP16" i="180" s="1"/>
  <c r="EJ76" i="183"/>
  <c r="CS17" i="183"/>
  <c r="AT17" i="183"/>
  <c r="DR17" i="183"/>
  <c r="EU17" i="183"/>
  <c r="DQ17" i="183"/>
  <c r="ET17" i="183"/>
  <c r="CR17" i="183"/>
  <c r="AR17" i="183"/>
  <c r="ES17" i="183"/>
  <c r="EL76" i="183"/>
  <c r="EP17" i="183"/>
  <c r="EI17" i="183"/>
  <c r="EH17" i="183"/>
  <c r="CH40" i="183"/>
  <c r="DX82" i="179"/>
  <c r="DV82" i="179"/>
  <c r="DR80" i="179"/>
  <c r="EC80" i="179" s="1"/>
  <c r="EP40" i="179" s="1"/>
  <c r="DP80" i="179"/>
  <c r="EK32" i="185"/>
  <c r="EV32" i="185" s="1"/>
  <c r="EO40" i="179"/>
  <c r="EN39" i="180"/>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DV71" i="179"/>
  <c r="DX71" i="179"/>
  <c r="P35" i="185"/>
  <c r="O35" i="185"/>
  <c r="N35" i="185"/>
  <c r="EO26" i="180"/>
  <c r="EH41" i="184"/>
  <c r="DQ71" i="179"/>
  <c r="DO71" i="179"/>
  <c r="DQ65" i="180"/>
  <c r="DO65" i="180"/>
  <c r="CS35" i="182"/>
  <c r="AT35" i="182"/>
  <c r="DR35" i="182"/>
  <c r="AR35" i="182"/>
  <c r="DQ35" i="182"/>
  <c r="EU35" i="182"/>
  <c r="CR35" i="182"/>
  <c r="ES35" i="182"/>
  <c r="EI35" i="182"/>
  <c r="ET35" i="182"/>
  <c r="EP35" i="182"/>
  <c r="DX69" i="180"/>
  <c r="DV69" i="180"/>
  <c r="U42" i="183"/>
  <c r="T42" i="183"/>
  <c r="DR85" i="180"/>
  <c r="DP85" i="180"/>
  <c r="EO38" i="183"/>
  <c r="DR30" i="184"/>
  <c r="AR30" i="184"/>
  <c r="EJ89" i="184"/>
  <c r="EL89" i="184" s="1"/>
  <c r="AT30" i="184"/>
  <c r="EU30" i="184"/>
  <c r="DQ30" i="184"/>
  <c r="CS30" i="184"/>
  <c r="CR30" i="184"/>
  <c r="EO30" i="184"/>
  <c r="ES30" i="184"/>
  <c r="ET30" i="184"/>
  <c r="GM27" i="180"/>
  <c r="DY81" i="179"/>
  <c r="DW81" i="179"/>
  <c r="DQ56" i="180"/>
  <c r="EN16" i="180" s="1"/>
  <c r="DO56" i="180"/>
  <c r="EO21" i="185"/>
  <c r="W40" i="185"/>
  <c r="V40" i="185"/>
  <c r="DY82" i="179"/>
  <c r="DW82" i="179"/>
  <c r="GM44" i="180"/>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DQ58" i="180"/>
  <c r="DO58" i="180"/>
  <c r="EI21" i="184"/>
  <c r="EJ32" i="185"/>
  <c r="CH32" i="185" s="1"/>
  <c r="EJ96" i="184"/>
  <c r="CR37" i="184"/>
  <c r="DR37" i="184"/>
  <c r="AR37" i="184"/>
  <c r="DQ37" i="184"/>
  <c r="CS37" i="184"/>
  <c r="AT37" i="184"/>
  <c r="EU37" i="184"/>
  <c r="ET37" i="184"/>
  <c r="EL96" i="184"/>
  <c r="EI37" i="184"/>
  <c r="ES37" i="184"/>
  <c r="DX75" i="179"/>
  <c r="EO35" i="179" s="1"/>
  <c r="DV75" i="179"/>
  <c r="EU26" i="182"/>
  <c r="AR26" i="182"/>
  <c r="DR26" i="182"/>
  <c r="DQ26" i="182"/>
  <c r="CS26" i="182"/>
  <c r="CR26" i="182"/>
  <c r="AT26" i="182"/>
  <c r="ET26" i="182"/>
  <c r="ES26" i="182"/>
  <c r="AO26" i="185"/>
  <c r="AN26" i="185"/>
  <c r="AS26" i="185"/>
  <c r="AQ26" i="185"/>
  <c r="AM26" i="185"/>
  <c r="AL26" i="185"/>
  <c r="AJ26" i="185"/>
  <c r="EI19" i="183"/>
  <c r="AR45" i="184"/>
  <c r="EC75" i="179"/>
  <c r="EP35" i="179" s="1"/>
  <c r="V44" i="180"/>
  <c r="U44" i="180"/>
  <c r="BV44" i="180" s="1"/>
  <c r="EN35" i="179"/>
  <c r="DW71" i="179"/>
  <c r="DY71" i="179"/>
  <c r="EC84" i="180"/>
  <c r="T44" i="180"/>
  <c r="S44" i="180"/>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DR71" i="179"/>
  <c r="DP71" i="179"/>
  <c r="DP65" i="180"/>
  <c r="DR65" i="180"/>
  <c r="EC65" i="180" s="1"/>
  <c r="EP25" i="180" s="1"/>
  <c r="EN37" i="179"/>
  <c r="DY69" i="180"/>
  <c r="DW69" i="180"/>
  <c r="EC76" i="180"/>
  <c r="T36" i="180"/>
  <c r="S36" i="180"/>
  <c r="DO85" i="180"/>
  <c r="DQ85" i="180"/>
  <c r="EO19" i="183"/>
  <c r="EN26" i="180"/>
  <c r="EJ26" i="182"/>
  <c r="EH26" i="182"/>
  <c r="EP21" i="185"/>
  <c r="DX70" i="179"/>
  <c r="DV70" i="179"/>
  <c r="EI30" i="184"/>
  <c r="DX77" i="180"/>
  <c r="DV77" i="180"/>
  <c r="EC60" i="180"/>
  <c r="EP20" i="180" s="1"/>
  <c r="DR58" i="180"/>
  <c r="EC58" i="180" s="1"/>
  <c r="EP18" i="180" s="1"/>
  <c r="DP58" i="180"/>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T34" i="180"/>
  <c r="S34" i="180"/>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DY73" i="180"/>
  <c r="DW73" i="180"/>
  <c r="L27" i="178"/>
  <c r="N26" i="178"/>
  <c r="EJ100" i="184"/>
  <c r="DQ41" i="184"/>
  <c r="L41" i="184" s="1"/>
  <c r="EU41" i="184"/>
  <c r="ES41" i="184"/>
  <c r="CS41" i="184"/>
  <c r="DR41" i="184"/>
  <c r="M41" i="184" s="1"/>
  <c r="CR41" i="184"/>
  <c r="ET41" i="184"/>
  <c r="EL100" i="184"/>
  <c r="CJ27" i="185"/>
  <c r="X27" i="185"/>
  <c r="EP37" i="184"/>
  <c r="DY59" i="180"/>
  <c r="DW59" i="180"/>
  <c r="AP23" i="182"/>
  <c r="AZ23" i="182"/>
  <c r="AU23" i="182"/>
  <c r="S33" i="184"/>
  <c r="R33" i="184"/>
  <c r="Q33" i="184"/>
  <c r="EH40" i="184"/>
  <c r="EL76" i="184"/>
  <c r="EJ76" i="184"/>
  <c r="EU17" i="184"/>
  <c r="ET17" i="184"/>
  <c r="CS17" i="184"/>
  <c r="CR17" i="184"/>
  <c r="AR17" i="184"/>
  <c r="DR17" i="184"/>
  <c r="DQ17" i="184"/>
  <c r="AT17" i="184"/>
  <c r="ES17" i="184"/>
  <c r="DX64" i="180"/>
  <c r="DV64" i="180"/>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DQ54" i="180"/>
  <c r="EN14" i="180" s="1"/>
  <c r="DO54" i="180"/>
  <c r="AQ39" i="182"/>
  <c r="AO39" i="182"/>
  <c r="AN39" i="182"/>
  <c r="AM39" i="182"/>
  <c r="AL39" i="182"/>
  <c r="AS39" i="182"/>
  <c r="AJ39" i="182"/>
  <c r="EP41" i="183"/>
  <c r="GM32" i="180"/>
  <c r="EK26" i="182"/>
  <c r="EV26" i="182" s="1"/>
  <c r="CJ26" i="182" s="1"/>
  <c r="EI26" i="182"/>
  <c r="DY70" i="179"/>
  <c r="DW70" i="179"/>
  <c r="EC84" i="179"/>
  <c r="S44" i="179"/>
  <c r="T44" i="179"/>
  <c r="AU19" i="185"/>
  <c r="AP19" i="185"/>
  <c r="AZ19" i="185"/>
  <c r="V31" i="185"/>
  <c r="W31" i="185"/>
  <c r="DQ74" i="179"/>
  <c r="DO74" i="179"/>
  <c r="DY77" i="180"/>
  <c r="EC77" i="180" s="1"/>
  <c r="DW77" i="180"/>
  <c r="CH32" i="183"/>
  <c r="CJ24" i="185"/>
  <c r="X24" i="185"/>
  <c r="CS38" i="183"/>
  <c r="CR38" i="183"/>
  <c r="DQ38" i="183"/>
  <c r="DR38" i="183"/>
  <c r="EL97" i="183"/>
  <c r="EJ97" i="183"/>
  <c r="AT38" i="183"/>
  <c r="EU38" i="183"/>
  <c r="ET38" i="183"/>
  <c r="AR38" i="183"/>
  <c r="ES38" i="183"/>
  <c r="EI38" i="183"/>
  <c r="EH38" i="183"/>
  <c r="EN38" i="179"/>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DQ73" i="179"/>
  <c r="DO73" i="179"/>
  <c r="AU34" i="185"/>
  <c r="AP34" i="185"/>
  <c r="AZ34" i="185"/>
  <c r="DX59" i="180"/>
  <c r="EO19" i="180" s="1"/>
  <c r="DV59" i="180"/>
  <c r="DX78" i="179"/>
  <c r="EO38" i="179" s="1"/>
  <c r="DV78" i="179"/>
  <c r="EP27" i="184"/>
  <c r="EN21" i="180"/>
  <c r="DY64" i="180"/>
  <c r="DW64" i="180"/>
  <c r="V41" i="185"/>
  <c r="AT41" i="185" s="1"/>
  <c r="W41" i="185"/>
  <c r="EN28" i="180"/>
  <c r="DP54" i="180"/>
  <c r="DR54" i="180"/>
  <c r="Q31" i="184"/>
  <c r="S31" i="184"/>
  <c r="R31" i="184"/>
  <c r="AZ32" i="183"/>
  <c r="GL45" i="183"/>
  <c r="DX75" i="180"/>
  <c r="DV75" i="180"/>
  <c r="DP74" i="179"/>
  <c r="DR74" i="179"/>
  <c r="EP26" i="182"/>
  <c r="EH36" i="183"/>
  <c r="AR45" i="183"/>
  <c r="W30" i="185"/>
  <c r="V30" i="185"/>
  <c r="DV70" i="180"/>
  <c r="DX70" i="180"/>
  <c r="EN20" i="180"/>
  <c r="EN35" i="180"/>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DX54" i="180"/>
  <c r="DV54" i="180"/>
  <c r="EJ78" i="184"/>
  <c r="EL78" i="184"/>
  <c r="DR19" i="184"/>
  <c r="AR19" i="184"/>
  <c r="DQ19" i="184"/>
  <c r="CS19" i="184"/>
  <c r="EU19" i="184"/>
  <c r="CR19" i="184"/>
  <c r="AT19" i="184"/>
  <c r="EH19" i="184"/>
  <c r="EP19" i="184"/>
  <c r="EI19" i="184"/>
  <c r="ES19" i="184"/>
  <c r="ET19" i="184"/>
  <c r="EO37" i="184"/>
  <c r="U23" i="185"/>
  <c r="T23" i="185"/>
  <c r="GM40" i="180"/>
  <c r="DY78" i="179"/>
  <c r="EC78" i="179" s="1"/>
  <c r="EP38" i="179" s="1"/>
  <c r="DW78" i="179"/>
  <c r="EI40" i="184"/>
  <c r="EI21" i="185"/>
  <c r="EK23" i="182"/>
  <c r="EV23" i="182" s="1"/>
  <c r="CJ23" i="182" s="1"/>
  <c r="EI23" i="182"/>
  <c r="EC83" i="179"/>
  <c r="EP43" i="179" s="1"/>
  <c r="EO18" i="184"/>
  <c r="DQ81" i="180"/>
  <c r="DO81" i="180"/>
  <c r="DR69" i="180"/>
  <c r="DP69" i="180"/>
  <c r="P22" i="185"/>
  <c r="O22" i="185"/>
  <c r="N22" i="185"/>
  <c r="GM45" i="185"/>
  <c r="V43" i="180"/>
  <c r="U43" i="180"/>
  <c r="BV43" i="180" s="1"/>
  <c r="DY75" i="180"/>
  <c r="DW75" i="180"/>
  <c r="DR67" i="180"/>
  <c r="DP67" i="180"/>
  <c r="EI36" i="183"/>
  <c r="GM27" i="185"/>
  <c r="DW70" i="180"/>
  <c r="DY70" i="180"/>
  <c r="AP30" i="185"/>
  <c r="AU30" i="185"/>
  <c r="AZ30" i="185"/>
  <c r="EJ79" i="184"/>
  <c r="EL79" i="184" s="1"/>
  <c r="CS20" i="184"/>
  <c r="CR20" i="184"/>
  <c r="DR20" i="184"/>
  <c r="AR20" i="184"/>
  <c r="DQ20" i="184"/>
  <c r="AT20" i="184"/>
  <c r="EU20" i="184"/>
  <c r="ET20" i="184"/>
  <c r="EP20" i="184"/>
  <c r="EH20" i="184"/>
  <c r="EI20" i="184"/>
  <c r="ES20" i="184"/>
  <c r="AT41" i="183"/>
  <c r="DX82" i="180"/>
  <c r="EO42" i="180" s="1"/>
  <c r="DV82" i="180"/>
  <c r="DR73" i="179"/>
  <c r="EC73" i="179" s="1"/>
  <c r="EP33" i="179" s="1"/>
  <c r="DP73" i="179"/>
  <c r="DQ82" i="180"/>
  <c r="DO82" i="180"/>
  <c r="CJ43" i="183"/>
  <c r="X43" i="183"/>
  <c r="AP16" i="183"/>
  <c r="AU16" i="183"/>
  <c r="AZ16" i="183"/>
  <c r="DY54" i="180"/>
  <c r="DW54" i="180"/>
  <c r="EN17" i="180"/>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DQ81" i="179"/>
  <c r="DO81" i="179"/>
  <c r="V43" i="184"/>
  <c r="W43" i="184"/>
  <c r="EH21" i="185"/>
  <c r="EC77" i="179"/>
  <c r="EP37" i="179" s="1"/>
  <c r="DX55" i="180"/>
  <c r="DV55" i="180"/>
  <c r="EJ23" i="182"/>
  <c r="EH23" i="182"/>
  <c r="EJ84" i="184"/>
  <c r="DR25" i="184"/>
  <c r="AR25" i="184"/>
  <c r="DQ25" i="184"/>
  <c r="CS25" i="184"/>
  <c r="CR25" i="184"/>
  <c r="AT25" i="184"/>
  <c r="EU25" i="184"/>
  <c r="ET25" i="184"/>
  <c r="EL84" i="184"/>
  <c r="EI25" i="184"/>
  <c r="EH25" i="184"/>
  <c r="ES25" i="184"/>
  <c r="DR81" i="180"/>
  <c r="DP81" i="180"/>
  <c r="DV79" i="179"/>
  <c r="DX79" i="179"/>
  <c r="DQ69" i="180"/>
  <c r="DO69" i="180"/>
  <c r="EO44" i="184"/>
  <c r="Q22" i="185"/>
  <c r="S22" i="185"/>
  <c r="R22" i="185"/>
  <c r="DQ79" i="179"/>
  <c r="DO79" i="179"/>
  <c r="EN36" i="180"/>
  <c r="CS33" i="182"/>
  <c r="AT33" i="182"/>
  <c r="DR33" i="182"/>
  <c r="AR33" i="182"/>
  <c r="DQ33" i="182"/>
  <c r="EU33" i="182"/>
  <c r="CR33" i="182"/>
  <c r="EP33" i="182"/>
  <c r="ES33" i="182"/>
  <c r="EI33" i="182"/>
  <c r="ET33" i="182"/>
  <c r="X30" i="185"/>
  <c r="CJ30" i="185"/>
  <c r="DQ72" i="180"/>
  <c r="DO72" i="180"/>
  <c r="AZ26" i="184"/>
  <c r="AU26" i="184"/>
  <c r="AP26" i="184"/>
  <c r="DQ67" i="180"/>
  <c r="DO67" i="180"/>
  <c r="EO26" i="182"/>
  <c r="EC70" i="179"/>
  <c r="EP30" i="179" s="1"/>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FN57" i="180"/>
  <c r="FW57" i="180" s="1"/>
  <c r="FV57" i="180" s="1"/>
  <c r="FU57" i="180"/>
  <c r="FT57" i="180" s="1"/>
  <c r="FR57" i="180"/>
  <c r="FS58" i="180" s="1"/>
  <c r="FQ57" i="180"/>
  <c r="FY57" i="180" s="1"/>
  <c r="FP57" i="180"/>
  <c r="GA57" i="180" s="1"/>
  <c r="FO57" i="180"/>
  <c r="DR82" i="180"/>
  <c r="DP82" i="180"/>
  <c r="DX74" i="179"/>
  <c r="EO34" i="179" s="1"/>
  <c r="DV74" i="179"/>
  <c r="EP20" i="185"/>
  <c r="DQ83" i="180"/>
  <c r="DO83" i="180"/>
  <c r="EJ83" i="183"/>
  <c r="EL83" i="183" s="1"/>
  <c r="CR24" i="183"/>
  <c r="CS24" i="183"/>
  <c r="AT24" i="183"/>
  <c r="AR24" i="183"/>
  <c r="EU24" i="183"/>
  <c r="DR24" i="183"/>
  <c r="DQ24" i="183"/>
  <c r="ES24" i="183"/>
  <c r="ET24" i="183"/>
  <c r="EI24" i="183"/>
  <c r="DX68" i="180"/>
  <c r="EO28" i="180" s="1"/>
  <c r="DV68" i="180"/>
  <c r="DR32" i="182"/>
  <c r="AR32" i="182"/>
  <c r="DQ32" i="182"/>
  <c r="EU32" i="182"/>
  <c r="ES32" i="182"/>
  <c r="CS32" i="182"/>
  <c r="CR32" i="182"/>
  <c r="AT32" i="182"/>
  <c r="ET32" i="182"/>
  <c r="EP32" i="182"/>
  <c r="GM33" i="185"/>
  <c r="DR81" i="179"/>
  <c r="EC81" i="179" s="1"/>
  <c r="EP41" i="179" s="1"/>
  <c r="DP81" i="179"/>
  <c r="EP39" i="184"/>
  <c r="S36" i="185"/>
  <c r="R36" i="185"/>
  <c r="Q36" i="185"/>
  <c r="DY55" i="180"/>
  <c r="DW55" i="180"/>
  <c r="DQ73" i="180"/>
  <c r="DO73" i="180"/>
  <c r="EC59" i="180"/>
  <c r="EP19" i="180" s="1"/>
  <c r="AZ34" i="183"/>
  <c r="EH17" i="184"/>
  <c r="DW79" i="179"/>
  <c r="DY79" i="179"/>
  <c r="DR79" i="179"/>
  <c r="DP79" i="179"/>
  <c r="GL28" i="185"/>
  <c r="GM28" i="185" s="1"/>
  <c r="EP24" i="185"/>
  <c r="DR72" i="180"/>
  <c r="DP72" i="180"/>
  <c r="GM33" i="180"/>
  <c r="V43" i="183"/>
  <c r="AT43" i="183" s="1"/>
  <c r="W43" i="183"/>
  <c r="DR76" i="179"/>
  <c r="EC76" i="179" s="1"/>
  <c r="EP36" i="179" s="1"/>
  <c r="DP76" i="179"/>
  <c r="EH35" i="184"/>
  <c r="EO18" i="180"/>
  <c r="EN38" i="180"/>
  <c r="EO41" i="185"/>
  <c r="AP23" i="185"/>
  <c r="AU23" i="185"/>
  <c r="AZ23" i="185"/>
  <c r="DX57" i="180"/>
  <c r="EO17" i="180" s="1"/>
  <c r="DV57" i="180"/>
  <c r="DY74" i="179"/>
  <c r="DW74" i="179"/>
  <c r="DP83" i="180"/>
  <c r="DR83" i="180"/>
  <c r="DY68" i="180"/>
  <c r="DW68" i="180"/>
  <c r="V34" i="185"/>
  <c r="AT34" i="185" s="1"/>
  <c r="W34" i="185"/>
  <c r="P36" i="176"/>
  <c r="AO37" i="176"/>
  <c r="EH27" i="184"/>
  <c r="DP73" i="180"/>
  <c r="DR73" i="180"/>
  <c r="DX73" i="180"/>
  <c r="EO33" i="180" s="1"/>
  <c r="DV73" i="180"/>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GB56" i="180"/>
  <c r="FZ56" i="180"/>
  <c r="AU36" i="182"/>
  <c r="AP36" i="182"/>
  <c r="AZ36" i="182"/>
  <c r="AR30" i="185"/>
  <c r="GM45" i="183"/>
  <c r="EH21" i="184"/>
  <c r="EO29" i="179"/>
  <c r="DQ76" i="179"/>
  <c r="DO76" i="179"/>
  <c r="BT31" i="180"/>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DV85" i="179"/>
  <c r="DX85" i="179"/>
  <c r="EO45" i="179" s="1"/>
  <c r="AT43" i="185"/>
  <c r="EM28" i="84"/>
  <c r="EN36" i="179" l="1"/>
  <c r="BT34" i="180"/>
  <c r="BT45" i="179"/>
  <c r="EN43" i="180"/>
  <c r="EN27" i="180"/>
  <c r="BT28" i="180"/>
  <c r="EN29" i="180"/>
  <c r="BT35" i="180"/>
  <c r="FA15" i="179"/>
  <c r="FA14" i="179"/>
  <c r="EN40" i="180"/>
  <c r="EN45" i="180"/>
  <c r="FX57" i="179"/>
  <c r="FR58" i="179"/>
  <c r="FS59" i="179" s="1"/>
  <c r="FP59" i="179" s="1"/>
  <c r="GA59" i="179" s="1"/>
  <c r="FU58" i="179"/>
  <c r="FT58" i="179" s="1"/>
  <c r="FQ58" i="179"/>
  <c r="FY58" i="179" s="1"/>
  <c r="FZ58" i="179" s="1"/>
  <c r="FN58" i="179"/>
  <c r="FW58" i="179" s="1"/>
  <c r="FV58" i="179" s="1"/>
  <c r="FO58" i="179"/>
  <c r="FX58" i="179" s="1"/>
  <c r="FX57" i="180"/>
  <c r="W37" i="180"/>
  <c r="EP37" i="180"/>
  <c r="V34" i="180"/>
  <c r="U34" i="180"/>
  <c r="BV34" i="180" s="1"/>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EO24" i="180"/>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BV41" i="180"/>
  <c r="P20" i="183"/>
  <c r="O20" i="183"/>
  <c r="N20" i="183"/>
  <c r="W39" i="180"/>
  <c r="EP39" i="180"/>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C73" i="180"/>
  <c r="T33" i="180"/>
  <c r="S33" i="180"/>
  <c r="BT33" i="180" s="1"/>
  <c r="EJ82" i="185"/>
  <c r="DQ23" i="185"/>
  <c r="L23" i="185" s="1"/>
  <c r="DR23" i="185"/>
  <c r="M23" i="185" s="1"/>
  <c r="CS23" i="185"/>
  <c r="CR23" i="185"/>
  <c r="EU23" i="185"/>
  <c r="EO23" i="185"/>
  <c r="ET23" i="185"/>
  <c r="EP23" i="185"/>
  <c r="EL82" i="185"/>
  <c r="ES23" i="185"/>
  <c r="EI23" i="185"/>
  <c r="EH23" i="185"/>
  <c r="EC79" i="179"/>
  <c r="EP39" i="179" s="1"/>
  <c r="O24" i="183"/>
  <c r="N24" i="183"/>
  <c r="P24" i="183"/>
  <c r="EC82" i="180"/>
  <c r="T42" i="180"/>
  <c r="S42" i="180"/>
  <c r="EN32" i="180"/>
  <c r="EN39" i="179"/>
  <c r="R34" i="184"/>
  <c r="S34" i="184"/>
  <c r="Q34" i="184"/>
  <c r="P17" i="184"/>
  <c r="O17" i="184"/>
  <c r="N17" i="184"/>
  <c r="EO30" i="179"/>
  <c r="P35" i="184"/>
  <c r="O35" i="184"/>
  <c r="N35" i="184"/>
  <c r="R18" i="185"/>
  <c r="Q18" i="185"/>
  <c r="S18" i="185"/>
  <c r="EC85" i="180"/>
  <c r="T45" i="180"/>
  <c r="S45" i="180"/>
  <c r="O21" i="183"/>
  <c r="N21" i="183"/>
  <c r="P21" i="183"/>
  <c r="P28" i="182"/>
  <c r="O28" i="182"/>
  <c r="N28" i="182"/>
  <c r="BT37" i="180"/>
  <c r="S28" i="183"/>
  <c r="R28" i="183"/>
  <c r="Q28" i="183"/>
  <c r="S23" i="184"/>
  <c r="R23" i="184"/>
  <c r="Q23" i="184"/>
  <c r="EN41" i="179"/>
  <c r="P38" i="182"/>
  <c r="O38" i="182"/>
  <c r="N38" i="182"/>
  <c r="EC67" i="180"/>
  <c r="T27" i="180"/>
  <c r="S27" i="180"/>
  <c r="EO35" i="180"/>
  <c r="O26" i="178" a="1"/>
  <c r="O26" i="178" s="1"/>
  <c r="EC74" i="180"/>
  <c r="EC71" i="179"/>
  <c r="EP31" i="179"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EN25" i="180"/>
  <c r="AR44" i="185"/>
  <c r="U27" i="185"/>
  <c r="T27" i="185"/>
  <c r="EJ90" i="185"/>
  <c r="DR31" i="185"/>
  <c r="M31" i="185" s="1"/>
  <c r="DQ31" i="185"/>
  <c r="L31" i="185" s="1"/>
  <c r="CR31" i="185"/>
  <c r="EU31" i="185"/>
  <c r="ET31" i="185"/>
  <c r="ES31" i="185"/>
  <c r="CS31" i="185"/>
  <c r="EL90" i="185"/>
  <c r="EP31" i="185"/>
  <c r="EO31" i="185"/>
  <c r="EI31" i="185"/>
  <c r="EH31" i="185"/>
  <c r="BV40" i="180"/>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FZ57" i="180"/>
  <c r="GB57" i="180"/>
  <c r="S37" i="183"/>
  <c r="R37" i="183"/>
  <c r="Q37" i="183"/>
  <c r="S33" i="182"/>
  <c r="R33" i="182"/>
  <c r="Q33" i="182"/>
  <c r="V35" i="180"/>
  <c r="U35" i="180"/>
  <c r="CH26" i="182"/>
  <c r="P30" i="184"/>
  <c r="O30" i="184"/>
  <c r="N30" i="184"/>
  <c r="N39" i="185"/>
  <c r="P39" i="185"/>
  <c r="O39" i="185"/>
  <c r="O39" i="183"/>
  <c r="P39" i="183"/>
  <c r="N39" i="183"/>
  <c r="R33" i="185"/>
  <c r="S33" i="185"/>
  <c r="Q33" i="185"/>
  <c r="EC64" i="180"/>
  <c r="EP24" i="180" s="1"/>
  <c r="N41" i="183"/>
  <c r="P41" i="183"/>
  <c r="O41" i="183"/>
  <c r="S43" i="184"/>
  <c r="R43" i="184"/>
  <c r="Q43" i="184"/>
  <c r="V42" i="180"/>
  <c r="U42" i="180"/>
  <c r="BV42" i="180" s="1"/>
  <c r="N27" i="183"/>
  <c r="P27" i="183"/>
  <c r="O27" i="183"/>
  <c r="FU58" i="180"/>
  <c r="FT58" i="180" s="1"/>
  <c r="FR58" i="180"/>
  <c r="FS59" i="180" s="1"/>
  <c r="FQ58" i="180"/>
  <c r="FY58" i="180" s="1"/>
  <c r="FP58" i="180"/>
  <c r="GA58" i="180" s="1"/>
  <c r="FO58" i="180"/>
  <c r="FN58" i="180"/>
  <c r="FW58" i="180" s="1"/>
  <c r="FV58" i="180" s="1"/>
  <c r="S44" i="184"/>
  <c r="R44" i="184"/>
  <c r="Q44" i="184"/>
  <c r="S38" i="182"/>
  <c r="R38" i="182"/>
  <c r="Q38" i="182"/>
  <c r="EN42" i="180"/>
  <c r="BT44" i="179"/>
  <c r="O36" i="183"/>
  <c r="N36" i="183"/>
  <c r="P36" i="183"/>
  <c r="U33" i="180"/>
  <c r="V33" i="180"/>
  <c r="N22" i="183"/>
  <c r="P22" i="183"/>
  <c r="O22" i="183"/>
  <c r="EN31" i="179"/>
  <c r="P31" i="183"/>
  <c r="O31" i="183"/>
  <c r="N31" i="183"/>
  <c r="S24" i="182"/>
  <c r="R24" i="182"/>
  <c r="Q24" i="182"/>
  <c r="S34" i="182"/>
  <c r="Q34" i="182"/>
  <c r="R34" i="182"/>
  <c r="EP44" i="179"/>
  <c r="W44" i="179"/>
  <c r="S35" i="184"/>
  <c r="R35" i="184"/>
  <c r="Q35" i="184"/>
  <c r="EO29" i="180"/>
  <c r="AT27" i="185"/>
  <c r="V45" i="179"/>
  <c r="U45" i="179"/>
  <c r="BV45" i="179" s="1"/>
  <c r="EC85" i="179"/>
  <c r="V32" i="180"/>
  <c r="U32" i="180"/>
  <c r="EO32" i="180"/>
  <c r="P33" i="185"/>
  <c r="O33" i="185"/>
  <c r="N33" i="185"/>
  <c r="EO31" i="180"/>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EO42" i="179"/>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EO39" i="179"/>
  <c r="AR23" i="185"/>
  <c r="EO30" i="180"/>
  <c r="EC54" i="180"/>
  <c r="EP14" i="180" s="1"/>
  <c r="R36" i="183"/>
  <c r="S36" i="183"/>
  <c r="Q36" i="183"/>
  <c r="R17" i="184"/>
  <c r="Q17" i="184"/>
  <c r="S17" i="184"/>
  <c r="P42" i="185"/>
  <c r="O42" i="185"/>
  <c r="N42" i="185"/>
  <c r="S35" i="182"/>
  <c r="R35" i="182"/>
  <c r="Q35" i="182"/>
  <c r="Q39" i="185"/>
  <c r="R39" i="185"/>
  <c r="S39" i="185"/>
  <c r="EO28" i="179"/>
  <c r="S32" i="183"/>
  <c r="R32" i="183"/>
  <c r="Q32" i="183"/>
  <c r="EN40" i="179"/>
  <c r="V36" i="180"/>
  <c r="U36" i="180"/>
  <c r="BV36" i="180" s="1"/>
  <c r="S28" i="182"/>
  <c r="R28" i="182"/>
  <c r="Q28" i="182"/>
  <c r="EJ83" i="184"/>
  <c r="EL83" i="184"/>
  <c r="CS24" i="184"/>
  <c r="CR24" i="184"/>
  <c r="AT24" i="184"/>
  <c r="DR24" i="184"/>
  <c r="AR24" i="184"/>
  <c r="EU24" i="184"/>
  <c r="DQ24" i="184"/>
  <c r="ET24" i="184"/>
  <c r="ES24" i="184"/>
  <c r="EI24" i="184"/>
  <c r="EP24" i="184"/>
  <c r="EO24" i="184"/>
  <c r="EH24" i="184"/>
  <c r="U38" i="180"/>
  <c r="BV38" i="180" s="1"/>
  <c r="V38" i="180"/>
  <c r="EO38" i="180"/>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V28" i="180"/>
  <c r="U28" i="180"/>
  <c r="EN33" i="180"/>
  <c r="Q19" i="183"/>
  <c r="S19" i="183"/>
  <c r="R19" i="183"/>
  <c r="EN33" i="179"/>
  <c r="Q43" i="183"/>
  <c r="S43" i="183"/>
  <c r="R43" i="183"/>
  <c r="BT36" i="180"/>
  <c r="S21" i="185"/>
  <c r="R21" i="185"/>
  <c r="Q21" i="185"/>
  <c r="O32" i="183"/>
  <c r="N32" i="183"/>
  <c r="P32" i="183"/>
  <c r="EJ99" i="183"/>
  <c r="EL99" i="183" s="1"/>
  <c r="CS40" i="183"/>
  <c r="CR40" i="183"/>
  <c r="AT40" i="183"/>
  <c r="DQ40" i="183"/>
  <c r="EU40" i="183"/>
  <c r="AR40" i="183"/>
  <c r="ES40" i="183"/>
  <c r="DR40" i="183"/>
  <c r="ET40" i="183"/>
  <c r="EH40" i="183"/>
  <c r="EP40" i="183"/>
  <c r="EO40" i="183"/>
  <c r="EI40" i="183"/>
  <c r="EC75" i="180"/>
  <c r="BV27" i="180"/>
  <c r="EO25" i="180"/>
  <c r="EO36" i="180"/>
  <c r="N29" i="183"/>
  <c r="P29" i="183"/>
  <c r="O29" i="183"/>
  <c r="EC68" i="180"/>
  <c r="P43" i="184"/>
  <c r="O43" i="184"/>
  <c r="N43" i="184"/>
  <c r="P31" i="182"/>
  <c r="O31" i="182"/>
  <c r="N31" i="182"/>
  <c r="EC83" i="180"/>
  <c r="T43" i="180"/>
  <c r="S43" i="180"/>
  <c r="CH23" i="182"/>
  <c r="EO14" i="180"/>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EN18" i="180"/>
  <c r="O35" i="182"/>
  <c r="N35" i="182"/>
  <c r="P35" i="182"/>
  <c r="O21" i="185"/>
  <c r="P21" i="185"/>
  <c r="N21" i="185"/>
  <c r="EO41" i="179"/>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EC82" i="179"/>
  <c r="EP42" i="179" s="1"/>
  <c r="EC74" i="179"/>
  <c r="EP34" i="179" s="1"/>
  <c r="FK59" i="179"/>
  <c r="FJ58" i="179"/>
  <c r="AT36" i="182"/>
  <c r="DR36" i="182"/>
  <c r="AR36" i="182"/>
  <c r="EU36" i="182"/>
  <c r="ET36" i="182"/>
  <c r="CS36" i="182"/>
  <c r="CR36" i="182"/>
  <c r="DQ36" i="182"/>
  <c r="EH36" i="182"/>
  <c r="EP36" i="182"/>
  <c r="ES36" i="182"/>
  <c r="EO36" i="182"/>
  <c r="EI36" i="182"/>
  <c r="S16" i="184"/>
  <c r="Q16" i="184"/>
  <c r="R16" i="184"/>
  <c r="EC81" i="180"/>
  <c r="T41" i="180"/>
  <c r="S41" i="180"/>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W36" i="180"/>
  <c r="EP36" i="180"/>
  <c r="S25" i="182"/>
  <c r="R25" i="182"/>
  <c r="Q25" i="182"/>
  <c r="AT40" i="185"/>
  <c r="EO31" i="179"/>
  <c r="EC80" i="180"/>
  <c r="S40" i="180"/>
  <c r="T40" i="180"/>
  <c r="FK61" i="180"/>
  <c r="FJ60" i="180"/>
  <c r="N23" i="184"/>
  <c r="P23" i="184"/>
  <c r="O23" i="184"/>
  <c r="BT38" i="180"/>
  <c r="AZ45" i="185"/>
  <c r="AU45" i="185"/>
  <c r="AP45" i="185"/>
  <c r="EN24" i="180"/>
  <c r="AR25" i="185"/>
  <c r="S41" i="185"/>
  <c r="R41" i="185"/>
  <c r="Q41" i="185"/>
  <c r="EN42" i="179"/>
  <c r="EN30" i="180"/>
  <c r="S39" i="184"/>
  <c r="R39" i="184"/>
  <c r="Q39" i="184"/>
  <c r="Q29" i="184"/>
  <c r="R29" i="184"/>
  <c r="S29" i="184"/>
  <c r="N25" i="184"/>
  <c r="O25" i="184"/>
  <c r="P25" i="184"/>
  <c r="EO15" i="180"/>
  <c r="EC69" i="180"/>
  <c r="T29" i="180"/>
  <c r="S29" i="180"/>
  <c r="BT29" i="180" s="1"/>
  <c r="P19" i="184"/>
  <c r="O19" i="184"/>
  <c r="N19" i="184"/>
  <c r="N20" i="185"/>
  <c r="P20" i="185"/>
  <c r="O20" i="185"/>
  <c r="P38" i="183"/>
  <c r="O38" i="183"/>
  <c r="N38" i="183"/>
  <c r="V37" i="180"/>
  <c r="U37" i="180"/>
  <c r="P43" i="183"/>
  <c r="O43" i="183"/>
  <c r="N43" i="183"/>
  <c r="BT44" i="180"/>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V30" i="180"/>
  <c r="U30" i="180"/>
  <c r="BV30" i="180" s="1"/>
  <c r="Q23" i="183"/>
  <c r="S23" i="183"/>
  <c r="R23" i="183"/>
  <c r="AP39" i="182"/>
  <c r="AZ39" i="182"/>
  <c r="AU39" i="182"/>
  <c r="V29" i="180"/>
  <c r="U29" i="180"/>
  <c r="S37" i="184"/>
  <c r="R37" i="184"/>
  <c r="Q37" i="184"/>
  <c r="P25" i="182"/>
  <c r="O25" i="182"/>
  <c r="N25" i="182"/>
  <c r="N17" i="183"/>
  <c r="P17" i="183"/>
  <c r="O17" i="183"/>
  <c r="EP38" i="180"/>
  <c r="W38" i="180"/>
  <c r="EO34" i="180"/>
  <c r="T40" i="185"/>
  <c r="AR40" i="185" s="1"/>
  <c r="U40" i="185"/>
  <c r="S24" i="185"/>
  <c r="R24" i="185"/>
  <c r="Q24" i="185"/>
  <c r="EC70" i="180"/>
  <c r="T30" i="180"/>
  <c r="S30" i="180"/>
  <c r="S40" i="184"/>
  <c r="R40" i="184"/>
  <c r="Q40" i="184"/>
  <c r="EC72" i="180"/>
  <c r="T32" i="180"/>
  <c r="S32" i="180"/>
  <c r="P29" i="184"/>
  <c r="O29" i="184"/>
  <c r="N29" i="184"/>
  <c r="U39" i="182"/>
  <c r="T39" i="182"/>
  <c r="EJ85" i="184"/>
  <c r="EL85" i="184" s="1"/>
  <c r="CS26" i="184"/>
  <c r="CR26" i="184"/>
  <c r="AT26" i="184"/>
  <c r="DR26" i="184"/>
  <c r="AR26" i="184"/>
  <c r="DQ26" i="184"/>
  <c r="EU26" i="184"/>
  <c r="ET26" i="184"/>
  <c r="ES26" i="184"/>
  <c r="EI26" i="184"/>
  <c r="EP26" i="184"/>
  <c r="EO26" i="184"/>
  <c r="EH26" i="184"/>
  <c r="EN41" i="180"/>
  <c r="S20" i="185"/>
  <c r="R20" i="185"/>
  <c r="Q20" i="185"/>
  <c r="R38" i="183"/>
  <c r="Q38" i="183"/>
  <c r="S38" i="183"/>
  <c r="EN34" i="179"/>
  <c r="O41" i="184"/>
  <c r="N41" i="184"/>
  <c r="P41" i="184"/>
  <c r="O37" i="182"/>
  <c r="N37" i="182"/>
  <c r="P37" i="182"/>
  <c r="EO37" i="180"/>
  <c r="EP44" i="180"/>
  <c r="W44" i="180"/>
  <c r="P26" i="182"/>
  <c r="N26" i="182"/>
  <c r="O26" i="182"/>
  <c r="EJ92" i="183"/>
  <c r="ES33" i="183"/>
  <c r="CR33" i="183"/>
  <c r="AT33" i="183"/>
  <c r="AR33" i="183"/>
  <c r="DR33" i="183"/>
  <c r="DQ33" i="183"/>
  <c r="CS33" i="183"/>
  <c r="EU33" i="183"/>
  <c r="EL92" i="183"/>
  <c r="EP33" i="183"/>
  <c r="ET33" i="183"/>
  <c r="EO33" i="183"/>
  <c r="EI33" i="183"/>
  <c r="EH33" i="183"/>
  <c r="P24" i="182"/>
  <c r="O24" i="182"/>
  <c r="N24" i="182"/>
  <c r="V31" i="180"/>
  <c r="U31" i="180"/>
  <c r="EC71" i="180"/>
  <c r="BT39" i="180"/>
  <c r="DR45" i="183"/>
  <c r="M45" i="183" s="1"/>
  <c r="DQ45" i="183"/>
  <c r="L45" i="183" s="1"/>
  <c r="EU45" i="183"/>
  <c r="EJ104" i="183"/>
  <c r="CS45" i="183"/>
  <c r="CR45" i="183"/>
  <c r="EL104" i="183"/>
  <c r="EH45" i="183"/>
  <c r="ES45" i="183"/>
  <c r="EI45" i="183"/>
  <c r="ET45" i="183"/>
  <c r="EP45" i="183"/>
  <c r="EO45" i="183"/>
  <c r="S28" i="185"/>
  <c r="R28" i="185"/>
  <c r="Q28" i="185"/>
  <c r="AT41" i="184"/>
  <c r="U2" i="13"/>
  <c r="BT45" i="180" l="1"/>
  <c r="BT42" i="180"/>
  <c r="BT40" i="180"/>
  <c r="FU59" i="179"/>
  <c r="FT59" i="179" s="1"/>
  <c r="FQ59" i="179"/>
  <c r="FY59" i="179" s="1"/>
  <c r="FZ59" i="179" s="1"/>
  <c r="FR59" i="179"/>
  <c r="FS60" i="179" s="1"/>
  <c r="FN60" i="179" s="1"/>
  <c r="FW60" i="179" s="1"/>
  <c r="FV60" i="179" s="1"/>
  <c r="FO59" i="179"/>
  <c r="FX59" i="179" s="1"/>
  <c r="FN59" i="179"/>
  <c r="FW59" i="179" s="1"/>
  <c r="FV59" i="179" s="1"/>
  <c r="GB58" i="179"/>
  <c r="FX58" i="180"/>
  <c r="W30" i="180"/>
  <c r="EP30" i="180"/>
  <c r="P43" i="185"/>
  <c r="N43" i="185"/>
  <c r="O43" i="185"/>
  <c r="S36" i="182"/>
  <c r="Q36" i="182"/>
  <c r="R36" i="182"/>
  <c r="EP45" i="180"/>
  <c r="W45" i="180"/>
  <c r="S17" i="185"/>
  <c r="R17" i="185"/>
  <c r="Q17" i="185"/>
  <c r="AR39" i="182"/>
  <c r="BV29" i="180"/>
  <c r="FK62" i="180"/>
  <c r="FJ61" i="180"/>
  <c r="P44" i="183"/>
  <c r="N44" i="183"/>
  <c r="O44" i="183"/>
  <c r="BV35" i="180"/>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BT41" i="180"/>
  <c r="BV28" i="180"/>
  <c r="P45" i="184"/>
  <c r="O45" i="184"/>
  <c r="N45" i="184"/>
  <c r="EJ91" i="185"/>
  <c r="CS32" i="185"/>
  <c r="CR32" i="185"/>
  <c r="EL91" i="185"/>
  <c r="ET32" i="185"/>
  <c r="DR32" i="185"/>
  <c r="M32" i="185" s="1"/>
  <c r="EU32" i="185"/>
  <c r="DQ32" i="185"/>
  <c r="L32" i="185" s="1"/>
  <c r="ES32" i="185"/>
  <c r="EP32" i="185"/>
  <c r="EO32" i="185"/>
  <c r="EH32" i="185"/>
  <c r="EI32" i="185"/>
  <c r="EP42" i="180"/>
  <c r="W42" i="180"/>
  <c r="R44" i="185"/>
  <c r="Q44" i="185"/>
  <c r="S44" i="185"/>
  <c r="DR39" i="182"/>
  <c r="M39" i="182" s="1"/>
  <c r="DQ39" i="182"/>
  <c r="L39" i="182" s="1"/>
  <c r="EU39" i="182"/>
  <c r="ES39" i="182"/>
  <c r="CS39" i="182"/>
  <c r="CR39" i="182"/>
  <c r="EP39" i="182"/>
  <c r="EH39" i="182"/>
  <c r="EO39" i="182"/>
  <c r="ET39" i="182"/>
  <c r="EI39" i="182"/>
  <c r="S44" i="183"/>
  <c r="R44" i="183"/>
  <c r="Q44" i="183"/>
  <c r="BT43" i="180"/>
  <c r="EP35" i="180"/>
  <c r="W35" i="180"/>
  <c r="S43" i="185"/>
  <c r="R43" i="185"/>
  <c r="Q43" i="185"/>
  <c r="P29" i="185"/>
  <c r="N29" i="185"/>
  <c r="O29" i="185"/>
  <c r="P19" i="185"/>
  <c r="O19" i="185"/>
  <c r="N19" i="185"/>
  <c r="O37" i="185"/>
  <c r="P37" i="185"/>
  <c r="N37" i="185"/>
  <c r="W43" i="180"/>
  <c r="EP43" i="180"/>
  <c r="S29" i="185"/>
  <c r="R29" i="185"/>
  <c r="Q29" i="185"/>
  <c r="GB58" i="180"/>
  <c r="FZ58" i="180"/>
  <c r="P26" i="184"/>
  <c r="O26" i="184"/>
  <c r="N26" i="184"/>
  <c r="BT32" i="180"/>
  <c r="FK60" i="179"/>
  <c r="FJ59" i="179"/>
  <c r="S37" i="185"/>
  <c r="R37" i="185"/>
  <c r="Q37" i="185"/>
  <c r="N35" i="183"/>
  <c r="O35" i="183"/>
  <c r="P35" i="183"/>
  <c r="AR32" i="185"/>
  <c r="BV33" i="180"/>
  <c r="FU59" i="180"/>
  <c r="FT59" i="180" s="1"/>
  <c r="FR59" i="180"/>
  <c r="FS60" i="180" s="1"/>
  <c r="FQ59" i="180"/>
  <c r="FY59" i="180" s="1"/>
  <c r="FP59" i="180"/>
  <c r="GA59" i="180" s="1"/>
  <c r="FO59" i="180"/>
  <c r="FN59" i="180"/>
  <c r="FW59" i="180" s="1"/>
  <c r="FV59" i="180" s="1"/>
  <c r="W34" i="180"/>
  <c r="EP34" i="180"/>
  <c r="EP33" i="180"/>
  <c r="W33" i="180"/>
  <c r="O45" i="183"/>
  <c r="N45" i="183"/>
  <c r="P45" i="183"/>
  <c r="R27" i="185"/>
  <c r="S27" i="185"/>
  <c r="Q27" i="185"/>
  <c r="P24" i="184"/>
  <c r="O24" i="184"/>
  <c r="N24" i="184"/>
  <c r="R35" i="183"/>
  <c r="Q35" i="183"/>
  <c r="S35" i="183"/>
  <c r="S34" i="185"/>
  <c r="R34" i="185"/>
  <c r="Q34" i="185"/>
  <c r="S45" i="184"/>
  <c r="R45" i="184"/>
  <c r="Q45" i="184"/>
  <c r="W32" i="180"/>
  <c r="EP32" i="180"/>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EP29" i="180"/>
  <c r="W29" i="180"/>
  <c r="EP31" i="180"/>
  <c r="W31" i="180"/>
  <c r="P30" i="185"/>
  <c r="N30" i="185"/>
  <c r="O30" i="185"/>
  <c r="S40" i="185"/>
  <c r="R40" i="185"/>
  <c r="Q40" i="185"/>
  <c r="P23" i="185"/>
  <c r="O23" i="185"/>
  <c r="N23" i="185"/>
  <c r="S16" i="183"/>
  <c r="Q16" i="183"/>
  <c r="R16" i="183"/>
  <c r="EP40" i="180"/>
  <c r="W40" i="180"/>
  <c r="BV31" i="180"/>
  <c r="BV37" i="180"/>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BT27" i="180"/>
  <c r="O17" i="185"/>
  <c r="N17" i="185"/>
  <c r="P17" i="185"/>
  <c r="EP45" i="179"/>
  <c r="W45" i="179"/>
  <c r="S31" i="185"/>
  <c r="R31" i="185"/>
  <c r="Q31" i="185"/>
  <c r="W41" i="180"/>
  <c r="EP41" i="180"/>
  <c r="O33" i="183"/>
  <c r="P33" i="183"/>
  <c r="N33" i="183"/>
  <c r="AO19" i="177"/>
  <c r="P18" i="177"/>
  <c r="EP28" i="180"/>
  <c r="W28" i="180"/>
  <c r="BV32" i="180"/>
  <c r="L29" i="178"/>
  <c r="N28" i="178"/>
  <c r="EP27" i="180"/>
  <c r="W27" i="180"/>
  <c r="R23" i="185"/>
  <c r="S23" i="185"/>
  <c r="Q23" i="185"/>
  <c r="P44" i="185"/>
  <c r="O44" i="185"/>
  <c r="N44" i="185"/>
  <c r="AO55" i="176"/>
  <c r="P55" i="176" s="1"/>
  <c r="P54" i="176"/>
  <c r="R45" i="183"/>
  <c r="S45" i="183"/>
  <c r="Q45" i="183"/>
  <c r="BT30" i="180"/>
  <c r="P23" i="182"/>
  <c r="N23" i="182"/>
  <c r="O23" i="182"/>
  <c r="AD3" i="13"/>
  <c r="P56" i="176" l="1"/>
  <c r="FO60" i="179"/>
  <c r="FR60" i="179"/>
  <c r="FS61" i="179" s="1"/>
  <c r="FU61" i="179" s="1"/>
  <c r="FT61" i="179" s="1"/>
  <c r="FU60" i="179"/>
  <c r="FT60" i="179" s="1"/>
  <c r="FQ60" i="179"/>
  <c r="FY60" i="179" s="1"/>
  <c r="FZ60" i="179" s="1"/>
  <c r="FP60" i="179"/>
  <c r="GA60" i="179" s="1"/>
  <c r="GB59" i="179"/>
  <c r="FX59" i="180"/>
  <c r="Q38" i="185"/>
  <c r="S38" i="185"/>
  <c r="R38" i="185"/>
  <c r="FK61" i="179"/>
  <c r="FJ60" i="179"/>
  <c r="S39" i="182"/>
  <c r="R39" i="182"/>
  <c r="Q39" i="182"/>
  <c r="L30" i="178"/>
  <c r="N29" i="178"/>
  <c r="O29" i="178" s="1" a="1"/>
  <c r="O29" i="178" s="1"/>
  <c r="N38" i="185"/>
  <c r="P38" i="185"/>
  <c r="O38" i="185"/>
  <c r="AE20" i="179"/>
  <c r="AD20" i="179"/>
  <c r="P32" i="185"/>
  <c r="O32" i="185"/>
  <c r="N32" i="185"/>
  <c r="GB59" i="180"/>
  <c r="FZ59" i="180"/>
  <c r="FK63" i="180"/>
  <c r="FJ62" i="180"/>
  <c r="FQ60" i="180"/>
  <c r="FY60" i="180" s="1"/>
  <c r="FU60" i="180"/>
  <c r="FT60" i="180" s="1"/>
  <c r="FR60" i="180"/>
  <c r="FS61" i="180" s="1"/>
  <c r="FP60" i="180"/>
  <c r="GA60" i="180" s="1"/>
  <c r="FO60" i="180"/>
  <c r="FN60" i="180"/>
  <c r="FW60" i="180" s="1"/>
  <c r="FV60" i="180" s="1"/>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O61" i="179" l="1"/>
  <c r="FQ61" i="179"/>
  <c r="FY61" i="179" s="1"/>
  <c r="FZ61" i="179" s="1"/>
  <c r="FR61" i="179"/>
  <c r="FS62" i="179" s="1"/>
  <c r="FR62" i="179" s="1"/>
  <c r="FS63" i="179" s="1"/>
  <c r="FN61" i="179"/>
  <c r="FW61" i="179" s="1"/>
  <c r="FV61" i="179" s="1"/>
  <c r="FP61" i="179"/>
  <c r="GA61" i="179" s="1"/>
  <c r="FX60" i="179"/>
  <c r="AG20" i="179" s="1"/>
  <c r="GB60" i="179"/>
  <c r="AF20" i="179"/>
  <c r="FX60" i="180"/>
  <c r="L31" i="178"/>
  <c r="N30" i="178"/>
  <c r="O30" i="178" s="1" a="1"/>
  <c r="O30" i="178" s="1"/>
  <c r="FK62" i="179"/>
  <c r="FJ61" i="179"/>
  <c r="FK64" i="180"/>
  <c r="FJ63" i="180"/>
  <c r="AJ20" i="179"/>
  <c r="AI20" i="179"/>
  <c r="FR61" i="180"/>
  <c r="FS62" i="180" s="1"/>
  <c r="FQ61" i="180"/>
  <c r="FY61" i="180" s="1"/>
  <c r="FO61" i="180"/>
  <c r="FU61" i="180"/>
  <c r="FT61" i="180" s="1"/>
  <c r="FP61" i="180"/>
  <c r="GA61" i="180" s="1"/>
  <c r="FN61" i="180"/>
  <c r="FW61" i="180" s="1"/>
  <c r="FV61" i="180" s="1"/>
  <c r="FC20" i="179"/>
  <c r="P20" i="177"/>
  <c r="AO21" i="177"/>
  <c r="GB60" i="180"/>
  <c r="FZ60" i="180"/>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H20" i="179" l="1"/>
  <c r="BW20" i="179" s="1"/>
  <c r="BX20" i="179" s="1"/>
  <c r="FB20" i="179" s="1"/>
  <c r="FA20" i="179" s="1"/>
  <c r="FU62" i="179"/>
  <c r="FT62" i="179" s="1"/>
  <c r="FQ62" i="179"/>
  <c r="FY62" i="179" s="1"/>
  <c r="FZ62" i="179" s="1"/>
  <c r="FN62" i="179"/>
  <c r="FW62" i="179" s="1"/>
  <c r="FV62" i="179" s="1"/>
  <c r="FX61" i="179"/>
  <c r="FP62" i="179"/>
  <c r="GA62" i="179" s="1"/>
  <c r="GB61" i="179"/>
  <c r="FO62" i="179"/>
  <c r="FR63" i="179"/>
  <c r="FS64" i="179" s="1"/>
  <c r="FN63" i="179"/>
  <c r="FW63" i="179" s="1"/>
  <c r="FV63" i="179" s="1"/>
  <c r="FU63" i="179"/>
  <c r="FT63" i="179" s="1"/>
  <c r="FQ63" i="179"/>
  <c r="FY63" i="179" s="1"/>
  <c r="FP63" i="179"/>
  <c r="GA63" i="179" s="1"/>
  <c r="FO63" i="179"/>
  <c r="AO22" i="177"/>
  <c r="P21" i="177"/>
  <c r="GK60" i="179"/>
  <c r="FX61" i="180"/>
  <c r="FK63" i="179"/>
  <c r="FJ62" i="179"/>
  <c r="GB61" i="180"/>
  <c r="FZ61" i="180"/>
  <c r="FK65" i="180"/>
  <c r="FJ64" i="180"/>
  <c r="FP62" i="180"/>
  <c r="GA62" i="180" s="1"/>
  <c r="FO62" i="180"/>
  <c r="FU62" i="180"/>
  <c r="FT62" i="180" s="1"/>
  <c r="FR62" i="180"/>
  <c r="FS63" i="180" s="1"/>
  <c r="FQ62" i="180"/>
  <c r="FY62" i="180" s="1"/>
  <c r="FN62" i="180"/>
  <c r="FW62" i="180" s="1"/>
  <c r="FV62" i="180" s="1"/>
  <c r="FE20" i="179"/>
  <c r="N31" i="178"/>
  <c r="O31" i="178" s="1" a="1"/>
  <c r="O31" i="178" s="1"/>
  <c r="L32" i="178"/>
  <c r="O13" i="80" a="1"/>
  <c r="O13" i="80" s="1"/>
  <c r="FD20" i="179" l="1"/>
  <c r="FF20" i="179" s="1"/>
  <c r="FX62" i="179"/>
  <c r="GB62" i="179"/>
  <c r="FX62" i="180"/>
  <c r="EX21" i="179"/>
  <c r="BY20" i="179"/>
  <c r="EX20" i="179"/>
  <c r="FX63" i="179"/>
  <c r="FQ63" i="180"/>
  <c r="FY63" i="180" s="1"/>
  <c r="FN63" i="180"/>
  <c r="FW63" i="180" s="1"/>
  <c r="FV63" i="180" s="1"/>
  <c r="FR63" i="180"/>
  <c r="FS64" i="180" s="1"/>
  <c r="FP63" i="180"/>
  <c r="GA63" i="180" s="1"/>
  <c r="FO63" i="180"/>
  <c r="FU63" i="180"/>
  <c r="FT63" i="180" s="1"/>
  <c r="AO23" i="177"/>
  <c r="P22" i="177"/>
  <c r="GB62" i="180"/>
  <c r="FZ62" i="180"/>
  <c r="FK64" i="179"/>
  <c r="FJ63" i="179"/>
  <c r="FZ63" i="179"/>
  <c r="GB63" i="179"/>
  <c r="FR64" i="179"/>
  <c r="FS65" i="179" s="1"/>
  <c r="FU64" i="179"/>
  <c r="FT64" i="179" s="1"/>
  <c r="FQ64" i="179"/>
  <c r="FY64" i="179" s="1"/>
  <c r="FP64" i="179"/>
  <c r="GA64" i="179" s="1"/>
  <c r="FO64" i="179"/>
  <c r="FN64" i="179"/>
  <c r="FW64" i="179" s="1"/>
  <c r="FV64" i="179" s="1"/>
  <c r="FK66" i="180"/>
  <c r="FJ65" i="180"/>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FX63" i="180" l="1"/>
  <c r="FX64" i="179"/>
  <c r="FK65" i="179"/>
  <c r="FJ64" i="179"/>
  <c r="L34" i="178"/>
  <c r="N33" i="178"/>
  <c r="O33" i="178" s="1" a="1"/>
  <c r="O33" i="178" s="1"/>
  <c r="FJ66" i="180"/>
  <c r="FK67" i="180"/>
  <c r="AO24" i="177"/>
  <c r="P23" i="177"/>
  <c r="FZ64" i="179"/>
  <c r="GB64" i="179"/>
  <c r="FO64" i="180"/>
  <c r="FN64" i="180"/>
  <c r="FW64" i="180" s="1"/>
  <c r="FV64" i="180" s="1"/>
  <c r="FU64" i="180"/>
  <c r="FT64" i="180" s="1"/>
  <c r="FR64" i="180"/>
  <c r="FS65" i="180" s="1"/>
  <c r="FQ64" i="180"/>
  <c r="FY64" i="180" s="1"/>
  <c r="FP64" i="180"/>
  <c r="GA64" i="180" s="1"/>
  <c r="FR65" i="179"/>
  <c r="FS66" i="179" s="1"/>
  <c r="FU65" i="179"/>
  <c r="FT65" i="179" s="1"/>
  <c r="FQ65" i="179"/>
  <c r="FY65" i="179" s="1"/>
  <c r="FP65" i="179"/>
  <c r="GA65" i="179" s="1"/>
  <c r="FO65" i="179"/>
  <c r="FN65" i="179"/>
  <c r="FW65" i="179" s="1"/>
  <c r="FV65" i="179" s="1"/>
  <c r="GB63" i="180"/>
  <c r="FZ63" i="180"/>
  <c r="L16" i="169"/>
  <c r="FX65" i="179" l="1"/>
  <c r="FX64" i="180"/>
  <c r="GB64" i="180"/>
  <c r="FZ64" i="180"/>
  <c r="FU65" i="180"/>
  <c r="FT65" i="180" s="1"/>
  <c r="FR65" i="180"/>
  <c r="FS66" i="180" s="1"/>
  <c r="FQ65" i="180"/>
  <c r="FY65" i="180" s="1"/>
  <c r="FP65" i="180"/>
  <c r="GA65" i="180" s="1"/>
  <c r="FO65" i="180"/>
  <c r="FN65" i="180"/>
  <c r="FW65" i="180" s="1"/>
  <c r="FV65" i="180" s="1"/>
  <c r="N34" i="178"/>
  <c r="O34" i="178" s="1" a="1"/>
  <c r="O34" i="178" s="1"/>
  <c r="L35" i="178"/>
  <c r="FK68" i="180"/>
  <c r="FJ67" i="180"/>
  <c r="P24" i="177"/>
  <c r="AO25" i="177"/>
  <c r="FZ65" i="179"/>
  <c r="GB65" i="179"/>
  <c r="FR66" i="179"/>
  <c r="FS67" i="179" s="1"/>
  <c r="FQ66" i="179"/>
  <c r="FY66" i="179" s="1"/>
  <c r="FP66" i="179"/>
  <c r="GA66" i="179" s="1"/>
  <c r="FO66" i="179"/>
  <c r="FN66" i="179"/>
  <c r="FW66" i="179" s="1"/>
  <c r="FV66" i="179" s="1"/>
  <c r="FU66" i="179"/>
  <c r="FT66" i="179" s="1"/>
  <c r="FK66" i="179"/>
  <c r="FJ65" i="179"/>
  <c r="L17" i="169"/>
  <c r="FX65" i="180" l="1"/>
  <c r="L36" i="178"/>
  <c r="N35" i="178"/>
  <c r="O35" i="178" s="1" a="1"/>
  <c r="O35" i="178" s="1"/>
  <c r="FK67" i="179"/>
  <c r="FJ66" i="179"/>
  <c r="FX66" i="179"/>
  <c r="AF26" i="179"/>
  <c r="FJ68" i="180"/>
  <c r="FK69" i="180"/>
  <c r="FZ66" i="179"/>
  <c r="GB66" i="179"/>
  <c r="FU66" i="180"/>
  <c r="FT66" i="180" s="1"/>
  <c r="FR66" i="180"/>
  <c r="FS67" i="180" s="1"/>
  <c r="FQ66" i="180"/>
  <c r="FY66" i="180" s="1"/>
  <c r="FP66" i="180"/>
  <c r="GA66" i="180" s="1"/>
  <c r="FO66" i="180"/>
  <c r="FN66" i="180"/>
  <c r="FW66" i="180" s="1"/>
  <c r="FV66" i="180" s="1"/>
  <c r="P25" i="177"/>
  <c r="AO26" i="177"/>
  <c r="AE26" i="179"/>
  <c r="AD26" i="179"/>
  <c r="FR67" i="179"/>
  <c r="FS68" i="179" s="1"/>
  <c r="FN67" i="179"/>
  <c r="FW67" i="179" s="1"/>
  <c r="FV67" i="179" s="1"/>
  <c r="FO67" i="179"/>
  <c r="FU67" i="179"/>
  <c r="FT67" i="179" s="1"/>
  <c r="FQ67" i="179"/>
  <c r="FY67" i="179" s="1"/>
  <c r="FP67" i="179"/>
  <c r="GA67" i="179" s="1"/>
  <c r="GB65" i="180"/>
  <c r="FZ65" i="180"/>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X66" i="180" l="1"/>
  <c r="FU67" i="180"/>
  <c r="FT67" i="180" s="1"/>
  <c r="FR67" i="180"/>
  <c r="FS68" i="180" s="1"/>
  <c r="FQ67" i="180"/>
  <c r="FY67" i="180" s="1"/>
  <c r="FP67" i="180"/>
  <c r="GA67" i="180" s="1"/>
  <c r="FO67" i="180"/>
  <c r="FN67" i="180"/>
  <c r="FW67" i="180" s="1"/>
  <c r="FV67" i="180" s="1"/>
  <c r="FX67" i="179"/>
  <c r="FC26" i="179"/>
  <c r="AH26" i="179"/>
  <c r="AG26" i="179"/>
  <c r="FZ67" i="179"/>
  <c r="GB67" i="179"/>
  <c r="FJ69" i="180"/>
  <c r="FK70" i="180"/>
  <c r="AO27" i="177"/>
  <c r="P26" i="177"/>
  <c r="FJ67" i="179"/>
  <c r="FK68" i="179"/>
  <c r="FZ66" i="180"/>
  <c r="GB66" i="180"/>
  <c r="AJ26" i="179"/>
  <c r="AI26" i="179"/>
  <c r="FU68" i="179"/>
  <c r="FT68" i="179" s="1"/>
  <c r="FR68" i="179"/>
  <c r="FS69" i="179" s="1"/>
  <c r="FP68" i="179"/>
  <c r="GA68" i="179" s="1"/>
  <c r="FQ68" i="179"/>
  <c r="FY68" i="179" s="1"/>
  <c r="FO68" i="179"/>
  <c r="FN68" i="179"/>
  <c r="FW68" i="179" s="1"/>
  <c r="FV68" i="179" s="1"/>
  <c r="L37" i="178"/>
  <c r="N36" i="178"/>
  <c r="O36" i="178" s="1" a="1"/>
  <c r="O36" i="178" s="1"/>
  <c r="L19" i="169"/>
  <c r="L13" i="80"/>
  <c r="N13" i="80" s="1"/>
  <c r="FD26" i="179" l="1"/>
  <c r="FX68" i="179"/>
  <c r="FE26" i="179"/>
  <c r="GB68" i="179"/>
  <c r="FZ68" i="179"/>
  <c r="BW26" i="179"/>
  <c r="BX26" i="179" s="1"/>
  <c r="FU69" i="179"/>
  <c r="FT69" i="179" s="1"/>
  <c r="FQ69" i="179"/>
  <c r="FY69" i="179" s="1"/>
  <c r="FP69" i="179"/>
  <c r="GA69" i="179" s="1"/>
  <c r="FN69" i="179"/>
  <c r="FW69" i="179" s="1"/>
  <c r="FV69" i="179" s="1"/>
  <c r="FR69" i="179"/>
  <c r="FS70" i="179" s="1"/>
  <c r="FO69" i="179"/>
  <c r="AE27" i="180"/>
  <c r="AD27" i="180"/>
  <c r="FX67" i="180"/>
  <c r="AF27" i="180"/>
  <c r="GK66" i="179"/>
  <c r="FK69" i="179"/>
  <c r="FJ68" i="179"/>
  <c r="AO28" i="177"/>
  <c r="P27" i="177"/>
  <c r="GB67" i="180"/>
  <c r="FZ67" i="180"/>
  <c r="N37" i="178"/>
  <c r="O37" i="178" s="1" a="1"/>
  <c r="O37" i="178" s="1"/>
  <c r="L38" i="178"/>
  <c r="FK71" i="180"/>
  <c r="FJ70" i="180"/>
  <c r="FU68" i="180"/>
  <c r="FT68" i="180" s="1"/>
  <c r="FR68" i="180"/>
  <c r="FS69" i="180" s="1"/>
  <c r="FQ68" i="180"/>
  <c r="FY68" i="180" s="1"/>
  <c r="FP68" i="180"/>
  <c r="GA68" i="180" s="1"/>
  <c r="FN68" i="180"/>
  <c r="FW68" i="180" s="1"/>
  <c r="FV68" i="180" s="1"/>
  <c r="FO68" i="180"/>
  <c r="L20" i="169"/>
  <c r="L14" i="80"/>
  <c r="N14" i="80" s="1"/>
  <c r="O14" i="80" s="1" a="1"/>
  <c r="O14" i="80" s="1"/>
  <c r="FX69" i="179" l="1"/>
  <c r="FF26" i="179"/>
  <c r="AE28" i="180"/>
  <c r="AD28" i="180"/>
  <c r="FU69" i="180"/>
  <c r="FT69" i="180" s="1"/>
  <c r="FR69" i="180"/>
  <c r="FS70" i="180" s="1"/>
  <c r="FQ69" i="180"/>
  <c r="FY69" i="180" s="1"/>
  <c r="FP69" i="180"/>
  <c r="GA69" i="180" s="1"/>
  <c r="FO69" i="180"/>
  <c r="FN69" i="180"/>
  <c r="FW69" i="180" s="1"/>
  <c r="FV69" i="180" s="1"/>
  <c r="FU70" i="179"/>
  <c r="FT70" i="179" s="1"/>
  <c r="FR70" i="179"/>
  <c r="FS71" i="179" s="1"/>
  <c r="FQ70" i="179"/>
  <c r="FY70" i="179" s="1"/>
  <c r="FP70" i="179"/>
  <c r="GA70" i="179" s="1"/>
  <c r="FO70" i="179"/>
  <c r="FN70" i="179"/>
  <c r="FW70" i="179" s="1"/>
  <c r="FV70" i="179" s="1"/>
  <c r="FC27" i="180"/>
  <c r="AH27" i="180"/>
  <c r="AG27" i="180"/>
  <c r="FB26" i="179"/>
  <c r="FA26" i="179" s="1"/>
  <c r="BY26" i="179"/>
  <c r="EX27" i="179"/>
  <c r="EX26" i="179"/>
  <c r="FZ68" i="180"/>
  <c r="GB68" i="180"/>
  <c r="GB69" i="179"/>
  <c r="FZ69" i="179"/>
  <c r="FK72" i="180"/>
  <c r="FJ71" i="180"/>
  <c r="L39" i="178"/>
  <c r="N38" i="178"/>
  <c r="O38" i="178" s="1" a="1"/>
  <c r="O38" i="178" s="1"/>
  <c r="AJ27" i="180"/>
  <c r="AI27" i="180"/>
  <c r="AO29" i="177"/>
  <c r="P28" i="177"/>
  <c r="FX68" i="180"/>
  <c r="AF28" i="180"/>
  <c r="FK70" i="179"/>
  <c r="FJ69" i="179"/>
  <c r="L21" i="169"/>
  <c r="L15" i="80"/>
  <c r="N15" i="80" s="1"/>
  <c r="O15" i="80" s="1" a="1"/>
  <c r="O15" i="80" s="1"/>
  <c r="AO14" i="114"/>
  <c r="P14" i="114" s="1"/>
  <c r="T1" i="114"/>
  <c r="FE27" i="180" l="1"/>
  <c r="FX70" i="179"/>
  <c r="FD27" i="180"/>
  <c r="GK67" i="180"/>
  <c r="AE29" i="180"/>
  <c r="AD29" i="180"/>
  <c r="FR71" i="179"/>
  <c r="FS72" i="179" s="1"/>
  <c r="FQ71" i="179"/>
  <c r="FY71" i="179" s="1"/>
  <c r="FP71" i="179"/>
  <c r="GA71" i="179" s="1"/>
  <c r="FO71" i="179"/>
  <c r="FN71" i="179"/>
  <c r="FW71" i="179" s="1"/>
  <c r="FV71" i="179" s="1"/>
  <c r="FU71" i="179"/>
  <c r="FT71" i="179" s="1"/>
  <c r="FX69" i="180"/>
  <c r="AF29" i="180"/>
  <c r="FK71" i="179"/>
  <c r="FJ70" i="179"/>
  <c r="FK73" i="180"/>
  <c r="FJ72" i="180"/>
  <c r="GB69" i="180"/>
  <c r="FZ69" i="180"/>
  <c r="FR70" i="180"/>
  <c r="FS71" i="180" s="1"/>
  <c r="FQ70" i="180"/>
  <c r="FY70" i="180" s="1"/>
  <c r="FP70" i="180"/>
  <c r="GA70" i="180" s="1"/>
  <c r="FO70" i="180"/>
  <c r="FN70" i="180"/>
  <c r="FW70" i="180" s="1"/>
  <c r="FV70" i="180" s="1"/>
  <c r="FU70" i="180"/>
  <c r="FT70" i="180" s="1"/>
  <c r="AJ28" i="180"/>
  <c r="AI28" i="180"/>
  <c r="AH28" i="180"/>
  <c r="AG28" i="180"/>
  <c r="FC28" i="180"/>
  <c r="AO30" i="177"/>
  <c r="P29" i="177"/>
  <c r="BW27" i="180"/>
  <c r="BX27" i="180" s="1"/>
  <c r="GB70" i="179"/>
  <c r="FZ70" i="179"/>
  <c r="L40" i="178"/>
  <c r="N39" i="178"/>
  <c r="O39" i="178" s="1" a="1"/>
  <c r="O39" i="178" s="1"/>
  <c r="AO15" i="114"/>
  <c r="P15" i="114" s="1"/>
  <c r="L22" i="169"/>
  <c r="L16" i="80"/>
  <c r="N16" i="80" s="1"/>
  <c r="O16" i="80" s="1" a="1"/>
  <c r="O16" i="80" s="1"/>
  <c r="D29" i="13"/>
  <c r="FX71" i="179" l="1"/>
  <c r="FE28" i="180"/>
  <c r="GK68" i="180"/>
  <c r="BW28" i="180"/>
  <c r="BX28" i="180" s="1"/>
  <c r="BY28" i="180" s="1"/>
  <c r="FD28" i="180"/>
  <c r="FK74" i="180"/>
  <c r="FJ73" i="180"/>
  <c r="FK72" i="179"/>
  <c r="FJ71" i="179"/>
  <c r="AH29" i="180"/>
  <c r="AG29" i="180"/>
  <c r="AE30" i="180"/>
  <c r="AD30" i="180"/>
  <c r="FX70" i="180"/>
  <c r="AF30" i="180"/>
  <c r="GB70" i="180"/>
  <c r="FZ70" i="180"/>
  <c r="N40" i="178"/>
  <c r="O40" i="178" s="1" a="1"/>
  <c r="O40" i="178" s="1"/>
  <c r="L41" i="178"/>
  <c r="BY27" i="180"/>
  <c r="FB27" i="180"/>
  <c r="FA27" i="180" s="1"/>
  <c r="EX27" i="180"/>
  <c r="FQ71" i="180"/>
  <c r="FY71" i="180" s="1"/>
  <c r="FP71" i="180"/>
  <c r="GA71" i="180" s="1"/>
  <c r="FO71" i="180"/>
  <c r="FN71" i="180"/>
  <c r="FW71" i="180" s="1"/>
  <c r="FV71" i="180" s="1"/>
  <c r="FU71" i="180"/>
  <c r="FT71" i="180" s="1"/>
  <c r="FR71" i="180"/>
  <c r="FS72" i="180" s="1"/>
  <c r="GB71" i="179"/>
  <c r="FZ71" i="179"/>
  <c r="FQ72" i="179"/>
  <c r="FY72" i="179" s="1"/>
  <c r="FP72" i="179"/>
  <c r="GA72" i="179" s="1"/>
  <c r="FO72" i="179"/>
  <c r="FN72" i="179"/>
  <c r="FW72" i="179" s="1"/>
  <c r="FV72" i="179" s="1"/>
  <c r="FU72" i="179"/>
  <c r="FT72" i="179" s="1"/>
  <c r="FR72" i="179"/>
  <c r="FS73" i="179" s="1"/>
  <c r="P30" i="177"/>
  <c r="AO31" i="177"/>
  <c r="AJ29" i="180"/>
  <c r="AI29" i="180"/>
  <c r="FC29" i="180"/>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FE29" i="180" l="1"/>
  <c r="FD29" i="180"/>
  <c r="FB28" i="180"/>
  <c r="FA28" i="180" s="1"/>
  <c r="GK69" i="180"/>
  <c r="BW29" i="180"/>
  <c r="BX29" i="180" s="1"/>
  <c r="BY29" i="180" s="1"/>
  <c r="AH30" i="180"/>
  <c r="AG30" i="180"/>
  <c r="FO72" i="180"/>
  <c r="FN72" i="180"/>
  <c r="FW72" i="180" s="1"/>
  <c r="FV72" i="180" s="1"/>
  <c r="FU72" i="180"/>
  <c r="FT72" i="180" s="1"/>
  <c r="FR72" i="180"/>
  <c r="FS73" i="180" s="1"/>
  <c r="FQ72" i="180"/>
  <c r="FY72" i="180" s="1"/>
  <c r="FP72" i="180"/>
  <c r="GA72" i="180" s="1"/>
  <c r="FC30" i="180"/>
  <c r="AE31" i="180"/>
  <c r="AD31" i="180"/>
  <c r="FX71" i="180"/>
  <c r="AF31" i="180"/>
  <c r="AO32" i="177"/>
  <c r="P31" i="177"/>
  <c r="GB71" i="180"/>
  <c r="FZ71" i="180"/>
  <c r="FK73" i="179"/>
  <c r="FJ72" i="179"/>
  <c r="FO73" i="179"/>
  <c r="FN73" i="179"/>
  <c r="FW73" i="179" s="1"/>
  <c r="FV73" i="179" s="1"/>
  <c r="FR73" i="179"/>
  <c r="FS74" i="179" s="1"/>
  <c r="FQ73" i="179"/>
  <c r="FY73" i="179" s="1"/>
  <c r="FP73" i="179"/>
  <c r="GA73" i="179" s="1"/>
  <c r="FU73" i="179"/>
  <c r="FT73" i="179" s="1"/>
  <c r="AE32" i="179"/>
  <c r="AD32" i="179"/>
  <c r="L42" i="178"/>
  <c r="N41" i="178"/>
  <c r="O41" i="178" s="1" a="1"/>
  <c r="O41" i="178" s="1"/>
  <c r="FJ74" i="180"/>
  <c r="FK75" i="180"/>
  <c r="FX72" i="179"/>
  <c r="AF32" i="179"/>
  <c r="EX28" i="180"/>
  <c r="GB72" i="179"/>
  <c r="FZ72" i="179"/>
  <c r="AJ30" i="180"/>
  <c r="AI30" i="180"/>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EX29" i="180" l="1"/>
  <c r="FB29" i="180"/>
  <c r="FA29" i="180" s="1"/>
  <c r="FE30" i="180"/>
  <c r="FD30" i="180"/>
  <c r="FC32" i="179"/>
  <c r="BW30" i="180"/>
  <c r="BX30" i="180" s="1"/>
  <c r="FC31" i="180"/>
  <c r="GK70" i="180"/>
  <c r="AE33" i="179"/>
  <c r="AD33" i="179"/>
  <c r="AI32" i="179"/>
  <c r="AJ32" i="179"/>
  <c r="FX73" i="179"/>
  <c r="AF33" i="179"/>
  <c r="AJ31" i="180"/>
  <c r="AI31" i="180"/>
  <c r="FK74" i="179"/>
  <c r="FJ73" i="179"/>
  <c r="GB72" i="180"/>
  <c r="FZ72" i="180"/>
  <c r="GB73" i="179"/>
  <c r="FZ73" i="179"/>
  <c r="FU73" i="180"/>
  <c r="FT73" i="180" s="1"/>
  <c r="FR73" i="180"/>
  <c r="FS74" i="180" s="1"/>
  <c r="FQ73" i="180"/>
  <c r="FY73" i="180" s="1"/>
  <c r="FP73" i="180"/>
  <c r="GA73" i="180" s="1"/>
  <c r="FO73" i="180"/>
  <c r="FN73" i="180"/>
  <c r="FW73" i="180" s="1"/>
  <c r="FV73" i="180" s="1"/>
  <c r="FU74" i="179"/>
  <c r="FT74" i="179" s="1"/>
  <c r="FR74" i="179"/>
  <c r="FS75" i="179" s="1"/>
  <c r="FQ74" i="179"/>
  <c r="FY74" i="179" s="1"/>
  <c r="FP74" i="179"/>
  <c r="GA74" i="179" s="1"/>
  <c r="FO74" i="179"/>
  <c r="FN74" i="179"/>
  <c r="FW74" i="179" s="1"/>
  <c r="FV74" i="179" s="1"/>
  <c r="AH32" i="179"/>
  <c r="AG32" i="179"/>
  <c r="P32" i="177"/>
  <c r="AO33" i="177"/>
  <c r="FK76" i="180"/>
  <c r="FJ75" i="180"/>
  <c r="AD32" i="180"/>
  <c r="AE32" i="180"/>
  <c r="FX72" i="180"/>
  <c r="AF32" i="180"/>
  <c r="AH31" i="180"/>
  <c r="AG31" i="180"/>
  <c r="L43" i="178"/>
  <c r="N42" i="178"/>
  <c r="O42" i="178" s="1" a="1"/>
  <c r="O42" i="178" s="1"/>
  <c r="L25" i="169"/>
  <c r="L19" i="80"/>
  <c r="N19" i="80" s="1"/>
  <c r="O19" i="80" s="1" a="1"/>
  <c r="O19" i="80" s="1"/>
  <c r="AO20" i="114"/>
  <c r="P19" i="114"/>
  <c r="GE70" i="84"/>
  <c r="AQ30" i="84" s="1"/>
  <c r="GD70" i="84"/>
  <c r="AP30" i="84" s="1"/>
  <c r="FD32" i="179" l="1"/>
  <c r="GK71" i="180"/>
  <c r="FD31" i="180"/>
  <c r="BW32" i="179"/>
  <c r="BX32" i="179" s="1"/>
  <c r="BY32" i="179" s="1"/>
  <c r="AH33" i="179"/>
  <c r="AG33" i="179"/>
  <c r="FE32" i="179"/>
  <c r="FC33" i="179"/>
  <c r="GB73" i="180"/>
  <c r="FZ73" i="180"/>
  <c r="AJ33" i="179"/>
  <c r="AI33" i="179"/>
  <c r="BW31" i="180"/>
  <c r="BX31" i="180" s="1"/>
  <c r="AE33" i="180"/>
  <c r="AD33" i="180"/>
  <c r="FK77" i="180"/>
  <c r="FJ76" i="180"/>
  <c r="P33" i="177"/>
  <c r="AO34" i="177"/>
  <c r="AE34" i="179"/>
  <c r="AD34" i="179"/>
  <c r="FX73" i="180"/>
  <c r="AF33" i="180"/>
  <c r="BY30" i="180"/>
  <c r="FB30" i="180"/>
  <c r="FA30" i="180" s="1"/>
  <c r="EX30" i="180"/>
  <c r="FC32" i="180"/>
  <c r="N43" i="178"/>
  <c r="O43" i="178" s="1" a="1"/>
  <c r="O43" i="178" s="1"/>
  <c r="L44" i="178"/>
  <c r="FX74" i="179"/>
  <c r="AF34" i="179"/>
  <c r="GB74" i="179"/>
  <c r="FZ74" i="179"/>
  <c r="FU74" i="180"/>
  <c r="FT74" i="180" s="1"/>
  <c r="FR74" i="180"/>
  <c r="FS75" i="180" s="1"/>
  <c r="FQ74" i="180"/>
  <c r="FY74" i="180" s="1"/>
  <c r="FP74" i="180"/>
  <c r="GA74" i="180" s="1"/>
  <c r="FO74" i="180"/>
  <c r="FN74" i="180"/>
  <c r="FW74" i="180" s="1"/>
  <c r="FV74" i="180" s="1"/>
  <c r="AJ32" i="180"/>
  <c r="AI32" i="180"/>
  <c r="AH32" i="180"/>
  <c r="AG32" i="180"/>
  <c r="FU75" i="179"/>
  <c r="FT75" i="179" s="1"/>
  <c r="FR75" i="179"/>
  <c r="FS76" i="179" s="1"/>
  <c r="FQ75" i="179"/>
  <c r="FY75" i="179" s="1"/>
  <c r="FP75" i="179"/>
  <c r="GA75" i="179" s="1"/>
  <c r="FO75" i="179"/>
  <c r="FN75" i="179"/>
  <c r="FW75" i="179" s="1"/>
  <c r="FV75" i="179" s="1"/>
  <c r="FK75" i="179"/>
  <c r="FJ74" i="179"/>
  <c r="GK72" i="179"/>
  <c r="FE31" i="180"/>
  <c r="L26" i="169"/>
  <c r="L20" i="80"/>
  <c r="N20" i="80" s="1"/>
  <c r="O20" i="80" s="1" a="1"/>
  <c r="O20" i="80" s="1"/>
  <c r="AO21" i="114"/>
  <c r="P20" i="114"/>
  <c r="CQ1" i="168"/>
  <c r="FE32" i="180" l="1"/>
  <c r="FE33" i="179"/>
  <c r="FD33" i="179"/>
  <c r="FD32" i="180"/>
  <c r="EX32" i="179"/>
  <c r="FB32" i="179"/>
  <c r="FA32" i="179" s="1"/>
  <c r="AJ33" i="180"/>
  <c r="AI33" i="180"/>
  <c r="BW33" i="179"/>
  <c r="BX33" i="179" s="1"/>
  <c r="FC34" i="179"/>
  <c r="GK73" i="179"/>
  <c r="BY31" i="180"/>
  <c r="FB31" i="180"/>
  <c r="FA31" i="180" s="1"/>
  <c r="EX31" i="180"/>
  <c r="FZ74" i="180"/>
  <c r="GB74" i="180"/>
  <c r="BW32" i="180"/>
  <c r="BX32" i="180" s="1"/>
  <c r="GK72" i="180"/>
  <c r="FX75" i="179"/>
  <c r="AF35" i="179"/>
  <c r="AO35" i="177"/>
  <c r="P34" i="177"/>
  <c r="FX74" i="180"/>
  <c r="AF34" i="180"/>
  <c r="AE35" i="179"/>
  <c r="AD35" i="179"/>
  <c r="FJ75" i="179"/>
  <c r="FK76" i="179"/>
  <c r="AJ34" i="179"/>
  <c r="AI34" i="179"/>
  <c r="FZ75" i="179"/>
  <c r="GB75" i="179"/>
  <c r="FU75" i="180"/>
  <c r="FT75" i="180" s="1"/>
  <c r="FR75" i="180"/>
  <c r="FS76" i="180" s="1"/>
  <c r="FQ75" i="180"/>
  <c r="FY75" i="180" s="1"/>
  <c r="FP75" i="180"/>
  <c r="GA75" i="180" s="1"/>
  <c r="FO75" i="180"/>
  <c r="FN75" i="180"/>
  <c r="FW75" i="180" s="1"/>
  <c r="FV75" i="180" s="1"/>
  <c r="FU76" i="179"/>
  <c r="FT76" i="179" s="1"/>
  <c r="FR76" i="179"/>
  <c r="FS77" i="179" s="1"/>
  <c r="FQ76" i="179"/>
  <c r="FY76" i="179" s="1"/>
  <c r="FP76" i="179"/>
  <c r="GA76" i="179" s="1"/>
  <c r="FO76" i="179"/>
  <c r="FN76" i="179"/>
  <c r="FW76" i="179" s="1"/>
  <c r="FV76" i="179" s="1"/>
  <c r="AH34" i="179"/>
  <c r="AG34" i="179"/>
  <c r="FK78" i="180"/>
  <c r="FJ77" i="180"/>
  <c r="AE34" i="180"/>
  <c r="AD34" i="180"/>
  <c r="L45" i="178"/>
  <c r="N44" i="178"/>
  <c r="O44" i="178" s="1" a="1"/>
  <c r="O44" i="178" s="1"/>
  <c r="FC33" i="180"/>
  <c r="AH33" i="180"/>
  <c r="AG33" i="180"/>
  <c r="L27" i="169"/>
  <c r="L21" i="80"/>
  <c r="AO22" i="114"/>
  <c r="P21" i="114"/>
  <c r="FE34" i="179" l="1"/>
  <c r="FE33" i="180"/>
  <c r="FD34" i="179"/>
  <c r="BW33" i="180"/>
  <c r="BX33" i="180" s="1"/>
  <c r="BY33" i="180" s="1"/>
  <c r="GK73" i="180"/>
  <c r="GB75" i="180"/>
  <c r="FZ75" i="180"/>
  <c r="FU76" i="180"/>
  <c r="FT76" i="180" s="1"/>
  <c r="FR76" i="180"/>
  <c r="FS77" i="180" s="1"/>
  <c r="FQ76" i="180"/>
  <c r="FY76" i="180" s="1"/>
  <c r="FP76" i="180"/>
  <c r="GA76" i="180" s="1"/>
  <c r="FO76" i="180"/>
  <c r="FN76" i="180"/>
  <c r="FW76" i="180" s="1"/>
  <c r="FV76" i="180" s="1"/>
  <c r="AJ35" i="179"/>
  <c r="AI35" i="179"/>
  <c r="AJ34" i="180"/>
  <c r="AI34" i="180"/>
  <c r="FK77" i="179"/>
  <c r="FJ76" i="179"/>
  <c r="FC35" i="179"/>
  <c r="BY32" i="180"/>
  <c r="FB32" i="180"/>
  <c r="FA32" i="180" s="1"/>
  <c r="EX32" i="180"/>
  <c r="FX76" i="179"/>
  <c r="AF36" i="179"/>
  <c r="BW34" i="179"/>
  <c r="BX34" i="179" s="1"/>
  <c r="AH34" i="180"/>
  <c r="AG34" i="180"/>
  <c r="FK79" i="180"/>
  <c r="FJ78" i="180"/>
  <c r="FD33" i="180"/>
  <c r="GK74" i="179"/>
  <c r="GB76" i="179"/>
  <c r="FZ76" i="179"/>
  <c r="FU77" i="179"/>
  <c r="FT77" i="179" s="1"/>
  <c r="FR77" i="179"/>
  <c r="FS78" i="179" s="1"/>
  <c r="FQ77" i="179"/>
  <c r="FY77" i="179" s="1"/>
  <c r="FP77" i="179"/>
  <c r="GA77" i="179" s="1"/>
  <c r="FO77" i="179"/>
  <c r="FN77" i="179"/>
  <c r="FW77" i="179" s="1"/>
  <c r="FV77" i="179" s="1"/>
  <c r="AO36" i="177"/>
  <c r="P35" i="177"/>
  <c r="L46" i="178"/>
  <c r="N45" i="178"/>
  <c r="O45" i="178" s="1" a="1"/>
  <c r="O45" i="178" s="1"/>
  <c r="EX33" i="179"/>
  <c r="BY33" i="179"/>
  <c r="FB33" i="179"/>
  <c r="FA33" i="179" s="1"/>
  <c r="AE35" i="180"/>
  <c r="AD35" i="180"/>
  <c r="AH35" i="179"/>
  <c r="AG35" i="179"/>
  <c r="AE36" i="179"/>
  <c r="AD36" i="179"/>
  <c r="FC34" i="180"/>
  <c r="FX75" i="180"/>
  <c r="AF35" i="180"/>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FE35" i="179" l="1"/>
  <c r="FB33" i="180"/>
  <c r="FA33" i="180" s="1"/>
  <c r="GK74" i="180"/>
  <c r="BW34" i="180"/>
  <c r="BX34" i="180" s="1"/>
  <c r="FB34" i="180" s="1"/>
  <c r="FA34" i="180" s="1"/>
  <c r="FD35" i="179"/>
  <c r="AE36" i="180"/>
  <c r="AD36" i="180"/>
  <c r="L47" i="178"/>
  <c r="N46" i="178"/>
  <c r="O46" i="178" s="1" a="1"/>
  <c r="O46" i="178" s="1"/>
  <c r="FX76" i="180"/>
  <c r="AF36" i="180"/>
  <c r="AH35" i="180"/>
  <c r="AG35" i="180"/>
  <c r="AE37" i="179"/>
  <c r="AD37" i="179"/>
  <c r="GB76" i="180"/>
  <c r="FZ76" i="180"/>
  <c r="FK80" i="180"/>
  <c r="FJ79" i="180"/>
  <c r="FU77" i="180"/>
  <c r="FT77" i="180" s="1"/>
  <c r="FR77" i="180"/>
  <c r="FS78" i="180" s="1"/>
  <c r="FQ77" i="180"/>
  <c r="FY77" i="180" s="1"/>
  <c r="FP77" i="180"/>
  <c r="GA77" i="180" s="1"/>
  <c r="FO77" i="180"/>
  <c r="FN77" i="180"/>
  <c r="FW77" i="180" s="1"/>
  <c r="FV77" i="180" s="1"/>
  <c r="FD34" i="180"/>
  <c r="FC36" i="179"/>
  <c r="FU78" i="179"/>
  <c r="FT78" i="179" s="1"/>
  <c r="FR78" i="179"/>
  <c r="FS79" i="179" s="1"/>
  <c r="FQ78" i="179"/>
  <c r="FY78" i="179" s="1"/>
  <c r="FP78" i="179"/>
  <c r="GA78" i="179" s="1"/>
  <c r="FO78" i="179"/>
  <c r="FN78" i="179"/>
  <c r="FW78" i="179" s="1"/>
  <c r="FV78" i="179" s="1"/>
  <c r="AJ36" i="179"/>
  <c r="AI36" i="179"/>
  <c r="BW35" i="179"/>
  <c r="BX35" i="179" s="1"/>
  <c r="AJ35" i="180"/>
  <c r="AI35" i="180"/>
  <c r="FB34" i="179"/>
  <c r="FA34" i="179" s="1"/>
  <c r="BY34" i="179"/>
  <c r="EX34" i="179"/>
  <c r="AH36" i="179"/>
  <c r="AG36" i="179"/>
  <c r="GK75" i="179"/>
  <c r="EX33" i="180"/>
  <c r="AO37" i="177"/>
  <c r="P36" i="177"/>
  <c r="GB77" i="179"/>
  <c r="FZ77" i="179"/>
  <c r="FC35" i="180"/>
  <c r="FK78" i="179"/>
  <c r="FJ77" i="179"/>
  <c r="FX77" i="179"/>
  <c r="AF37" i="179"/>
  <c r="FE34" i="180"/>
  <c r="L29" i="169"/>
  <c r="L23" i="80"/>
  <c r="N23" i="80" s="1"/>
  <c r="O23" i="80" s="1" a="1"/>
  <c r="O23" i="80" s="1"/>
  <c r="AO24" i="114"/>
  <c r="P23" i="114"/>
  <c r="AH2" i="168"/>
  <c r="FD35" i="180" l="1"/>
  <c r="GK75" i="180"/>
  <c r="GK76" i="179"/>
  <c r="EX34" i="180"/>
  <c r="BW36" i="179"/>
  <c r="BX36" i="179" s="1"/>
  <c r="BY36" i="179" s="1"/>
  <c r="FD36" i="179"/>
  <c r="FE36" i="179"/>
  <c r="BY34" i="180"/>
  <c r="BW35" i="180"/>
  <c r="BX35" i="180" s="1"/>
  <c r="BY35" i="180" s="1"/>
  <c r="FC37" i="179"/>
  <c r="AD37" i="180"/>
  <c r="AE37" i="180"/>
  <c r="FE35" i="180"/>
  <c r="FX77" i="180"/>
  <c r="AF37" i="180"/>
  <c r="AH36" i="180"/>
  <c r="AG36" i="180"/>
  <c r="BY35" i="179"/>
  <c r="FB35" i="179"/>
  <c r="FA35" i="179" s="1"/>
  <c r="EX35" i="179"/>
  <c r="GB77" i="180"/>
  <c r="FZ77" i="180"/>
  <c r="N47" i="178"/>
  <c r="O47" i="178" s="1" a="1"/>
  <c r="O47" i="178" s="1"/>
  <c r="L48" i="178"/>
  <c r="AO38" i="177"/>
  <c r="P37" i="177"/>
  <c r="AH37" i="179"/>
  <c r="AG37" i="179"/>
  <c r="FR78" i="180"/>
  <c r="FS79" i="180" s="1"/>
  <c r="FQ78" i="180"/>
  <c r="FY78" i="180" s="1"/>
  <c r="FP78" i="180"/>
  <c r="GA78" i="180" s="1"/>
  <c r="FO78" i="180"/>
  <c r="FN78" i="180"/>
  <c r="FW78" i="180" s="1"/>
  <c r="FV78" i="180" s="1"/>
  <c r="FU78" i="180"/>
  <c r="FT78" i="180" s="1"/>
  <c r="FC36" i="180"/>
  <c r="FR79" i="179"/>
  <c r="FS80" i="179" s="1"/>
  <c r="FQ79" i="179"/>
  <c r="FY79" i="179" s="1"/>
  <c r="FP79" i="179"/>
  <c r="GA79" i="179" s="1"/>
  <c r="FO79" i="179"/>
  <c r="FN79" i="179"/>
  <c r="FW79" i="179" s="1"/>
  <c r="FV79" i="179" s="1"/>
  <c r="FU79" i="179"/>
  <c r="FT79" i="179" s="1"/>
  <c r="AJ37" i="179"/>
  <c r="AI37" i="179"/>
  <c r="FK79" i="179"/>
  <c r="FJ78" i="179"/>
  <c r="AE38" i="179"/>
  <c r="AD38" i="179"/>
  <c r="FX78" i="179"/>
  <c r="AF38" i="179"/>
  <c r="FK81" i="180"/>
  <c r="FJ80" i="180"/>
  <c r="GB78" i="179"/>
  <c r="FZ78" i="179"/>
  <c r="AJ36" i="180"/>
  <c r="AI36" i="180"/>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FE37" i="179" l="1"/>
  <c r="FD37" i="179"/>
  <c r="FB36" i="179"/>
  <c r="FA36" i="179" s="1"/>
  <c r="EX35" i="180"/>
  <c r="FB35" i="180"/>
  <c r="FA35" i="180" s="1"/>
  <c r="BW36" i="180"/>
  <c r="BX36" i="180" s="1"/>
  <c r="BY36" i="180" s="1"/>
  <c r="FE36" i="180"/>
  <c r="AH37" i="180"/>
  <c r="AG37" i="180"/>
  <c r="FD36" i="180"/>
  <c r="GB78" i="180"/>
  <c r="FZ78" i="180"/>
  <c r="AJ38" i="179"/>
  <c r="AI38" i="179"/>
  <c r="P38" i="177"/>
  <c r="AO39" i="177"/>
  <c r="FC37" i="180"/>
  <c r="L49" i="178"/>
  <c r="N48" i="178"/>
  <c r="O48" i="178" s="1" a="1"/>
  <c r="O48" i="178" s="1"/>
  <c r="FQ79" i="180"/>
  <c r="FY79" i="180" s="1"/>
  <c r="FP79" i="180"/>
  <c r="GA79" i="180" s="1"/>
  <c r="FO79" i="180"/>
  <c r="FN79" i="180"/>
  <c r="FW79" i="180" s="1"/>
  <c r="FV79" i="180" s="1"/>
  <c r="FU79" i="180"/>
  <c r="FT79" i="180" s="1"/>
  <c r="FR79" i="180"/>
  <c r="FS80" i="180" s="1"/>
  <c r="FX79" i="179"/>
  <c r="AF39" i="179"/>
  <c r="FK82" i="180"/>
  <c r="FJ81" i="180"/>
  <c r="AH38" i="179"/>
  <c r="AG38" i="179"/>
  <c r="BW37" i="179"/>
  <c r="BX37" i="179" s="1"/>
  <c r="GB79" i="179"/>
  <c r="FZ79" i="179"/>
  <c r="FC38" i="179"/>
  <c r="GK76" i="180"/>
  <c r="GK77" i="179"/>
  <c r="AJ37" i="180"/>
  <c r="AI37" i="180"/>
  <c r="AE38" i="180"/>
  <c r="AD38" i="180"/>
  <c r="EX36" i="179"/>
  <c r="AE39" i="179"/>
  <c r="AD39" i="179"/>
  <c r="FQ80" i="179"/>
  <c r="FY80" i="179" s="1"/>
  <c r="FP80" i="179"/>
  <c r="GA80" i="179" s="1"/>
  <c r="FO80" i="179"/>
  <c r="FN80" i="179"/>
  <c r="FW80" i="179" s="1"/>
  <c r="FV80" i="179" s="1"/>
  <c r="FU80" i="179"/>
  <c r="FT80" i="179" s="1"/>
  <c r="FR80" i="179"/>
  <c r="FS81" i="179" s="1"/>
  <c r="FK80" i="179"/>
  <c r="FJ79" i="179"/>
  <c r="FX78" i="180"/>
  <c r="AF38" i="180"/>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FE38" i="179" l="1"/>
  <c r="BW38" i="179"/>
  <c r="BX38" i="179" s="1"/>
  <c r="BY38" i="179" s="1"/>
  <c r="BW37" i="180"/>
  <c r="BX37" i="180" s="1"/>
  <c r="BY37" i="180" s="1"/>
  <c r="FE37" i="180"/>
  <c r="EX36" i="180"/>
  <c r="FB36" i="180"/>
  <c r="FA36" i="180" s="1"/>
  <c r="FK83" i="180"/>
  <c r="FJ82" i="180"/>
  <c r="FD38" i="179"/>
  <c r="AH38" i="180"/>
  <c r="AG38" i="180"/>
  <c r="AH39" i="179"/>
  <c r="AG39" i="179"/>
  <c r="FR80" i="180"/>
  <c r="FS81" i="180" s="1"/>
  <c r="FQ80" i="180"/>
  <c r="FY80" i="180" s="1"/>
  <c r="FP80" i="180"/>
  <c r="GA80" i="180" s="1"/>
  <c r="FO80" i="180"/>
  <c r="FN80" i="180"/>
  <c r="FW80" i="180" s="1"/>
  <c r="FV80" i="180" s="1"/>
  <c r="FU80" i="180"/>
  <c r="FT80" i="180" s="1"/>
  <c r="AJ38" i="180"/>
  <c r="AI38" i="180"/>
  <c r="FO81" i="179"/>
  <c r="FN81" i="179"/>
  <c r="FW81" i="179" s="1"/>
  <c r="FV81" i="179" s="1"/>
  <c r="FU81" i="179"/>
  <c r="FT81" i="179" s="1"/>
  <c r="FR81" i="179"/>
  <c r="FS82" i="179" s="1"/>
  <c r="FQ81" i="179"/>
  <c r="FY81" i="179" s="1"/>
  <c r="FP81" i="179"/>
  <c r="GA81" i="179" s="1"/>
  <c r="AE39" i="180"/>
  <c r="AD39" i="180"/>
  <c r="FX79" i="180"/>
  <c r="AF39" i="180"/>
  <c r="AE40" i="179"/>
  <c r="AD40" i="179"/>
  <c r="FC38" i="180"/>
  <c r="FX80" i="179"/>
  <c r="AF40" i="179"/>
  <c r="GK78" i="179"/>
  <c r="GB79" i="180"/>
  <c r="FZ79" i="180"/>
  <c r="GB80" i="179"/>
  <c r="FZ80" i="179"/>
  <c r="AJ39" i="179"/>
  <c r="AI39" i="179"/>
  <c r="L50" i="178"/>
  <c r="N49" i="178"/>
  <c r="O49" i="178" s="1" a="1"/>
  <c r="O49" i="178" s="1"/>
  <c r="FD37" i="180"/>
  <c r="FC39" i="179"/>
  <c r="BY37" i="179"/>
  <c r="FB37" i="179"/>
  <c r="FA37" i="179" s="1"/>
  <c r="EX37" i="179"/>
  <c r="P39" i="177"/>
  <c r="AO40" i="177"/>
  <c r="FK81" i="179"/>
  <c r="FJ80" i="179"/>
  <c r="GK77" i="180"/>
  <c r="L32" i="169"/>
  <c r="L26" i="80"/>
  <c r="N26" i="80" s="1"/>
  <c r="O26" i="80" s="1" a="1"/>
  <c r="O26" i="80" s="1"/>
  <c r="AO27" i="114"/>
  <c r="P26" i="114"/>
  <c r="AE2" i="13"/>
  <c r="FE39" i="179" l="1"/>
  <c r="EX38" i="179"/>
  <c r="BW39" i="179"/>
  <c r="BX39" i="179" s="1"/>
  <c r="FB39" i="179" s="1"/>
  <c r="FA39" i="179" s="1"/>
  <c r="BW38" i="180"/>
  <c r="BX38" i="180" s="1"/>
  <c r="FB38" i="180" s="1"/>
  <c r="FA38" i="180" s="1"/>
  <c r="FE38" i="180"/>
  <c r="FB38" i="179"/>
  <c r="FA38" i="179" s="1"/>
  <c r="FB37" i="180"/>
  <c r="FA37" i="180" s="1"/>
  <c r="EX37" i="180"/>
  <c r="FD39" i="179"/>
  <c r="GK79" i="179"/>
  <c r="FD38" i="180"/>
  <c r="FU82" i="179"/>
  <c r="FT82" i="179" s="1"/>
  <c r="FR82" i="179"/>
  <c r="FS83" i="179" s="1"/>
  <c r="FQ82" i="179"/>
  <c r="FY82" i="179" s="1"/>
  <c r="FP82" i="179"/>
  <c r="GA82" i="179" s="1"/>
  <c r="FO82" i="179"/>
  <c r="FN82" i="179"/>
  <c r="FW82" i="179" s="1"/>
  <c r="FV82" i="179" s="1"/>
  <c r="FK82" i="179"/>
  <c r="FJ81" i="179"/>
  <c r="FX81" i="179"/>
  <c r="AF41" i="179"/>
  <c r="FK84" i="180"/>
  <c r="FJ83" i="180"/>
  <c r="AE41" i="179"/>
  <c r="AD41" i="179"/>
  <c r="AE40" i="180"/>
  <c r="AD40" i="180"/>
  <c r="AO41" i="177"/>
  <c r="P40" i="177"/>
  <c r="FX80" i="180"/>
  <c r="AF40" i="180"/>
  <c r="GB81" i="179"/>
  <c r="FZ81" i="179"/>
  <c r="AH40" i="179"/>
  <c r="AG40" i="179"/>
  <c r="FC40" i="179"/>
  <c r="N50" i="178"/>
  <c r="O50" i="178" s="1" a="1"/>
  <c r="O50" i="178" s="1"/>
  <c r="L51" i="178"/>
  <c r="N51" i="178" s="1"/>
  <c r="O51" i="178" s="1" a="1"/>
  <c r="O51" i="178" s="1"/>
  <c r="N52" i="178" s="1"/>
  <c r="GB80" i="180"/>
  <c r="FZ80" i="180"/>
  <c r="AH39" i="180"/>
  <c r="AG39" i="180"/>
  <c r="FQ81" i="180"/>
  <c r="FY81" i="180" s="1"/>
  <c r="FP81" i="180"/>
  <c r="GA81" i="180" s="1"/>
  <c r="FO81" i="180"/>
  <c r="FN81" i="180"/>
  <c r="FW81" i="180" s="1"/>
  <c r="FV81" i="180" s="1"/>
  <c r="FU81" i="180"/>
  <c r="FT81" i="180" s="1"/>
  <c r="FR81" i="180"/>
  <c r="FS82" i="180" s="1"/>
  <c r="GK78" i="180"/>
  <c r="FC39" i="180"/>
  <c r="AJ39" i="180"/>
  <c r="AI39" i="180"/>
  <c r="AJ40" i="179"/>
  <c r="AI40" i="179"/>
  <c r="L33" i="169"/>
  <c r="L27" i="80"/>
  <c r="N27" i="80" s="1"/>
  <c r="O27" i="80" s="1" a="1"/>
  <c r="O27" i="80" s="1"/>
  <c r="AO28" i="114"/>
  <c r="P27" i="114"/>
  <c r="AA36" i="165"/>
  <c r="FE40" i="179" l="1"/>
  <c r="EX39" i="179"/>
  <c r="BY39" i="179"/>
  <c r="FD39" i="180"/>
  <c r="EX38" i="180"/>
  <c r="BY38" i="180"/>
  <c r="BW40" i="179"/>
  <c r="BX40" i="179" s="1"/>
  <c r="BY40" i="179" s="1"/>
  <c r="FE39" i="180"/>
  <c r="AH41" i="179"/>
  <c r="AG41" i="179"/>
  <c r="FK83" i="179"/>
  <c r="FJ82" i="179"/>
  <c r="AE42" i="179"/>
  <c r="AD42" i="179"/>
  <c r="FX81" i="180"/>
  <c r="AF41" i="180"/>
  <c r="FX82" i="179"/>
  <c r="AF42" i="179"/>
  <c r="GB81" i="180"/>
  <c r="FZ81" i="180"/>
  <c r="FD40" i="179"/>
  <c r="GB82" i="179"/>
  <c r="FZ82" i="179"/>
  <c r="BW39" i="180"/>
  <c r="BX39" i="180" s="1"/>
  <c r="FU83" i="179"/>
  <c r="FT83" i="179" s="1"/>
  <c r="FR83" i="179"/>
  <c r="FS84" i="179" s="1"/>
  <c r="FQ83" i="179"/>
  <c r="FY83" i="179" s="1"/>
  <c r="FP83" i="179"/>
  <c r="GA83" i="179" s="1"/>
  <c r="FO83" i="179"/>
  <c r="FN83" i="179"/>
  <c r="FW83" i="179" s="1"/>
  <c r="FV83" i="179" s="1"/>
  <c r="AI41" i="179"/>
  <c r="AJ41" i="179"/>
  <c r="AO42" i="177"/>
  <c r="P41" i="177"/>
  <c r="FC40" i="180"/>
  <c r="FC41" i="179"/>
  <c r="AI40" i="180"/>
  <c r="AJ40" i="180"/>
  <c r="GK79" i="180"/>
  <c r="GK80" i="179"/>
  <c r="AH40" i="180"/>
  <c r="AG40" i="180"/>
  <c r="FO82" i="180"/>
  <c r="FN82" i="180"/>
  <c r="FW82" i="180" s="1"/>
  <c r="FV82" i="180" s="1"/>
  <c r="FP82" i="180"/>
  <c r="GA82" i="180" s="1"/>
  <c r="FU82" i="180"/>
  <c r="FT82" i="180" s="1"/>
  <c r="FR82" i="180"/>
  <c r="FS83" i="180" s="1"/>
  <c r="FQ82" i="180"/>
  <c r="FY82" i="180" s="1"/>
  <c r="AE41" i="180"/>
  <c r="AD41" i="180"/>
  <c r="FK85" i="180"/>
  <c r="FJ85" i="180" s="1"/>
  <c r="FJ84" i="180"/>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FD41" i="179" l="1"/>
  <c r="EX40" i="179"/>
  <c r="FB40" i="179"/>
  <c r="FA40" i="179" s="1"/>
  <c r="BW40" i="180"/>
  <c r="BX40" i="180" s="1"/>
  <c r="BY40" i="180" s="1"/>
  <c r="FE41" i="179"/>
  <c r="AD43" i="179"/>
  <c r="AE43" i="179"/>
  <c r="AH42" i="179"/>
  <c r="AG42" i="179"/>
  <c r="FX83" i="179"/>
  <c r="AF43" i="179"/>
  <c r="FX82" i="180"/>
  <c r="AF42" i="180"/>
  <c r="AH41" i="180"/>
  <c r="AG41" i="180"/>
  <c r="FE40" i="180"/>
  <c r="FZ83" i="179"/>
  <c r="GB83" i="179"/>
  <c r="FC42" i="179"/>
  <c r="FD40" i="180"/>
  <c r="FU84" i="179"/>
  <c r="FT84" i="179" s="1"/>
  <c r="FR84" i="179"/>
  <c r="FS85" i="179" s="1"/>
  <c r="FQ84" i="179"/>
  <c r="FY84" i="179" s="1"/>
  <c r="FP84" i="179"/>
  <c r="GA84" i="179" s="1"/>
  <c r="FO84" i="179"/>
  <c r="FN84" i="179"/>
  <c r="FW84" i="179" s="1"/>
  <c r="FV84" i="179" s="1"/>
  <c r="BW41" i="179"/>
  <c r="BX41" i="179" s="1"/>
  <c r="FC41" i="180"/>
  <c r="BY39" i="180"/>
  <c r="FB39" i="180"/>
  <c r="FA39" i="180" s="1"/>
  <c r="EX39" i="180"/>
  <c r="FK84" i="179"/>
  <c r="FJ83" i="179"/>
  <c r="AO43" i="177"/>
  <c r="P42" i="177"/>
  <c r="GK81" i="179"/>
  <c r="GB82" i="180"/>
  <c r="FZ82" i="180"/>
  <c r="FQ83" i="180"/>
  <c r="FY83" i="180" s="1"/>
  <c r="FP83" i="180"/>
  <c r="GA83" i="180" s="1"/>
  <c r="FO83" i="180"/>
  <c r="FN83" i="180"/>
  <c r="FW83" i="180" s="1"/>
  <c r="FV83" i="180" s="1"/>
  <c r="FU83" i="180"/>
  <c r="FT83" i="180" s="1"/>
  <c r="FR83" i="180"/>
  <c r="FS84" i="180" s="1"/>
  <c r="AJ42" i="179"/>
  <c r="AI42" i="179"/>
  <c r="GK80" i="180"/>
  <c r="AJ41" i="180"/>
  <c r="AI41" i="180"/>
  <c r="AE42" i="180"/>
  <c r="AD42" i="180"/>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EX40" i="180" l="1"/>
  <c r="FD42" i="179"/>
  <c r="FE41" i="180"/>
  <c r="FB40" i="180"/>
  <c r="FA40" i="180" s="1"/>
  <c r="BW41" i="180"/>
  <c r="BX41" i="180" s="1"/>
  <c r="BY41" i="180" s="1"/>
  <c r="GK81" i="180"/>
  <c r="EX41" i="179"/>
  <c r="BY41" i="179"/>
  <c r="FB41" i="179"/>
  <c r="FA41" i="179" s="1"/>
  <c r="FX84" i="179"/>
  <c r="AF44" i="179"/>
  <c r="AG42" i="180"/>
  <c r="AH42" i="180"/>
  <c r="AJ42" i="180"/>
  <c r="AI42" i="180"/>
  <c r="FD41" i="180"/>
  <c r="GB84" i="179"/>
  <c r="FZ84" i="179"/>
  <c r="FU85" i="179"/>
  <c r="FT85" i="179" s="1"/>
  <c r="FR85" i="179"/>
  <c r="FQ85" i="179"/>
  <c r="FY85" i="179" s="1"/>
  <c r="FP85" i="179"/>
  <c r="GA85" i="179" s="1"/>
  <c r="FO85" i="179"/>
  <c r="FN85" i="179"/>
  <c r="FW85" i="179" s="1"/>
  <c r="FV85" i="179" s="1"/>
  <c r="AH43" i="179"/>
  <c r="AG43" i="179"/>
  <c r="GB83" i="180"/>
  <c r="FZ83" i="180"/>
  <c r="FX83" i="180"/>
  <c r="AF43" i="180"/>
  <c r="P43" i="177"/>
  <c r="AO44" i="177"/>
  <c r="BW42" i="179"/>
  <c r="BX42" i="179" s="1"/>
  <c r="FJ84" i="179"/>
  <c r="FK85" i="179"/>
  <c r="FJ85" i="179" s="1"/>
  <c r="FC43" i="179"/>
  <c r="FE42" i="179"/>
  <c r="GK82" i="179"/>
  <c r="FC42" i="180"/>
  <c r="AE44" i="179"/>
  <c r="AD44" i="179"/>
  <c r="FP84" i="180"/>
  <c r="GA84" i="180" s="1"/>
  <c r="FR84" i="180"/>
  <c r="FS85" i="180" s="1"/>
  <c r="FU84" i="180"/>
  <c r="FT84" i="180" s="1"/>
  <c r="FQ84" i="180"/>
  <c r="FY84" i="180" s="1"/>
  <c r="FO84" i="180"/>
  <c r="FN84" i="180"/>
  <c r="FW84" i="180" s="1"/>
  <c r="FV84" i="180" s="1"/>
  <c r="AI43" i="179"/>
  <c r="AJ43" i="179"/>
  <c r="AE43" i="180"/>
  <c r="AD43" i="180"/>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FD43" i="179" l="1"/>
  <c r="FE42" i="180"/>
  <c r="FD42" i="180"/>
  <c r="BW42" i="180"/>
  <c r="BX42" i="180" s="1"/>
  <c r="BY42" i="180" s="1"/>
  <c r="EX41" i="180"/>
  <c r="FB41" i="180"/>
  <c r="FA41" i="180" s="1"/>
  <c r="GK82" i="180"/>
  <c r="AH43" i="180"/>
  <c r="AG43" i="180"/>
  <c r="AJ43" i="180"/>
  <c r="AI43" i="180"/>
  <c r="BW43" i="179"/>
  <c r="BX43" i="179" s="1"/>
  <c r="AE45" i="179"/>
  <c r="AD45" i="179"/>
  <c r="AH44" i="179"/>
  <c r="AG44" i="179"/>
  <c r="FC44" i="179"/>
  <c r="FE43" i="179"/>
  <c r="AF45" i="179"/>
  <c r="FX85" i="179"/>
  <c r="FC43" i="180"/>
  <c r="AE44" i="180"/>
  <c r="AD44" i="180"/>
  <c r="GK83"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FZ85" i="179"/>
  <c r="FZ84" i="180"/>
  <c r="GB84" i="180"/>
  <c r="BY42" i="179"/>
  <c r="FB42" i="179"/>
  <c r="FA42" i="179" s="1"/>
  <c r="EX42" i="179"/>
  <c r="FX84" i="180"/>
  <c r="AF44" i="180"/>
  <c r="FN85" i="180"/>
  <c r="FW85" i="180" s="1"/>
  <c r="FV85" i="180" s="1"/>
  <c r="FU85" i="180"/>
  <c r="FT85" i="180" s="1"/>
  <c r="FP85" i="180"/>
  <c r="GA85" i="180" s="1"/>
  <c r="FR85" i="180"/>
  <c r="FQ85" i="180"/>
  <c r="FY85" i="180" s="1"/>
  <c r="FO85" i="180"/>
  <c r="P44" i="177"/>
  <c r="AO45" i="177"/>
  <c r="AI44" i="179"/>
  <c r="AJ44" i="179"/>
  <c r="L37" i="169"/>
  <c r="L31" i="80"/>
  <c r="N31" i="80" s="1"/>
  <c r="O31" i="80" s="1" a="1"/>
  <c r="O31" i="80" s="1"/>
  <c r="AO32" i="114"/>
  <c r="P31" i="114"/>
  <c r="FD44" i="179" l="1"/>
  <c r="EX42" i="180"/>
  <c r="FE43" i="180"/>
  <c r="FB42" i="180"/>
  <c r="FA42" i="180" s="1"/>
  <c r="FD43" i="180"/>
  <c r="FE44" i="179"/>
  <c r="BW44" i="179"/>
  <c r="BX44" i="179" s="1"/>
  <c r="AJ44" i="180"/>
  <c r="AI44" i="180"/>
  <c r="AO46" i="177"/>
  <c r="P45" i="177"/>
  <c r="GK84" i="179"/>
  <c r="FC45"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EX43" i="179"/>
  <c r="BY43" i="179"/>
  <c r="FB43" i="179"/>
  <c r="FA43" i="179" s="1"/>
  <c r="FX85" i="180"/>
  <c r="AF45" i="180"/>
  <c r="BW43" i="180"/>
  <c r="BX43" i="180" s="1"/>
  <c r="GK83" i="180"/>
  <c r="AE45" i="180"/>
  <c r="AD45" i="180"/>
  <c r="AH45" i="179"/>
  <c r="AG45" i="179"/>
  <c r="FC44" i="180"/>
  <c r="AJ45" i="179"/>
  <c r="AI45" i="179"/>
  <c r="AH44" i="180"/>
  <c r="AG44" i="180"/>
  <c r="L38" i="169"/>
  <c r="L32" i="80"/>
  <c r="N32" i="80" s="1"/>
  <c r="O32" i="80" s="1" a="1"/>
  <c r="O32" i="80" s="1"/>
  <c r="AO33" i="114"/>
  <c r="P32" i="114"/>
  <c r="FD44" i="180" l="1"/>
  <c r="FD45" i="179"/>
  <c r="GK84" i="180"/>
  <c r="FE44" i="180"/>
  <c r="BW44" i="180"/>
  <c r="BX44" i="180" s="1"/>
  <c r="BY44" i="180" s="1"/>
  <c r="BW45" i="179"/>
  <c r="BX45" i="179" s="1"/>
  <c r="BY45" i="179" s="1"/>
  <c r="FE45" i="179"/>
  <c r="GK85" i="179"/>
  <c r="AO47" i="177"/>
  <c r="P46" i="177"/>
  <c r="AJ45" i="180"/>
  <c r="AI45" i="180"/>
  <c r="BY43" i="180"/>
  <c r="FB43" i="180"/>
  <c r="FA43" i="180" s="1"/>
  <c r="EX43" i="180"/>
  <c r="AH45" i="180"/>
  <c r="AG45" i="180"/>
  <c r="FC45" i="180"/>
  <c r="FB44" i="179"/>
  <c r="FA44" i="179" s="1"/>
  <c r="EX44" i="179"/>
  <c r="BY44" i="179"/>
  <c r="L39" i="169"/>
  <c r="L33" i="80"/>
  <c r="N33" i="80" s="1"/>
  <c r="O33" i="80" s="1" a="1"/>
  <c r="O33" i="80" s="1"/>
  <c r="AO34" i="114"/>
  <c r="P33" i="114"/>
  <c r="BG1" i="167"/>
  <c r="AD1" i="168"/>
  <c r="EC1" i="168"/>
  <c r="EC2" i="168" s="1"/>
  <c r="BR1" i="168"/>
  <c r="FF45" i="179" l="1"/>
  <c r="FF44" i="179" s="1"/>
  <c r="FF43" i="179" s="1"/>
  <c r="FF42" i="179" s="1"/>
  <c r="FF41" i="179" s="1"/>
  <c r="FF40" i="179" s="1"/>
  <c r="FF39" i="179" s="1"/>
  <c r="FF38" i="179" s="1"/>
  <c r="FF37" i="179" s="1"/>
  <c r="FF36" i="179" s="1"/>
  <c r="FF35" i="179" s="1"/>
  <c r="FF34" i="179" s="1"/>
  <c r="FF33" i="179" s="1"/>
  <c r="FF32" i="179" s="1"/>
  <c r="FE45" i="180"/>
  <c r="EX44" i="180"/>
  <c r="FD45" i="180"/>
  <c r="FB44" i="180"/>
  <c r="FA44" i="180" s="1"/>
  <c r="EX45" i="179"/>
  <c r="EY18" i="179" s="1"/>
  <c r="FB45" i="179"/>
  <c r="FA45" i="179" s="1"/>
  <c r="EY22" i="179"/>
  <c r="EY23" i="179"/>
  <c r="EY21" i="179"/>
  <c r="AO48" i="177"/>
  <c r="P47" i="177"/>
  <c r="GK85" i="180"/>
  <c r="BW45" i="180"/>
  <c r="BX45" i="180" s="1"/>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FF45" i="180" l="1"/>
  <c r="FF44" i="180" s="1"/>
  <c r="FF43" i="180" s="1"/>
  <c r="FF42" i="180" s="1"/>
  <c r="FF41" i="180" s="1"/>
  <c r="FF40" i="180" s="1"/>
  <c r="FF39" i="180" s="1"/>
  <c r="FF38" i="180" s="1"/>
  <c r="FF37" i="180" s="1"/>
  <c r="FF36" i="180" s="1"/>
  <c r="FF35" i="180" s="1"/>
  <c r="FF34" i="180" s="1"/>
  <c r="FF33" i="180" s="1"/>
  <c r="FF32" i="180" s="1"/>
  <c r="FF31" i="180" s="1"/>
  <c r="FF30" i="180" s="1"/>
  <c r="FF29" i="180" s="1"/>
  <c r="FF28" i="180" s="1"/>
  <c r="FF27" i="180" s="1"/>
  <c r="EY31" i="179"/>
  <c r="EY19" i="179"/>
  <c r="EY25" i="179"/>
  <c r="EY15" i="179"/>
  <c r="EY28" i="179"/>
  <c r="EY30" i="179"/>
  <c r="EY29" i="179"/>
  <c r="EY14" i="179"/>
  <c r="EY27" i="179"/>
  <c r="EY17" i="179"/>
  <c r="EY16" i="179"/>
  <c r="EY24" i="179"/>
  <c r="BY45" i="180"/>
  <c r="FB45" i="180"/>
  <c r="FA45" i="180" s="1"/>
  <c r="EX45" i="180"/>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EY22" i="180" l="1"/>
  <c r="EY16" i="180"/>
  <c r="EY18" i="180"/>
  <c r="EY17" i="180"/>
  <c r="EY20" i="180"/>
  <c r="EY24" i="180"/>
  <c r="EY25" i="180"/>
  <c r="EY26" i="180"/>
  <c r="EY23" i="180"/>
  <c r="EY21" i="180"/>
  <c r="EY14" i="180"/>
  <c r="EY15" i="180"/>
  <c r="EY19" i="180"/>
  <c r="P49" i="177"/>
  <c r="AO50" i="177"/>
  <c r="L42" i="169"/>
  <c r="L36" i="80"/>
  <c r="N36" i="80" s="1"/>
  <c r="O36" i="80" s="1" a="1"/>
  <c r="O36" i="80" s="1"/>
  <c r="AO37" i="114"/>
  <c r="P36" i="114"/>
  <c r="BR87" i="84"/>
  <c r="AO51" i="177" l="1"/>
  <c r="P50" i="177"/>
  <c r="L43" i="169"/>
  <c r="L37" i="80"/>
  <c r="N37" i="80" s="1"/>
  <c r="O37" i="80" s="1" a="1"/>
  <c r="O37" i="80" s="1"/>
  <c r="AO38" i="114"/>
  <c r="P37" i="114"/>
  <c r="GF26" i="147"/>
  <c r="AO52" i="177" l="1"/>
  <c r="P51" i="177"/>
  <c r="L44" i="169"/>
  <c r="L38" i="80"/>
  <c r="N38" i="80" s="1"/>
  <c r="O38" i="80" s="1" a="1"/>
  <c r="O38" i="80" s="1"/>
  <c r="AO39" i="114"/>
  <c r="P38" i="114"/>
  <c r="GB26" i="147"/>
  <c r="GA26" i="147"/>
  <c r="U9" i="13"/>
  <c r="AO53" i="177" l="1"/>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4" i="177" l="1"/>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4" i="177" l="1"/>
  <c r="AO55" i="177"/>
  <c r="P55" i="177" s="1"/>
  <c r="P56"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I4" i="188" s="1"/>
  <c r="D14" i="13"/>
  <c r="I3" i="188" s="1"/>
  <c r="D13" i="13"/>
  <c r="I2" i="188" s="1"/>
  <c r="D12" i="13"/>
  <c r="I1" i="188" s="1"/>
  <c r="D11" i="13"/>
  <c r="A5" i="188" s="1"/>
  <c r="I2" i="169" l="1"/>
  <c r="P2" i="186"/>
  <c r="AA2" i="185"/>
  <c r="AA2" i="184"/>
  <c r="AA2" i="183"/>
  <c r="AA2" i="182"/>
  <c r="BD2" i="180"/>
  <c r="Z2" i="180"/>
  <c r="N2" i="174"/>
  <c r="N2" i="176"/>
  <c r="N2" i="171"/>
  <c r="I2" i="178"/>
  <c r="N2" i="173"/>
  <c r="BD2" i="179"/>
  <c r="Z2" i="179"/>
  <c r="N2" i="175"/>
  <c r="N2" i="177"/>
  <c r="M2" i="170"/>
  <c r="N2" i="172"/>
  <c r="A5" i="169"/>
  <c r="A5" i="186"/>
  <c r="A5" i="185"/>
  <c r="A5" i="184"/>
  <c r="A5" i="183"/>
  <c r="A5" i="182"/>
  <c r="A5" i="180"/>
  <c r="AB5" i="180"/>
  <c r="A5" i="176"/>
  <c r="A5" i="171"/>
  <c r="A5" i="178"/>
  <c r="A5" i="173"/>
  <c r="AB5" i="179"/>
  <c r="A5" i="179"/>
  <c r="A5" i="175"/>
  <c r="A5" i="177"/>
  <c r="A5" i="170"/>
  <c r="A5" i="172"/>
  <c r="A5" i="174"/>
  <c r="I3" i="169"/>
  <c r="P3" i="186"/>
  <c r="AA3" i="185"/>
  <c r="AA3" i="184"/>
  <c r="AA3" i="183"/>
  <c r="AA3" i="182"/>
  <c r="BD3" i="180"/>
  <c r="Z3" i="180"/>
  <c r="N3" i="174"/>
  <c r="BD3" i="179"/>
  <c r="N3" i="176"/>
  <c r="N3" i="171"/>
  <c r="Z3" i="179"/>
  <c r="I3" i="178"/>
  <c r="N3" i="173"/>
  <c r="N3" i="175"/>
  <c r="N3" i="177"/>
  <c r="M3" i="170"/>
  <c r="N3" i="172"/>
  <c r="Z1" i="160"/>
  <c r="P1" i="186"/>
  <c r="AA1" i="185"/>
  <c r="AA1" i="184"/>
  <c r="AA1" i="183"/>
  <c r="AA1" i="182"/>
  <c r="BD1" i="180"/>
  <c r="Z1" i="180"/>
  <c r="N1" i="177"/>
  <c r="N1" i="172"/>
  <c r="M1" i="170"/>
  <c r="BD1" i="179"/>
  <c r="Z1" i="179"/>
  <c r="N1" i="174"/>
  <c r="N1" i="175"/>
  <c r="N1" i="171"/>
  <c r="N1" i="176"/>
  <c r="I1" i="178"/>
  <c r="N1" i="173"/>
  <c r="I4" i="169"/>
  <c r="P4" i="186"/>
  <c r="AA4" i="185"/>
  <c r="AA4" i="184"/>
  <c r="AA4" i="183"/>
  <c r="AA4" i="182"/>
  <c r="BD4" i="180"/>
  <c r="Z4" i="180"/>
  <c r="Z4" i="179"/>
  <c r="N4" i="176"/>
  <c r="N4" i="171"/>
  <c r="N4" i="174"/>
  <c r="I4" i="178"/>
  <c r="N4" i="173"/>
  <c r="N4" i="175"/>
  <c r="BD4" i="179"/>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AEA023D-396E-4411-9DE4-93C87EC28378}">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961DA06D-93F2-437B-8BE8-D75BAD1E1719}">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DB9BAFF1-0989-49BC-8EAC-1A631EF306B8}">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2B66E92A-DF98-4F0F-913B-D60AFF88F29B}">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8DE702D-EB43-4CB7-8C77-7F544C4083C1}">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C5D9AF9A-2BF9-4801-98FF-7091D4C1DCC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78F160FC-F94A-4822-8FCC-FF9DF5253533}">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878040DB-CBA9-43A1-AA99-F2112617882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A818911-6494-4A29-816E-584171FEE541}">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89153E6A-9F62-4659-90FC-54A1BB1EC048}">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2C5CB15A-9ED5-43F6-8DAD-69F225C3B0CE}">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E7DC026A-FC6B-440D-A1DB-75DE264226BD}">
      <text>
        <r>
          <rPr>
            <b/>
            <sz val="9"/>
            <color indexed="81"/>
            <rFont val="Tahoma"/>
            <family val="2"/>
          </rPr>
          <t>Minimum End of Slot to Edge of Material
(Min Edge Dist).</t>
        </r>
        <r>
          <rPr>
            <sz val="9"/>
            <color indexed="81"/>
            <rFont val="Tahoma"/>
            <family val="2"/>
          </rPr>
          <t xml:space="preserve">
</t>
        </r>
      </text>
    </comment>
    <comment ref="DH9" authorId="3" shapeId="0" xr:uid="{CE8BFC56-D655-4EE3-8FA7-CC745F367AE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CA8FD71-F9A7-4E7B-9F7E-44C74696E27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54AF9EEA-3042-46F9-B404-4256D2E3AB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424A494-3270-4006-940C-65434F8198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2597AB6B-C6DD-455A-934E-AB971C795B4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F5721E2B-DDED-46A8-8A02-D59533A9D8BE}">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6E401509-99DD-443E-B91C-DD510D9117F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E4F220B3-5C80-477E-B6FF-A839617E63C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6919DD24-59DC-4D0E-9E83-7390FA18B487}">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6FD3A29F-5D3E-4F8E-A2FB-78E4B2216BD7}">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8386A18-7688-44EE-AC3A-CE509BDE662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1A1A6157-7FCF-4817-85EA-E8F012AA0E8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7E6E4AF-AF63-4812-8B11-3C67EB8BB9F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3012BA24-6954-44FD-AA44-395C8383247B}">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39E10A66-8FAC-446F-A892-251D7CCD8A8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BA86A20-6381-4ABB-8F8C-11CAAC344805}">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34F1A01-2D71-4EC8-8443-A8E647697C3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D3E4B2DD-2D15-4010-AF8F-FDE7114AAD94}">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B88E991B-8D51-4C7A-A347-738D797E648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FB1D5CAC-8D25-4B9C-83D0-69CD5688F32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7FB8F7C5-CEF0-444E-832B-B77EEA3CE866}">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E54E0479-ED24-4B72-8E75-1A0626C780E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3AE85159-18CA-4789-B868-699485BE521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FF28D4C-B931-4F5D-8722-78193109AB2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96A49C65-E83C-47FE-A36C-EAD8BB7B4FE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4B367D0-8A78-41DB-9F52-6AE3E6367DD5}">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2077758C-CC9C-42F4-84A5-F563BC81452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1666DF4C-5116-4C17-B5D7-E700BAA3139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6DDE8B77-9739-46BA-B3B7-C26B24FFAE4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48DA4BC-4319-419D-82A1-093AA5D312FC}">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9F4E6639-C659-4EB3-B792-C2C146F02827}">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4267D241-5972-486F-9CD0-C2011D0667F2}">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933D8EA-817E-45B3-8406-DA7E5A25D3A3}">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B13C9F8D-A2D7-4444-B3F6-2B9EB54081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5407659F-A253-4FFB-9036-E9D5524BF6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6537EFA8-1F68-49B5-90A4-37082616C6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B48339D5-F237-4C27-AE28-955A8DA3402B}">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4647ED47-72AB-4854-9C1A-4FA85EED488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F4E853CB-DC19-45DC-9804-EC58F6630EC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405A9E59-3446-4B38-A93C-35C19654F6A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52CD085F-624B-4B29-90D5-C610F827234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4CFB8EA6-F65C-4D82-BFDC-8C10E252594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36AF6651-F9C5-4D6F-9615-7C29FE5A88BA}">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993B14F6-A5A9-44A9-912D-BD4AD137149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6D682389-BB83-447D-BB1D-02839D752F3C}">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5B6756E2-3805-44DC-8F2D-C00639FCAD6B}">
      <text>
        <r>
          <rPr>
            <b/>
            <sz val="9"/>
            <color indexed="81"/>
            <rFont val="Tahoma"/>
            <family val="2"/>
          </rPr>
          <t>Rich Sellers:</t>
        </r>
        <r>
          <rPr>
            <sz val="9"/>
            <color indexed="81"/>
            <rFont val="Tahoma"/>
            <family val="2"/>
          </rPr>
          <t xml:space="preserve">
</t>
        </r>
      </text>
    </comment>
    <comment ref="AB12" authorId="0" shapeId="0" xr:uid="{ADE81E4C-0660-4FCA-AA6D-2AF46C7CC6A2}">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5E6C2639-9880-4F87-A0E9-17621D6983F7}">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E8854F1-E297-482D-925B-7121F3FA8599}">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9D82588-3D1C-4FA0-BA80-C70BFF213FEA}">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1A37A316-9DCC-4BD2-8280-253D6C3610F2}">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9FD061C-3221-44A1-A8C7-2A9481C2E91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163A9EB-DE93-4C68-A3A9-38758BD5A24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970A7993-56A6-4801-912E-2FA05AFB7DC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C6C12A4-7156-428F-85A4-2EE48D71403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87321348-BA02-4EF2-901B-FBA9A8CE23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7A5C20C7-E1B7-4F31-8644-A737BC2E64F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8CE6B958-2779-48CC-82F8-A16D6012025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38A85BA-5612-4282-BFE2-164C43A1CA3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065EE4A-F130-4235-AA58-D13FAB6A640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9CB2C1B8-06F5-411B-BCAD-F0C694141F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9D09246-1EBF-4C16-B28C-33AB9E821C69}">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EACDB3E4-EAAF-45AA-BD40-B5A3B5DADC90}">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CD283ADE-8456-40E6-8033-4C35A6DB2974}">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B365489-963B-4592-AAF3-4243D5B2E109}">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A4992E3E-AE89-4524-A3F6-9B0E3CCAEAE6}">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D69931B-95B3-49CF-8705-6870F2FD71BD}">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6B35AD36-0FAF-4048-8C2B-F110F8E5AD8A}">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ED802D-AA97-4A0B-9B9A-2064062E7FBF}">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10845950-B344-408F-9038-D1E26601A8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D61CE968-A533-48FF-A4FB-729897D5752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D260368-90CA-4A62-A057-03FF1172B09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EE40A8E7-F315-446C-9114-D4212BFC454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6FB5A0CE-6F26-4EB7-BA7D-6C114FFB120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1FE41F61-4C87-4B0C-82AE-28D74E835E1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A49E8FBB-F38B-42BE-A0C7-7F9EC5CFE25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1E4827A-0DE5-4C2A-89A3-3C6F7D82DA7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C2F08A4-9774-4400-A201-EC569549771D}">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AE128DCD-5EA9-49CE-B489-209F8EC21076}">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D56353CD-598E-418E-A024-1CA2784A1612}">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F2D9CD8-CB2B-4AFD-B064-BA325EE5BF52}">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<x:sst xmlns:x="http://schemas.openxmlformats.org/spreadsheetml/2006/main" count="12680" uniqueCount="1712">
  <x:si>
    <x:t>JOIST BILL OF MATERIALS</x:t>
  </x:si>
  <x:si>
    <x:t>JOB NAME:</x:t>
  </x:si>
  <x:si>
    <x:t>JOB #:</x:t>
  </x:si>
  <x:si>
    <x:t>LOCATION:</x:t>
  </x:si>
  <x:si>
    <x:t>NET UPLIFT =</x:t>
  </x:si>
  <x:si>
    <x:t>SSJ:</x:t>
  </x:si>
  <x:si>
    <x:t>LSJ:</x:t>
  </x:si>
  <x:si>
    <x:t>JS:</x:t>
  </x:si>
  <x:si>
    <x:t>HDR:</x:t>
  </x:si>
  <x:si>
    <x:t>TCXL</x:t>
  </x:si>
  <x:si>
    <x:t>TCXR</x:t>
  </x:si>
  <x:si>
    <x:t>SEAT DEPTH</x:t>
  </x:si>
  <x:si>
    <x:t>BCXL</x:t>
  </x:si>
  <x:si>
    <x:t>BCXR</x:t>
  </x:si>
  <x:si>
    <x:t>PUNCHED SEATS</x:t>
  </x:si>
  <x:si>
    <x:t>NOTES</x:t>
  </x:si>
  <x:si>
    <x:t>LENGTH</x:t>
  </x:si>
  <x:si>
    <x:t>TYPE</x:t>
  </x:si>
  <x:si>
    <x:t>BDL</x:t>
  </x:si>
  <x:si>
    <x:t>BDR</x:t>
  </x:si>
  <x:si>
    <x:t>DATE:</x:t>
  </x:si>
  <x:si>
    <x:t>SHEET:</x:t>
  </x:si>
  <x:si>
    <x:t>DETAILER:</x:t>
  </x:si>
  <x:si>
    <x:t>CHECKER:</x:t>
  </x:si>
  <x:si>
    <x:t>JOIST SIZE</x:t>
  </x:si>
  <x:si>
    <x:t>OVERALL LENGTH</x:t>
  </x:si>
  <x:si>
    <x:t>PAINT:</x:t>
  </x:si>
  <x:si>
    <x:t>GA.</x:t>
  </x:si>
  <x:si>
    <x:t>QTY.</x:t>
  </x:si>
  <x:si>
    <x:t>JOIST AND GIRDER SPECIAL NOTES</x:t>
  </x:si>
  <x:si>
    <x:t>NOTE #</x:t>
  </x:si>
  <x:si>
    <x:t>GIRDER SIZE</x:t>
  </x:si>
  <x:si>
    <x:t>A</x:t>
  </x:si>
  <x:si>
    <x:t>NO.</x:t>
  </x:si>
  <x:si>
    <x:t>N</x:t>
  </x:si>
  <x:si>
    <x:t>B</x:t>
  </x:si>
  <x:si>
    <x:t>BRIDGING CLIPS</x:t>
  </x:si>
  <x:si>
    <x:t>GIRDER BILL OF MATERIALS  (PART 1)</x:t>
  </x:si>
  <x:si>
    <x:t>GIRDER BILL OF MATERIALS  (PART 2)</x:t>
  </x:si>
  <x:si>
    <x:t>BRIDGING BILL OF MATERIALS</x:t>
  </x:si>
  <x:si>
    <x:t>MARK</x:t>
  </x:si>
  <x:si>
    <x:t>CAUTIONARY NOTES</x:t>
  </x:si>
  <x:si>
    <x:t>GENERAL PROJECT INFORMATION</x:t>
  </x:si>
  <x:si>
    <x:t>NMBS INTERNAL USE ONLY</x:t>
  </x:si>
  <x:si>
    <x:t>DIR.</x:t>
  </x:si>
  <x:si>
    <x:t>CAT.</x:t>
  </x:si>
  <x:si>
    <x:t>LOAD #</x:t>
  </x:si>
  <x:si>
    <x:t>VALUE</x:t>
  </x:si>
  <x:si>
    <x:t>DISTANCE</x:t>
  </x:si>
  <x:si>
    <x:t>LOAD 1</x:t>
  </x:si>
  <x:si>
    <x:t>LOAD 2</x:t>
  </x:si>
  <x:si>
    <x:t>REF.</x:t>
  </x:si>
  <x:si>
    <x:t>REMARKS</x:t>
  </x:si>
  <x:si>
    <x:t>SEQUENCE SUMMARY</x:t>
  </x:si>
  <x:si>
    <x:t>SEQ. #</x:t>
  </x:si>
  <x:si>
    <x:t>SEQUENCE KEY</x:t>
  </x:si>
  <x:si>
    <x:t xml:space="preserve">SEQUENCE </x:t>
  </x:si>
  <x:si>
    <x:t>[SPECIAL]   (LOAD)</x:t>
  </x:si>
  <x:si>
    <x:t>LOC.</x:t>
  </x:si>
  <x:si>
    <x:t>BOLT N,F,B</x:t>
  </x:si>
  <x:si>
    <x:t>JST. GA.</x:t>
  </x:si>
  <x:si>
    <x:t>GIRDERS TOTAL:</x:t>
  </x:si>
  <x:si>
    <x:t>NFB</x:t>
  </x:si>
  <x:si>
    <x:t>LOAD (KIP)</x:t>
  </x:si>
  <x:si>
    <x:t>&gt;</x:t>
  </x:si>
  <x:si>
    <x:t>&lt;</x:t>
  </x:si>
  <x:si>
    <x:t>Job Name :</x:t>
  </x:si>
  <x:si>
    <x:t>Job Location :</x:t>
  </x:si>
  <x:si>
    <x:t>Job # :</x:t>
  </x:si>
  <x:si>
    <x:t>Detailer :</x:t>
  </x:si>
  <x:si>
    <x:t>Checker :</x:t>
  </x:si>
  <x:si>
    <x:t>Date :</x:t>
  </x:si>
  <x:si>
    <x:t>Total "of" BOM :</x:t>
  </x:si>
  <x:si>
    <x:t>K</x:t>
  </x:si>
  <x:si>
    <x:t>LH</x:t>
  </x:si>
  <x:si>
    <x:t>JS</x:t>
  </x:si>
  <x:si>
    <x:t>HDR</x:t>
  </x:si>
  <x:si>
    <x:t>LOAD INFORMATION</x:t>
  </x:si>
  <x:si>
    <x:t>POS.</x:t>
  </x:si>
  <x:si>
    <x:t>JOIST "A"</x:t>
  </x:si>
  <x:si>
    <x:t>HL</x:t>
  </x:si>
  <x:si>
    <x:t>HR</x:t>
  </x:si>
  <x:si>
    <x:t>ADDITIONAL JOIST LOCATIONS  (FROM O.A.L. AT LEFT END)</x:t>
  </x:si>
  <x:si>
    <x:t>Address :</x:t>
  </x:si>
  <x:si>
    <x:t>Telephone :</x:t>
  </x:si>
  <x:si>
    <x:t>Sales Fax :</x:t>
  </x:si>
  <x:si>
    <x:t>Eng. Fax :</x:t>
  </x:si>
  <x:si>
    <x:t>Traffic Fax :</x:t>
  </x:si>
  <x:si>
    <x:t>T.C. WIDTH</x:t>
  </x:si>
  <x:si>
    <x:t>6115 County Road 42 | Butler, IN  46721 | www.newmill.com</x:t>
  </x:si>
  <x:si>
    <x:t>Total</x:t>
  </x:si>
  <x:si>
    <x:t>260-868-6000</x:t>
  </x:si>
  <x:si>
    <x:t>260-868-6002</x:t>
  </x:si>
  <x:si>
    <x:t>260-868-6003</x:t>
  </x:si>
  <x:si>
    <x:t>260-868-6004</x:t>
  </x:si>
  <x:si>
    <x:t>TELEPHONE:</x:t>
  </x:si>
  <x:si>
    <x:t>SALES FAX:</x:t>
  </x:si>
  <x:si>
    <x:t>TRAFFIC FAX:</x:t>
  </x:si>
  <x:si>
    <x:t>ENGR. FAX:</x:t>
  </x:si>
  <x:si>
    <x:t>386-466-1300</x:t>
  </x:si>
  <x:si>
    <x:t>386-466-1302</x:t>
  </x:si>
  <x:si>
    <x:t>386-466-1303</x:t>
  </x:si>
  <x:si>
    <x:t>386-466-1304</x:t>
  </x:si>
  <x:si>
    <x:t>540-389-0211</x:t>
  </x:si>
  <x:si>
    <x:t>800-543-9461</x:t>
  </x:si>
  <x:si>
    <x:t>540-387-2319</x:t>
  </x:si>
  <x:si>
    <x:t>540-375-4553</x:t>
  </x:si>
  <x:si>
    <x:t>SPACING
"C"</x:t>
  </x:si>
  <x:si>
    <x:t>ELEV.
"D"</x:t>
  </x:si>
  <x:si>
    <x:t>SLOPE
1</x:t>
  </x:si>
  <x:si>
    <x:t>SLOPE
2</x:t>
  </x:si>
  <x:si>
    <x:t>SEAT SLOPE</x:t>
  </x:si>
  <x:si>
    <x:t>L</x:t>
  </x:si>
  <x:si>
    <x:t>R</x:t>
  </x:si>
  <x:si>
    <x:t>CJ</x:t>
  </x:si>
  <x:si>
    <x:t>CJ:</x:t>
  </x:si>
  <x:si>
    <x:t/>
  </x:si>
  <x:si>
    <x:t>Master</x:t>
  </x:si>
  <x:si>
    <x:t>M</x:t>
  </x:si>
  <x:si>
    <x:t>View of BOM to be displayed:</x:t>
  </x:si>
  <x:si>
    <x:t>COLOR TAG</x:t>
  </x:si>
  <x:si>
    <x:t>WHT</x:t>
  </x:si>
  <x:si>
    <x:t>BRN</x:t>
  </x:si>
  <x:si>
    <x:t>ORG</x:t>
  </x:si>
  <x:si>
    <x:t>BLU</x:t>
  </x:si>
  <x:si>
    <x:t>GRN</x:t>
  </x:si>
  <x:si>
    <x:t>YLW</x:t>
  </x:si>
  <x:si>
    <x:t>PRP</x:t>
  </x:si>
  <x:si>
    <x:t>RED</x:t>
  </x:si>
  <x:si>
    <x:t>BLK</x:t>
  </x:si>
  <x:si>
    <x:t>QTY</x:t>
  </x:si>
  <x:si>
    <x:t># Views:</x:t>
  </x:si>
  <x:si>
    <x:t># Unreleased:</x:t>
  </x:si>
  <x:si>
    <x:t>White</x:t>
  </x:si>
  <x:si>
    <x:t>Brown</x:t>
  </x:si>
  <x:si>
    <x:t>Orange</x:t>
  </x:si>
  <x:si>
    <x:t>Blue</x:t>
  </x:si>
  <x:si>
    <x:t>Green</x:t>
  </x:si>
  <x:si>
    <x:t>Yellow</x:t>
  </x:si>
  <x:si>
    <x:t>Purple</x:t>
  </x:si>
  <x:si>
    <x:t>Red</x:t>
  </x:si>
  <x:si>
    <x:t>Black</x:t>
  </x:si>
  <x:si>
    <x:t>WL</x:t>
  </x:si>
  <x:si>
    <x:t>BE</x:t>
  </x:si>
  <x:si>
    <x:t>NU</x:t>
  </x:si>
  <x:si>
    <x:t>TC</x:t>
  </x:si>
  <x:si>
    <x:t>C3</x:t>
  </x:si>
  <x:si>
    <x:t>TL</x:t>
  </x:si>
  <x:si>
    <x:t>C</x:t>
  </x:si>
  <x:si>
    <x:t>40LH09</x:t>
  </x:si>
  <x:si>
    <x:t>28K12</x:t>
  </x:si>
  <x:si>
    <x:t>U</x:t>
  </x:si>
  <x:si>
    <x:t>GU</x:t>
  </x:si>
  <x:si>
    <x:t>CB</x:t>
  </x:si>
  <x:si>
    <x:t>CP</x:t>
  </x:si>
  <x:si>
    <x:t>CA</x:t>
  </x:si>
  <x:si>
    <x:t>CZ</x:t>
  </x:si>
  <x:si>
    <x:t>AX</x:t>
  </x:si>
  <x:si>
    <x:t>S</x:t>
  </x:si>
  <x:si>
    <x:t>BC</x:t>
  </x:si>
  <x:si>
    <x:t>XL</x:t>
  </x:si>
  <x:si>
    <x:t>XR</x:t>
  </x:si>
  <x:si>
    <x:t>DL</x:t>
  </x:si>
  <x:si>
    <x:t>LL</x:t>
  </x:si>
  <x:si>
    <x:t>SL</x:t>
  </x:si>
  <x:si>
    <x:t>CL</x:t>
  </x:si>
  <x:si>
    <x:t>IP</x:t>
  </x:si>
  <x:si>
    <x:t>SM</x:t>
  </x:si>
  <x:si>
    <x:t>LE</x:t>
  </x:si>
  <x:si>
    <x:t>RE</x:t>
  </x:si>
  <x:si>
    <x:t>Rel?</x:t>
  </x:si>
  <x:si>
    <x:t>Depth</x:t>
  </x:si>
  <x:si>
    <x:t>Series</x:t>
  </x:si>
  <x:si>
    <x:t>Section</x:t>
  </x:si>
  <x:si>
    <x:t>HL Ok?</x:t>
  </x:si>
  <x:si>
    <x:t>12K3</x:t>
  </x:si>
  <x:si>
    <x:t>BL</x:t>
  </x:si>
  <x:si>
    <x:t>BR</x:t>
  </x:si>
  <x:si>
    <x:t>HR Ok?</x:t>
  </x:si>
  <x:si>
    <x:t>Des. Ok?</x:t>
  </x:si>
  <x:si>
    <x:t>2.5K1</x:t>
  </x:si>
  <x:si>
    <x:t>2.5K2</x:t>
  </x:si>
  <x:si>
    <x:t>2.5K3</x:t>
  </x:si>
  <x:si>
    <x:t>2.5JS1</x:t>
  </x:si>
  <x:si>
    <x:t>2.5JS2</x:t>
  </x:si>
  <x:si>
    <x:t>2.5JS3</x:t>
  </x:si>
  <x:si>
    <x:t>2.5JS4</x:t>
  </x:si>
  <x:si>
    <x:t>2.5JS5</x:t>
  </x:si>
  <x:si>
    <x:t>2.5JS6</x:t>
  </x:si>
  <x:si>
    <x:t>2.5JS7</x:t>
  </x:si>
  <x:si>
    <x:t>2.5JS8</x:t>
  </x:si>
  <x:si>
    <x:t>8K1</x:t>
  </x:si>
  <x:si>
    <x:t>10K1</x:t>
  </x:si>
  <x:si>
    <x:t>12K1</x:t>
  </x:si>
  <x:si>
    <x:t>12K5</x:t>
  </x:si>
  <x:si>
    <x:t>14K1</x:t>
  </x:si>
  <x:si>
    <x:t>14K3</x:t>
  </x:si>
  <x:si>
    <x:t>14K4</x:t>
  </x:si>
  <x:si>
    <x:t>14K6</x:t>
  </x:si>
  <x:si>
    <x:t>16K2</x:t>
  </x:si>
  <x:si>
    <x:t>16K3</x:t>
  </x:si>
  <x:si>
    <x:t>16K4</x:t>
  </x:si>
  <x:si>
    <x:t>16K5</x:t>
  </x:si>
  <x:si>
    <x:t>16K6</x:t>
  </x:si>
  <x:si>
    <x:t>16K7</x:t>
  </x:si>
  <x:si>
    <x:t>16K9</x:t>
  </x:si>
  <x:si>
    <x:t>18K3</x:t>
  </x:si>
  <x:si>
    <x:t>18K4</x:t>
  </x:si>
  <x:si>
    <x:t>18K5</x:t>
  </x:si>
  <x:si>
    <x:t>18K6</x:t>
  </x:si>
  <x:si>
    <x:t>18K7</x:t>
  </x:si>
  <x:si>
    <x:t>18K9</x:t>
  </x:si>
  <x:si>
    <x:t>18K10</x:t>
  </x:si>
  <x:si>
    <x:t>20K3</x:t>
  </x:si>
  <x:si>
    <x:t>20K4</x:t>
  </x:si>
  <x:si>
    <x:t>20K5</x:t>
  </x:si>
  <x:si>
    <x:t>20K6</x:t>
  </x:si>
  <x:si>
    <x:t>20K7</x:t>
  </x:si>
  <x:si>
    <x:t>20K9</x:t>
  </x:si>
  <x:si>
    <x:t>20K10</x:t>
  </x:si>
  <x:si>
    <x:t>22K4</x:t>
  </x:si>
  <x:si>
    <x:t>22K5</x:t>
  </x:si>
  <x:si>
    <x:t>22K6</x:t>
  </x:si>
  <x:si>
    <x:t>22K7</x:t>
  </x:si>
  <x:si>
    <x:t>22K9</x:t>
  </x:si>
  <x:si>
    <x:t>22K10</x:t>
  </x:si>
  <x:si>
    <x:t>22K11</x:t>
  </x:si>
  <x:si>
    <x:t>24K4</x:t>
  </x:si>
  <x:si>
    <x:t>24K5</x:t>
  </x:si>
  <x:si>
    <x:t>24K6</x:t>
  </x:si>
  <x:si>
    <x:t>24K7</x:t>
  </x:si>
  <x:si>
    <x:t>24K8</x:t>
  </x:si>
  <x:si>
    <x:t>24K9</x:t>
  </x:si>
  <x:si>
    <x:t>24K10</x:t>
  </x:si>
  <x:si>
    <x:t>24K12</x:t>
  </x:si>
  <x:si>
    <x:t>26K5</x:t>
  </x:si>
  <x:si>
    <x:t>26K6</x:t>
  </x:si>
  <x:si>
    <x:t>26K7</x:t>
  </x:si>
  <x:si>
    <x:t>26K8</x:t>
  </x:si>
  <x:si>
    <x:t>26K9</x:t>
  </x:si>
  <x:si>
    <x:t>26K10</x:t>
  </x:si>
  <x:si>
    <x:t>26K12</x:t>
  </x:si>
  <x:si>
    <x:t>28K6</x:t>
  </x:si>
  <x:si>
    <x:t>28K7</x:t>
  </x:si>
  <x:si>
    <x:t>28K8</x:t>
  </x:si>
  <x:si>
    <x:t>28K9</x:t>
  </x:si>
  <x:si>
    <x:t>28K10</x:t>
  </x:si>
  <x:si>
    <x:t>30K7</x:t>
  </x:si>
  <x:si>
    <x:t>30K8</x:t>
  </x:si>
  <x:si>
    <x:t>30K9</x:t>
  </x:si>
  <x:si>
    <x:t>30K10</x:t>
  </x:si>
  <x:si>
    <x:t>30K11</x:t>
  </x:si>
  <x:si>
    <x:t>30K12</x:t>
  </x:si>
  <x:si>
    <x:t>18LH02</x:t>
  </x:si>
  <x:si>
    <x:t>18LH03</x:t>
  </x:si>
  <x:si>
    <x:t>18LH04</x:t>
  </x:si>
  <x:si>
    <x:t>18LH05</x:t>
  </x:si>
  <x:si>
    <x:t>18LH06</x:t>
  </x:si>
  <x:si>
    <x:t>18LH07</x:t>
  </x:si>
  <x:si>
    <x:t>18LH08</x:t>
  </x:si>
  <x:si>
    <x:t>18LH09</x:t>
  </x:si>
  <x:si>
    <x:t>20LH02</x:t>
  </x:si>
  <x:si>
    <x:t>20LH03</x:t>
  </x:si>
  <x:si>
    <x:t>20LH04</x:t>
  </x:si>
  <x:si>
    <x:t>20LH05</x:t>
  </x:si>
  <x:si>
    <x:t>20LH06</x:t>
  </x:si>
  <x:si>
    <x:t>20LH07</x:t>
  </x:si>
  <x:si>
    <x:t>20LH08</x:t>
  </x:si>
  <x:si>
    <x:t>20LH09</x:t>
  </x:si>
  <x:si>
    <x:t>20LH10</x:t>
  </x:si>
  <x:si>
    <x:t>24LH03</x:t>
  </x:si>
  <x:si>
    <x:t>24LH04</x:t>
  </x:si>
  <x:si>
    <x:t>24LH05</x:t>
  </x:si>
  <x:si>
    <x:t>24LH06</x:t>
  </x:si>
  <x:si>
    <x:t>24LH07</x:t>
  </x:si>
  <x:si>
    <x:t>24LH08</x:t>
  </x:si>
  <x:si>
    <x:t>24LH09</x:t>
  </x:si>
  <x:si>
    <x:t>24LH10</x:t>
  </x:si>
  <x:si>
    <x:t>24LH11</x:t>
  </x:si>
  <x:si>
    <x:t>28LH05</x:t>
  </x:si>
  <x:si>
    <x:t>28LH06</x:t>
  </x:si>
  <x:si>
    <x:t>28LH07</x:t>
  </x:si>
  <x:si>
    <x:t>28LH08</x:t>
  </x:si>
  <x:si>
    <x:t>28LH09</x:t>
  </x:si>
  <x:si>
    <x:t>28LH10</x:t>
  </x:si>
  <x:si>
    <x:t>28LH11</x:t>
  </x:si>
  <x:si>
    <x:t>28LH12</x:t>
  </x:si>
  <x:si>
    <x:t>28LH13</x:t>
  </x:si>
  <x:si>
    <x:t>32LH06</x:t>
  </x:si>
  <x:si>
    <x:t>32LH07</x:t>
  </x:si>
  <x:si>
    <x:t>32LH08</x:t>
  </x:si>
  <x:si>
    <x:t>32LH09</x:t>
  </x:si>
  <x:si>
    <x:t>32LH10</x:t>
  </x:si>
  <x:si>
    <x:t>32LH11</x:t>
  </x:si>
  <x:si>
    <x:t>32LH12</x:t>
  </x:si>
  <x:si>
    <x:t>32LH13</x:t>
  </x:si>
  <x:si>
    <x:t>32LH14</x:t>
  </x:si>
  <x:si>
    <x:t>32LH15</x:t>
  </x:si>
  <x:si>
    <x:t>36LH07</x:t>
  </x:si>
  <x:si>
    <x:t>36LH08</x:t>
  </x:si>
  <x:si>
    <x:t>36LH09</x:t>
  </x:si>
  <x:si>
    <x:t>36LH10</x:t>
  </x:si>
  <x:si>
    <x:t>36LH11</x:t>
  </x:si>
  <x:si>
    <x:t>36LH12</x:t>
  </x:si>
  <x:si>
    <x:t>36LH13</x:t>
  </x:si>
  <x:si>
    <x:t>36LH14</x:t>
  </x:si>
  <x:si>
    <x:t>36LH15</x:t>
  </x:si>
  <x:si>
    <x:t>40LH08</x:t>
  </x:si>
  <x:si>
    <x:t>40LH10</x:t>
  </x:si>
  <x:si>
    <x:t>40LH11</x:t>
  </x:si>
  <x:si>
    <x:t>40LH12</x:t>
  </x:si>
  <x:si>
    <x:t>40LH13</x:t>
  </x:si>
  <x:si>
    <x:t>40LH14</x:t>
  </x:si>
  <x:si>
    <x:t>40LH15</x:t>
  </x:si>
  <x:si>
    <x:t>40LH16</x:t>
  </x:si>
  <x:si>
    <x:t>44LH09</x:t>
  </x:si>
  <x:si>
    <x:t>44LH10</x:t>
  </x:si>
  <x:si>
    <x:t>44LH11</x:t>
  </x:si>
  <x:si>
    <x:t>44LH12</x:t>
  </x:si>
  <x:si>
    <x:t>44LH13</x:t>
  </x:si>
  <x:si>
    <x:t>44LH14</x:t>
  </x:si>
  <x:si>
    <x:t>44LH15</x:t>
  </x:si>
  <x:si>
    <x:t>44LH16</x:t>
  </x:si>
  <x:si>
    <x:t>44LH17</x:t>
  </x:si>
  <x:si>
    <x:t>48LH10</x:t>
  </x:si>
  <x:si>
    <x:t>48LH11</x:t>
  </x:si>
  <x:si>
    <x:t>48LH12</x:t>
  </x:si>
  <x:si>
    <x:t>48LH13</x:t>
  </x:si>
  <x:si>
    <x:t>48LH14</x:t>
  </x:si>
  <x:si>
    <x:t>48LH15</x:t>
  </x:si>
  <x:si>
    <x:t>48LH16</x:t>
  </x:si>
  <x:si>
    <x:t>48LH17</x:t>
  </x:si>
  <x:si>
    <x:t>52DLH10</x:t>
  </x:si>
  <x:si>
    <x:t>52DLH11</x:t>
  </x:si>
  <x:si>
    <x:t>52DLH12</x:t>
  </x:si>
  <x:si>
    <x:t>52DLH13</x:t>
  </x:si>
  <x:si>
    <x:t>52DLH14</x:t>
  </x:si>
  <x:si>
    <x:t>52DLH15</x:t>
  </x:si>
  <x:si>
    <x:t>52DLH16</x:t>
  </x:si>
  <x:si>
    <x:t>52DLH17</x:t>
  </x:si>
  <x:si>
    <x:t>56DLH11</x:t>
  </x:si>
  <x:si>
    <x:t>56DLH12</x:t>
  </x:si>
  <x:si>
    <x:t>56DLH13</x:t>
  </x:si>
  <x:si>
    <x:t>56DLH14</x:t>
  </x:si>
  <x:si>
    <x:t>56DLH15</x:t>
  </x:si>
  <x:si>
    <x:t>56DLH16</x:t>
  </x:si>
  <x:si>
    <x:t>56DLH17</x:t>
  </x:si>
  <x:si>
    <x:t>60DLH12</x:t>
  </x:si>
  <x:si>
    <x:t>60DLH13</x:t>
  </x:si>
  <x:si>
    <x:t>60DLH14</x:t>
  </x:si>
  <x:si>
    <x:t>60DLH15</x:t>
  </x:si>
  <x:si>
    <x:t>60DLH16</x:t>
  </x:si>
  <x:si>
    <x:t>60DLH17</x:t>
  </x:si>
  <x:si>
    <x:t>60DLH18</x:t>
  </x:si>
  <x:si>
    <x:t>64DLH12</x:t>
  </x:si>
  <x:si>
    <x:t>64DLH13</x:t>
  </x:si>
  <x:si>
    <x:t>64DLH14</x:t>
  </x:si>
  <x:si>
    <x:t>64DLH15</x:t>
  </x:si>
  <x:si>
    <x:t>64DLH16</x:t>
  </x:si>
  <x:si>
    <x:t>64DLH17</x:t>
  </x:si>
  <x:si>
    <x:t>64DLH18</x:t>
  </x:si>
  <x:si>
    <x:t>68DLH13</x:t>
  </x:si>
  <x:si>
    <x:t>68DLH14</x:t>
  </x:si>
  <x:si>
    <x:t>68DLH15</x:t>
  </x:si>
  <x:si>
    <x:t>68DLH16</x:t>
  </x:si>
  <x:si>
    <x:t>68DLH17</x:t>
  </x:si>
  <x:si>
    <x:t>68DLH18</x:t>
  </x:si>
  <x:si>
    <x:t>68DLH19</x:t>
  </x:si>
  <x:si>
    <x:t>72DLH14</x:t>
  </x:si>
  <x:si>
    <x:t>72DLH15</x:t>
  </x:si>
  <x:si>
    <x:t>72DLH16</x:t>
  </x:si>
  <x:si>
    <x:t>72DLH17</x:t>
  </x:si>
  <x:si>
    <x:t>72DLH18</x:t>
  </x:si>
  <x:si>
    <x:t>72DLH19</x:t>
  </x:si>
  <x:si>
    <x:t>10KCS1</x:t>
  </x:si>
  <x:si>
    <x:t>10KCS2</x:t>
  </x:si>
  <x:si>
    <x:t>10KCS3</x:t>
  </x:si>
  <x:si>
    <x:t>12KCS1</x:t>
  </x:si>
  <x:si>
    <x:t>12KCS2</x:t>
  </x:si>
  <x:si>
    <x:t>12KCS3</x:t>
  </x:si>
  <x:si>
    <x:t>14KCS1</x:t>
  </x:si>
  <x:si>
    <x:t>14KCS2</x:t>
  </x:si>
  <x:si>
    <x:t>14KCS3</x:t>
  </x:si>
  <x:si>
    <x:t>16KCS2</x:t>
  </x:si>
  <x:si>
    <x:t>16KCS3</x:t>
  </x:si>
  <x:si>
    <x:t>16KCS4</x:t>
  </x:si>
  <x:si>
    <x:t>16KCS5</x:t>
  </x:si>
  <x:si>
    <x:t>18KCS2</x:t>
  </x:si>
  <x:si>
    <x:t>18KCS3</x:t>
  </x:si>
  <x:si>
    <x:t>18KCS4</x:t>
  </x:si>
  <x:si>
    <x:t>18KCS5</x:t>
  </x:si>
  <x:si>
    <x:t>20KCS2</x:t>
  </x:si>
  <x:si>
    <x:t>20KCS3</x:t>
  </x:si>
  <x:si>
    <x:t>20KCS4</x:t>
  </x:si>
  <x:si>
    <x:t>20KCS5</x:t>
  </x:si>
  <x:si>
    <x:t>22KCS2</x:t>
  </x:si>
  <x:si>
    <x:t>22KCS3</x:t>
  </x:si>
  <x:si>
    <x:t>22KCS4</x:t>
  </x:si>
  <x:si>
    <x:t>22KCS5</x:t>
  </x:si>
  <x:si>
    <x:t>24KCS2</x:t>
  </x:si>
  <x:si>
    <x:t>24KCS3</x:t>
  </x:si>
  <x:si>
    <x:t>24KCS4</x:t>
  </x:si>
  <x:si>
    <x:t>24KCS5</x:t>
  </x:si>
  <x:si>
    <x:t>26KCS2</x:t>
  </x:si>
  <x:si>
    <x:t>26KCS3</x:t>
  </x:si>
  <x:si>
    <x:t>26KCS4</x:t>
  </x:si>
  <x:si>
    <x:t>26KCS5</x:t>
  </x:si>
  <x:si>
    <x:t>28KCS2</x:t>
  </x:si>
  <x:si>
    <x:t>28KCS3</x:t>
  </x:si>
  <x:si>
    <x:t>28KCS4</x:t>
  </x:si>
  <x:si>
    <x:t>28KCS5</x:t>
  </x:si>
  <x:si>
    <x:t>30KCS3</x:t>
  </x:si>
  <x:si>
    <x:t>30KCS4</x:t>
  </x:si>
  <x:si>
    <x:t>30KCS5</x:t>
  </x:si>
  <x:si>
    <x:t>KCS</x:t>
  </x:si>
  <x:si>
    <x:t>DLH</x:t>
  </x:si>
  <x:si>
    <x:t>SLH</x:t>
  </x:si>
  <x:si>
    <x:t># of N's</x:t>
  </x:si>
  <x:si>
    <x:t>Load</x:t>
  </x:si>
  <x:si>
    <x:t>Uplift</x:t>
  </x:si>
  <x:si>
    <x:t>If This is a Master Summary sheet, These quantities are the total quanities released.
If this is a Partial Release Summary, these quantities are the maximum that can be released.</x:t>
  </x:si>
  <x:si>
    <x:t>Date:</x:t>
  </x:si>
  <x:si>
    <x:t>Discrepancy Report based on</x:t>
  </x:si>
  <x:si>
    <x:t>Contract Dwg Date:</x:t>
  </x:si>
  <x:si>
    <x:t>Approval</x:t>
  </x:si>
  <x:si>
    <x:t>Specs:</x:t>
  </x:si>
  <x:si>
    <x:t>Drawings and BOMs</x:t>
  </x:si>
  <x:si>
    <x:t>Addenda:</x:t>
  </x:si>
  <x:si>
    <x:t>DTLR:</x:t>
  </x:si>
  <x:si>
    <x:t>CHKR:</x:t>
  </x:si>
  <x:si>
    <x:t>Field Use</x:t>
  </x:si>
  <x:si>
    <x:t>No</x:t>
  </x:si>
  <x:si>
    <x:t>Yes</x:t>
  </x:si>
  <x:si>
    <x:t>Specs?</x:t>
  </x:si>
  <x:si>
    <x:t>Sequence List</x:t>
  </x:si>
  <x:si>
    <x:t>Revised Field Use</x:t>
  </x:si>
  <x:si>
    <x:t>Joist/Girder Discrepancy Report</x:t>
  </x:si>
  <x:si>
    <x:t>LH/DLH</x:t>
  </x:si>
  <x:si>
    <x:t>G</x:t>
  </x:si>
  <x:si>
    <x:t>BRDG</x:t>
  </x:si>
  <x:si>
    <x:t>Dtl'd</x:t>
  </x:si>
  <x:si>
    <x:t>Left to Rel.</x:t>
  </x:si>
  <x:si>
    <x:t>Sequence Breakdown of Total Quantities and Quantities Left to Release</x:t>
  </x:si>
  <x:si>
    <x:t>Joist/Girder Discrepancy Report - Page #2</x:t>
  </x:si>
  <x:si>
    <x:t>Total Quantity Detailed</x:t>
  </x:si>
  <x:si>
    <x:t>Total Quantity  Released</x:t>
  </x:si>
  <x:si>
    <x:t>Sold</x:t>
  </x:si>
  <x:si>
    <x:t>Over/Under</x:t>
  </x:si>
  <x:si>
    <x:t>Total Pcs Sold</x:t>
  </x:si>
  <x:si>
    <x:t>Joist/Girder Discrepancy Report - Page #3</x:t>
  </x:si>
  <x:si>
    <x:t>Joist Type (for discrepancy reporting)</x:t>
  </x:si>
  <x:si>
    <x:t>Series (broken down due to limitations of parenthesis nesting within Excel)</x:t>
  </x:si>
  <x:si>
    <x:t>Release Name</x:t>
  </x:si>
  <x:si>
    <x:t>Rel. for Fab.</x:t>
  </x:si>
  <x:si>
    <x:t>Partial Release</x:t>
  </x:si>
  <x:si>
    <x:t>Mem Type</x:t>
  </x:si>
  <x:si>
    <x:t>Release Error?</x:t>
  </x:si>
  <x:si>
    <x:t>Last Qty of K</x:t>
  </x:si>
  <x:si>
    <x:t>Last Qty of LH</x:t>
  </x:si>
  <x:si>
    <x:t>Last Qty of G</x:t>
  </x:si>
  <x:si>
    <x:t>Last Qty of JS</x:t>
  </x:si>
  <x:si>
    <x:t>JDS in Control:</x:t>
  </x:si>
  <x:si>
    <x:t>Length</x:t>
  </x:si>
  <x:si>
    <x:t>(Min)</x:t>
  </x:si>
  <x:si>
    <x:t>gage</x:t>
  </x:si>
  <x:si>
    <x:t>Slot W</x:t>
  </x:si>
  <x:si>
    <x:t>Slot L</x:t>
  </x:si>
  <x:si>
    <x:t>TCX Calc Code</x:t>
  </x:si>
  <x:si>
    <x:t>Min. Seat Slope</x:t>
  </x:si>
  <x:si>
    <x:t>Left (Tag) End Information</x:t>
  </x:si>
  <x:si>
    <x:t>Right End Information</x:t>
  </x:si>
  <x:si>
    <x:t>Tag (Left) End Information</x:t>
  </x:si>
  <x:si>
    <x:t>Min. Seat Depth @ High End</x:t>
  </x:si>
  <x:si>
    <x:t>TE Seat Slope (Rad)</x:t>
  </x:si>
  <x:si>
    <x:t>TE Seat Kick</x:t>
  </x:si>
  <x:si>
    <x:t>RE Seat Slope (Rad)</x:t>
  </x:si>
  <x:si>
    <x:t>RE Seat Kick</x:t>
  </x:si>
  <x:si>
    <x:t>Length Calc for min slopes</x:t>
  </x:si>
  <x:si>
    <x:t>Girder Size</x:t>
  </x:si>
  <x:si>
    <x:t>Girder "Bay Length"</x:t>
  </x:si>
  <x:si>
    <x:t>Notes</x:t>
  </x:si>
  <x:si>
    <x:t>Girder TC Width</x:t>
  </x:si>
  <x:si>
    <x:t>Min. BDL @ Bay Length</x:t>
  </x:si>
  <x:si>
    <x:t>Min. BDR @ Bay Length</x:t>
  </x:si>
  <x:si>
    <x:t># of Lines or spacing</x:t>
  </x:si>
  <x:si>
    <x:t>PP Spacing</x:t>
  </x:si>
  <x:si>
    <x:t>Sum of Spa on Slope</x:t>
  </x:si>
  <x:si>
    <x:t>Calc'd Qty of "N"</x:t>
  </x:si>
  <x:si>
    <x:t>Skew Ang.</x:t>
  </x:si>
  <x:si>
    <x:t>SPA</x:t>
  </x:si>
  <x:si>
    <x:t>"X" TO WRAP PP DIM</x:t>
  </x:si>
  <x:si>
    <x:t>Joist Slope (radians)</x:t>
  </x:si>
  <x:si>
    <x:t>a</x:t>
  </x:si>
  <x:si>
    <x:t>n</x:t>
  </x:si>
  <x:si>
    <x:t>spa</x:t>
  </x:si>
  <x:si>
    <x:t>b</x:t>
  </x:si>
  <x:si>
    <x:t>Bay Remaining</x:t>
  </x:si>
  <x:si>
    <x:t>Bay Length</x:t>
  </x:si>
  <x:si>
    <x:t>Sect Type</x:t>
  </x:si>
  <x:si>
    <x:t>O.L. +/-</x:t>
  </x:si>
  <x:si>
    <x:t>TCXL Type</x:t>
  </x:si>
  <x:si>
    <x:t>BD</x:t>
  </x:si>
  <x:si>
    <x:t>Hole Loc.</x:t>
  </x:si>
  <x:si>
    <x:t>Edge/ Cap Pl</x:t>
  </x:si>
  <x:si>
    <x:t>Bearing Slope</x:t>
  </x:si>
  <x:si>
    <x:t>TCXR Type</x:t>
  </x:si>
  <x:si>
    <x:t>OAL</x:t>
  </x:si>
  <x:si>
    <x:t>BDL @ Base Length</x:t>
  </x:si>
  <x:si>
    <x:t>BDR @ Base Length</x:t>
  </x:si>
  <x:si>
    <x:t>L. Brg Width</x:t>
  </x:si>
  <x:si>
    <x:t>L. Clear Brg</x:t>
  </x:si>
  <x:si>
    <x:t>R. Brg Width</x:t>
  </x:si>
  <x:si>
    <x:t>R. Clear Brg</x:t>
  </x:si>
  <x:si>
    <x:t>plan TCXL</x:t>
  </x:si>
  <x:si>
    <x:t>sloping TCXL</x:t>
  </x:si>
  <x:si>
    <x:t>plan TCXR</x:t>
  </x:si>
  <x:si>
    <x:t>sloping TCXR</x:t>
  </x:si>
  <x:si>
    <x:t>Base</x:t>
  </x:si>
  <x:si>
    <x:t>TCA</x:t>
  </x:si>
  <x:si>
    <x:t>BCA</x:t>
  </x:si>
  <x:si>
    <x:t>TE</x:t>
  </x:si>
  <x:si>
    <x:t>min</x:t>
  </x:si>
  <x:si>
    <x:t>max</x:t>
  </x:si>
  <x:si>
    <x:t>Gap</x:t>
  </x:si>
  <x:si>
    <x:t>Bridging Calculations</x:t>
  </x:si>
  <x:si>
    <x:t>TE Flg Ga Min</x:t>
  </x:si>
  <x:si>
    <x:t>TE Flg Ga Max</x:t>
  </x:si>
  <x:si>
    <x:t>Avg. Flange Gage @ TE</x:t>
  </x:si>
  <x:si>
    <x:t>RE Flg Ga Min</x:t>
  </x:si>
  <x:si>
    <x:t>RE Flg Ga Max</x:t>
  </x:si>
  <x:si>
    <x:t>Avg. Flange Gage @ RE</x:t>
  </x:si>
  <x:si>
    <x:t>TE Brg Slope (Rad)</x:t>
  </x:si>
  <x:si>
    <x:t>TE Seat Slope (in/ft)</x:t>
  </x:si>
  <x:si>
    <x:t>RE Brg Slope (Rad)</x:t>
  </x:si>
  <x:si>
    <x:t>RE Seat Slope (in/ft)</x:t>
  </x:si>
  <x:si>
    <x:t>Total Rows Req'd</x:t>
  </x:si>
  <x:si>
    <x:t>Rows of EB</x:t>
  </x:si>
  <x:si>
    <x:t>Max. EB Span</x:t>
  </x:si>
  <x:si>
    <x:t>EB Reqd</x:t>
  </x:si>
  <x:si>
    <x:t>Joist Mark</x:t>
  </x:si>
  <x:si>
    <x:t>Joist Size</x:t>
  </x:si>
  <x:si>
    <x:t>Bolt "X"</x:t>
  </x:si>
  <x:si>
    <x:t>EB Span</x:t>
  </x:si>
  <x:si>
    <x:t>L. Skew Rad</x:t>
  </x:si>
  <x:si>
    <x:t>R. Skew Rad</x:t>
  </x:si>
  <x:si>
    <x:t>HL norm to support</x:t>
  </x:si>
  <x:si>
    <x:t>Calc. HL</x:t>
  </x:si>
  <x:si>
    <x:t>Logical HL</x:t>
  </x:si>
  <x:si>
    <x:t>BOM HL</x:t>
  </x:si>
  <x:si>
    <x:t>Calc. HR</x:t>
  </x:si>
  <x:si>
    <x:t>Logical HR</x:t>
  </x:si>
  <x:si>
    <x:t>BOM HR</x:t>
  </x:si>
  <x:si>
    <x:t>T.C. Slope (X"/Ft.)</x:t>
  </x:si>
  <x:si>
    <x:t>Special</x:t>
  </x:si>
  <x:si>
    <x:t>Min</x:t>
  </x:si>
  <x:si>
    <x:t>Max</x:t>
  </x:si>
  <x:si>
    <x:t>Sect #</x:t>
  </x:si>
  <x:si>
    <x:t>Support Type</x:t>
  </x:si>
  <x:si>
    <x:t>End of Joist</x:t>
  </x:si>
  <x:si>
    <x:t>TCX Type</x:t>
  </x:si>
  <x:si>
    <x:t>BCX</x:t>
  </x:si>
  <x:si>
    <x:t>Support Type "C" - Columns</x:t>
  </x:si>
  <x:si>
    <x:t>Support Type "B" - Beams</x:t>
  </x:si>
  <x:si>
    <x:t>Support Type "G" - Girders</x:t>
  </x:si>
  <x:si>
    <x:t>Support Type "M" - Masonry</x:t>
  </x:si>
  <x:si>
    <x:t>Support Gages</x:t>
  </x:si>
  <x:si>
    <x:t>Girder</x:t>
  </x:si>
  <x:si>
    <x:t>Beam</x:t>
  </x:si>
  <x:si>
    <x:t>HR norm to support</x:t>
  </x:si>
  <x:si>
    <x:t>Joist Standards</x:t>
  </x:si>
  <x:si>
    <x:t>Joist Type</x:t>
  </x:si>
  <x:si>
    <x:t>Min Brg</x:t>
  </x:si>
  <x:si>
    <x:t>Seat Length</x:t>
  </x:si>
  <x:si>
    <x:t>Slot Length</x:t>
  </x:si>
  <x:si>
    <x:t>Slot Width</x:t>
  </x:si>
  <x:si>
    <x:t>K Series</x:t>
  </x:si>
  <x:si>
    <x:t>/Foot.</x:t>
  </x:si>
  <x:si>
    <x:t>Seat Depth</x:t>
  </x:si>
  <x:si>
    <x:t>BCX Type</x:t>
  </x:si>
  <x:si>
    <x:t>Hole
Ga</x:t>
  </x:si>
  <x:si>
    <x:t>Seat
Gage</x:t>
  </x:si>
  <x:si>
    <x:t>BOM Hole Gage</x:t>
  </x:si>
  <x:si>
    <x:t>Std.Hole Gage</x:t>
  </x:si>
  <x:si>
    <x:t>BOM TE Seat Slope (in/ft)</x:t>
  </x:si>
  <x:si>
    <x:t>BOM RE Seat Slope (in/ft)</x:t>
  </x:si>
  <x:si>
    <x:t>Left End</x:t>
  </x:si>
  <x:si>
    <x:t>Right End</x:t>
  </x:si>
  <x:si>
    <x:t>Unequal Gage</x:t>
  </x:si>
  <x:si>
    <x:t>Seat Slot Warnings</x:t>
  </x:si>
  <x:si>
    <x:t>Severe Skew</x:t>
  </x:si>
  <x:si>
    <x:t>Brg L</x:t>
  </x:si>
  <x:si>
    <x:t>Brg R</x:t>
  </x:si>
  <x:si>
    <x:t>User Input Area</x:t>
  </x:si>
  <x:si>
    <x:t>Hole Location</x:t>
  </x:si>
  <x:si>
    <x:t>Clear Bearing</x:t>
  </x:si>
  <x:si>
    <x:t>Beam Width
Min. / Max.</x:t>
  </x:si>
  <x:si>
    <x:t>Flange Gage
Min. / Max.</x:t>
  </x:si>
  <x:si>
    <x:t>GirderMark</x:t>
  </x:si>
  <x:si>
    <x:t>Location</x:t>
  </x:si>
  <x:si>
    <x:t>Bolt
N/F/B</x:t>
  </x:si>
  <x:si>
    <x:t>Load
(Kip)</x:t>
  </x:si>
  <x:si>
    <x:t>OSHA
Holes
N/F/B</x:t>
  </x:si>
  <x:si>
    <x:t>Girder
TC GA</x:t>
  </x:si>
  <x:si>
    <x:t>TC
Hole
X/16"</x:t>
  </x:si>
  <x:si>
    <x:t>Joist
Ga</x:t>
  </x:si>
  <x:si>
    <x:t>TC End Hole</x:t>
  </x:si>
  <x:si>
    <x:t>Left</x:t>
  </x:si>
  <x:si>
    <x:t>Right</x:t>
  </x:si>
  <x:si>
    <x:t>In/"#xx"</x:t>
  </x:si>
  <x:si>
    <x:t>Load
(Kips)</x:t>
  </x:si>
  <x:si>
    <x:t>Additional Joist Locations
All Locations from Left Reference ("Bay") Point (CL Column/Beam or Face of CMU)</x:t>
  </x:si>
  <x:si>
    <x:t>Section
Number</x:t>
  </x:si>
  <x:si>
    <x:t>Brg
Slope</x:t>
  </x:si>
  <x:si>
    <x:t>Girder
Mark</x:t>
  </x:si>
  <x:si>
    <x:t>Left End Information</x:t>
  </x:si>
  <x:si>
    <x:t>Short Bearing
Warning</x:t>
  </x:si>
  <x:si>
    <x:t>CALCULATED P.P. PLAN SPACINGS
(referenced from Bay)</x:t>
  </x:si>
  <x:si>
    <x:t>Calculated spacing along slope
Sum of Spacing = Base Length</x:t>
  </x:si>
  <x:si>
    <x:t>Calc Girder TC Width</x:t>
  </x:si>
  <x:si>
    <x:t>Calc. KB Spacing</x:t>
  </x:si>
  <x:si>
    <x:t>Base Length This Mark</x:t>
  </x:si>
  <x:si>
    <x:t>Lookup JDS Data Area - looks up mark number from colum BB in the tblJoistData tab and displays JDS info so "User Input" can compare information that can be changed by the detailer with the original JDS data</x:t>
  </x:si>
  <x:si>
    <x:t>Lookup JDS Data Area - looks up mark number from colum CC in the tblGirderData tab and displays JDS info so "User Input" can compare information that can be changed by the detailer with the original JDS data</x:t>
  </x:si>
  <x:si>
    <x:t>TC
Left</x:t>
  </x:si>
  <x:si>
    <x:t>TC
Right</x:t>
  </x:si>
  <x:si>
    <x:t>+/- to calc OL</x:t>
  </x:si>
  <x:si>
    <x:t>Location
#1</x:t>
  </x:si>
  <x:si>
    <x:t>Location
#2</x:t>
  </x:si>
  <x:si>
    <x:t>Location
#3</x:t>
  </x:si>
  <x:si>
    <x:t>Location
#4</x:t>
  </x:si>
  <x:si>
    <x:t>2nd page controls</x:t>
  </x:si>
  <x:si>
    <x:t>0 if clear</x:t>
  </x:si>
  <x:si>
    <x:t>Mark</x:t>
  </x:si>
  <x:si>
    <x:t>Ft/"P"</x:t>
  </x:si>
  <x:si>
    <x:t>SP Seat Gage</x:t>
  </x:si>
  <x:si>
    <x:t>SP BCX Type</x:t>
  </x:si>
  <x:si>
    <x:t>TC Left Override</x:t>
  </x:si>
  <x:si>
    <x:t>TC Right Override</x:t>
  </x:si>
  <x:si>
    <x:t>User Input Area - Page 1</x:t>
  </x:si>
  <x:si>
    <x:t>User Input Area - Page 2</x:t>
  </x:si>
  <x:si>
    <x:t>Joist Spacing on Girder TC
(Plan Dimensions)</x:t>
  </x:si>
  <x:si>
    <x:t>Girder TC Holes</x:t>
  </x:si>
  <x:si>
    <x:t>Rem. BL on Slope</x:t>
  </x:si>
  <x:si>
    <x:t>Base Length - Rounded Spacing = "B"</x:t>
  </x:si>
  <x:si>
    <x:t>"A" from BL (no rounding adjustment)</x:t>
  </x:si>
  <x:si>
    <x:t>"A" from BL w/ Rounding Adjustment (BOM)</x:t>
  </x:si>
  <x:si>
    <x:t>"B" from BL w/ Rounding Adjustment (BOM)</x:t>
  </x:si>
  <x:si>
    <x:t>Rounding Error/2</x:t>
  </x:si>
  <x:si>
    <x:t>Kick</x:t>
  </x:si>
  <x:si>
    <x:t>OL</x:t>
  </x:si>
  <x:si>
    <x:t>Minimum Seat Slope =</x:t>
  </x:si>
  <x:si>
    <x:t>Minimum BC Kick =</x:t>
  </x:si>
  <x:si>
    <x:t>Minimum OL adjustment =</x:t>
  </x:si>
  <x:si>
    <x:t>Maximum Seat Gap =</x:t>
  </x:si>
  <x:si>
    <x:t>Support Width L</x:t>
  </x:si>
  <x:si>
    <x:t>Support Width R</x:t>
  </x:si>
  <x:si>
    <x:t>For Calculating Seat Gap on Sloping Joists w/o Sloping Seats</x:t>
  </x:si>
  <x:si>
    <x:t>Net Uplift=</x:t>
  </x:si>
  <x:si>
    <x:t>HW</x:t>
  </x:si>
  <x:si>
    <x:t>KB</x:t>
  </x:si>
  <x:si>
    <x:t>Type</x:t>
  </x:si>
  <x:si>
    <x:t>Mem A</x:t>
  </x:si>
  <x:si>
    <x:t>Dep A</x:t>
  </x:si>
  <x:si>
    <x:t>MemB</x:t>
  </x:si>
  <x:si>
    <x:t>DepB</x:t>
  </x:si>
  <x:si>
    <x:t>HWB</x:t>
  </x:si>
  <x:si>
    <x:t>HB</x:t>
  </x:si>
  <x:si>
    <x:t>BC1</x:t>
  </x:si>
  <x:si>
    <x:t>BC2</x:t>
  </x:si>
  <x:si>
    <x:t>BC3</x:t>
  </x:si>
  <x:si>
    <x:t>BC4</x:t>
  </x:si>
  <x:si>
    <x:t>BC5</x:t>
  </x:si>
  <x:si>
    <x:t>BC6</x:t>
  </x:si>
  <x:si>
    <x:t>MATERIAL</x:t>
  </x:si>
  <x:si>
    <x:t>BRIDGING TYPE</x:t>
  </x:si>
  <x:si>
    <x:t>MEMBER "B"</x:t>
  </x:si>
  <x:si>
    <x:t xml:space="preserve">NOTES
</x:t>
  </x:si>
  <x:si>
    <x:t>Clip</x:t>
  </x:si>
  <x:si>
    <x:t>Paint=</x:t>
  </x:si>
  <x:si>
    <x:t>Suggested Brg Slope based on Joist Slope and Support Skew</x:t>
  </x:si>
  <x:si>
    <x:t>8200 Woolery Way | Fallon, NV 89406 | www.newmill.com</x:t>
  </x:si>
  <x:si>
    <x:t>BC Mat'l</x:t>
  </x:si>
  <x:si>
    <x:t>BCXL Kick</x:t>
  </x:si>
  <x:si>
    <x:t>BCXR Kick</x:t>
  </x:si>
  <x:si>
    <x:t>BC Size
(Lo Kick)</x:t>
  </x:si>
  <x:si>
    <x:t>:Release Code</x:t>
  </x:si>
  <x:si>
    <x:t>:Release Counter (col "W")</x:t>
  </x:si>
  <x:si>
    <x:t>:Released for Fab?</x:t>
  </x:si>
  <x:si>
    <x:t>:Can this PR be Deleted?</x:t>
  </x:si>
  <x:si>
    <x:t>6248 Edgemere Blvd, PO Box 107 | El Paso, TX 79925 | www.newmill.com</x:t>
  </x:si>
  <x:si>
    <x:t>870-722-4245</x:t>
  </x:si>
  <x:si>
    <x:t>915-298-5050</x:t>
  </x:si>
  <x:si>
    <x:t>915-298-4040</x:t>
  </x:si>
  <x:si>
    <x:t>870-722-4262</x:t>
  </x:si>
  <x:si>
    <x:t>870-722-4292</x:t>
  </x:si>
  <x:si>
    <x:t>775-867-2140</x:t>
  </x:si>
  <x:si>
    <x:t>775-867-2060</x:t>
  </x:si>
  <x:si>
    <x:t>&lt; &gt;</x:t>
  </x:si>
  <x:si>
    <x:t>Version:</x:t>
  </x:si>
  <x:si>
    <x:t>L-OAL</x:t>
  </x:si>
  <x:si>
    <x:t>L-PTP</x:t>
  </x:si>
  <x:si>
    <x:t>R-OAL</x:t>
  </x:si>
  <x:si>
    <x:t>R-PTP</x:t>
  </x:si>
  <x:si>
    <x:t>L-BL</x:t>
  </x:si>
  <x:si>
    <x:t>R-BL</x:t>
  </x:si>
  <x:si>
    <x:t>BA1</x:t>
  </x:si>
  <x:si>
    <x:t>BA2</x:t>
  </x:si>
  <x:si>
    <x:t>BA Detailed?</x:t>
  </x:si>
  <x:si>
    <x:t>Bay Dimension</x:t>
  </x:si>
  <x:si>
    <x:t>Ft</x:t>
  </x:si>
  <x:si>
    <x:t>In</x:t>
  </x:si>
  <x:si>
    <x:t>TC
Slope</x:t>
  </x:si>
  <x:si>
    <x:t>JDS OAL</x:t>
  </x:si>
  <x:si>
    <x:t>P2P OAL</x:t>
  </x:si>
  <x:si>
    <x:t>Difference</x:t>
  </x:si>
  <x:si>
    <x:t>&lt;AutoCalc</x:t>
  </x:si>
  <x:si>
    <x:t>PTP&gt;</x:t>
  </x:si>
  <x:si>
    <x:t>&lt;PTP</x:t>
  </x:si>
  <x:si>
    <x:t>JDS Data&gt;</x:t>
  </x:si>
  <x:si>
    <x:t>AutoCalc&gt;</x:t>
  </x:si>
  <x:si>
    <x:t>vAutoCalc</x:t>
  </x:si>
  <x:si>
    <x:t>^AutoCalc</x:t>
  </x:si>
  <x:si>
    <x:t>Valid.&gt;</x:t>
  </x:si>
  <x:si>
    <x:t>&lt;Valid.</x:t>
  </x:si>
  <x:si>
    <x:t>&lt;Valid</x:t>
  </x:si>
  <x:si>
    <x:t>Vaild.&gt;</x:t>
  </x:si>
  <x:si>
    <x:t>&lt;Vaild.</x:t>
  </x:si>
  <x:si>
    <x:t>XW</x:t>
  </x:si>
  <x:si>
    <x:t>XWB</x:t>
  </x:si>
  <x:si>
    <x:t>XB</x:t>
  </x:si>
  <x:si>
    <x:t>User Input&gt;</x:t>
  </x:si>
  <x:si>
    <x:t>&lt;User Input</x:t>
  </x:si>
  <x:si>
    <x:t>TY</x:t>
  </x:si>
  <x:si>
    <x:t>Joist TCX Code</x:t>
  </x:si>
  <x:si>
    <x:t>Girder TCX Code</x:t>
  </x:si>
  <x:si>
    <x:t>GDR
GA.</x:t>
  </x:si>
  <x:si>
    <x:t>HOLE
X/16</x:t>
  </x:si>
  <x:si>
    <x:t>GIRDER T.C. HOLES</x:t>
  </x:si>
  <x:si>
    <x:t>OSHA
N,F,B</x:t>
  </x:si>
  <x:si>
    <x:t>L.E.</x:t>
  </x:si>
  <x:si>
    <x:t>R.E.</x:t>
  </x:si>
  <x:si>
    <x:t>LOAD CASE</x:t>
  </x:si>
  <x:si>
    <x:t>LC2</x:t>
  </x:si>
  <x:si>
    <x:t>LC3</x:t>
  </x:si>
  <x:si>
    <x:t>LC4</x:t>
  </x:si>
  <x:si>
    <x:t>LC5</x:t>
  </x:si>
  <x:si>
    <x:t>&lt;Vlaid.</x:t>
  </x:si>
  <x:si>
    <x:t>Add-in Location:</x:t>
  </x:si>
  <x:si>
    <x:t>LL (CLL)</x:t>
  </x:si>
  <x:si>
    <x:t>CDL</x:t>
  </x:si>
  <x:si>
    <x:t>80DLH15</x:t>
  </x:si>
  <x:si>
    <x:t>80DLH16</x:t>
  </x:si>
  <x:si>
    <x:t>80DLH17</x:t>
  </x:si>
  <x:si>
    <x:t>80DLH18</x:t>
  </x:si>
  <x:si>
    <x:t>80DLH19</x:t>
  </x:si>
  <x:si>
    <x:t>80DLH20</x:t>
  </x:si>
  <x:si>
    <x:t>88DLH16</x:t>
  </x:si>
  <x:si>
    <x:t>88DLH17</x:t>
  </x:si>
  <x:si>
    <x:t>88DLH18</x:t>
  </x:si>
  <x:si>
    <x:t>88DLH19</x:t>
  </x:si>
  <x:si>
    <x:t>88DLH20</x:t>
  </x:si>
  <x:si>
    <x:t>88DLH21</x:t>
  </x:si>
  <x:si>
    <x:t>96DLH17</x:t>
  </x:si>
  <x:si>
    <x:t>96DLH18</x:t>
  </x:si>
  <x:si>
    <x:t>96DLH19</x:t>
  </x:si>
  <x:si>
    <x:t>96DLH20</x:t>
  </x:si>
  <x:si>
    <x:t>96DLH21</x:t>
  </x:si>
  <x:si>
    <x:t>96DLH22</x:t>
  </x:si>
  <x:si>
    <x:t>104DLH18</x:t>
  </x:si>
  <x:si>
    <x:t>104DLH19</x:t>
  </x:si>
  <x:si>
    <x:t>104DLH20</x:t>
  </x:si>
  <x:si>
    <x:t>104DLH21</x:t>
  </x:si>
  <x:si>
    <x:t>104DLH22</x:t>
  </x:si>
  <x:si>
    <x:t>104DLH23</x:t>
  </x:si>
  <x:si>
    <x:t>112DLH19</x:t>
  </x:si>
  <x:si>
    <x:t>112DLH20</x:t>
  </x:si>
  <x:si>
    <x:t>112DLH21</x:t>
  </x:si>
  <x:si>
    <x:t>112DLH22</x:t>
  </x:si>
  <x:si>
    <x:t>112DLH23</x:t>
  </x:si>
  <x:si>
    <x:t>112DLH24</x:t>
  </x:si>
  <x:si>
    <x:t>120DLH20</x:t>
  </x:si>
  <x:si>
    <x:t>120DLH21</x:t>
  </x:si>
  <x:si>
    <x:t>120DLH22</x:t>
  </x:si>
  <x:si>
    <x:t>120DLH23</x:t>
  </x:si>
  <x:si>
    <x:t>120DLH24</x:t>
  </x:si>
  <x:si>
    <x:t>120DLH25</x:t>
  </x:si>
  <x:si>
    <x:t>Min. Clear Bearing</x:t>
  </x:si>
  <x:si>
    <x:t>Max BL Offset</x:t>
  </x:si>
  <x:si>
    <x:t>White?</x:t>
  </x:si>
  <x:si>
    <x:t>Girder Mark</x:t>
  </x:si>
  <x:si>
    <x:t>Brg Slope (X"/Ft.)</x:t>
  </x:si>
  <x:si>
    <x:t>Print PTP:</x:t>
  </x:si>
  <x:si>
    <x:t>Large Format Printing:</x:t>
  </x:si>
  <x:si>
    <x:t>Brg Slope
(X"/Ft.)</x:t>
  </x:si>
  <x:si>
    <x:t>B Excl.</x:t>
  </x:si>
  <x:si>
    <x:t>A12</x:t>
  </x:si>
  <x:si>
    <x:t>A14</x:t>
  </x:si>
  <x:si>
    <x:t>Bolted Types</x:t>
  </x:si>
  <x:si>
    <x:t>Expanded Margins:</x:t>
  </x:si>
  <x:si>
    <x:t>Default BL Over-ride</x:t>
  </x:si>
  <x:si>
    <x:t>New</x:t>
  </x:si>
  <x:si>
    <x:t>Old</x:t>
  </x:si>
  <x:si>
    <x:r>
      <x:t>Comments:</x:t>
    </x:r>
    <x:r>
      <x:rPr>
        <x:sz val="8"/>
        <x:rFont val="Arial"/>
        <x:family val="2"/>
      </x:rPr>
      <x:t xml:space="preserve"> (&lt;alt&gt; + &lt;enter&gt; to start new line.)</x:t>
    </x:r>
  </x:si>
  <x:si>
    <x:t>Support Width
Min. / Max.</x:t>
  </x:si>
  <x:si>
    <x:t>Joist TC Slope (X"/Ft.)</x:t>
  </x:si>
  <x:si>
    <x:t>B.L. Over-ride</x:t>
  </x:si>
  <x:si>
    <x:t>Girder TC Slope (X"/Ft.)</x:t>
  </x:si>
  <x:si>
    <x:t>02</x:t>
  </x:si>
  <x:si>
    <x:t>2</x:t>
  </x:si>
  <x:si>
    <x:t>100 Diuguids Lane | Salem, VA 24153 | www.newmill.com</x:t>
  </x:si>
  <x:si>
    <x:t>A12A</x:t>
  </x:si>
  <x:si>
    <x:t>A12B</x:t>
  </x:si>
  <x:si>
    <x:t>A13A</x:t>
  </x:si>
  <x:si>
    <x:t>A14A</x:t>
  </x:si>
  <x:si>
    <x:t>A14B</x:t>
  </x:si>
  <x:si>
    <x:t>1010</x:t>
  </x:si>
  <x:si>
    <x:t>1011</x:t>
  </x:si>
  <x:si>
    <x:t>1012</x:t>
  </x:si>
  <x:si>
    <x:t>1018</x:t>
  </x:si>
  <x:si>
    <x:t>Mat'ls</x:t>
  </x:si>
  <x:si>
    <x:t>A16A</x:t>
  </x:si>
  <x:si>
    <x:t>A16B</x:t>
  </x:si>
  <x:si>
    <x:t>A18A</x:t>
  </x:si>
  <x:si>
    <x:t>A18B</x:t>
  </x:si>
  <x:si>
    <x:t>A20A</x:t>
  </x:si>
  <x:si>
    <x:t>A20B</x:t>
  </x:si>
  <x:si>
    <x:t>A22A</x:t>
  </x:si>
  <x:si>
    <x:t>A22B</x:t>
  </x:si>
  <x:si>
    <x:t>A24A</x:t>
  </x:si>
  <x:si>
    <x:t>A24B</x:t>
  </x:si>
  <x:si>
    <x:t>A26A</x:t>
  </x:si>
  <x:si>
    <x:t>A26B</x:t>
  </x:si>
  <x:si>
    <x:t>A28A</x:t>
  </x:si>
  <x:si>
    <x:t>A28B</x:t>
  </x:si>
  <x:si>
    <x:t>A30A</x:t>
  </x:si>
  <x:si>
    <x:t>A30B</x:t>
  </x:si>
  <x:si>
    <x:t>A32A</x:t>
  </x:si>
  <x:si>
    <x:t>A32B</x:t>
  </x:si>
  <x:si>
    <x:t>A33A</x:t>
  </x:si>
  <x:si>
    <x:t>A34A</x:t>
  </x:si>
  <x:si>
    <x:t>A35A</x:t>
  </x:si>
  <x:si>
    <x:t>A36A</x:t>
  </x:si>
  <x:si>
    <x:t>A36B</x:t>
  </x:si>
  <x:si>
    <x:t>A37A</x:t>
  </x:si>
  <x:si>
    <x:t>A38A</x:t>
  </x:si>
  <x:si>
    <x:t>A38B</x:t>
  </x:si>
  <x:si>
    <x:t>A39A</x:t>
  </x:si>
  <x:si>
    <x:t>A39B</x:t>
  </x:si>
  <x:si>
    <x:t>A40A</x:t>
  </x:si>
  <x:si>
    <x:t>A40B</x:t>
  </x:si>
  <x:si>
    <x:t>A41A</x:t>
  </x:si>
  <x:si>
    <x:t>A42A</x:t>
  </x:si>
  <x:si>
    <x:t>A42B</x:t>
  </x:si>
  <x:si>
    <x:t>A43A</x:t>
  </x:si>
  <x:si>
    <x:t>A44A</x:t>
  </x:si>
  <x:si>
    <x:t>A44B</x:t>
  </x:si>
  <x:si>
    <x:t>A46A</x:t>
  </x:si>
  <x:si>
    <x:t>A48A</x:t>
  </x:si>
  <x:si>
    <x:t>A50A</x:t>
  </x:si>
  <x:si>
    <x:t>A51A</x:t>
  </x:si>
  <x:si>
    <x:t>A70A</x:t>
  </x:si>
  <x:si>
    <x:t>A71A</x:t>
  </x:si>
  <x:si>
    <x:t>A72A</x:t>
  </x:si>
  <x:si>
    <x:t>A73A</x:t>
  </x:si>
  <x:si>
    <x:t>A97A</x:t>
  </x:si>
  <x:si>
    <x:t>A98A</x:t>
  </x:si>
  <x:si>
    <x:t>A99A</x:t>
  </x:si>
  <x:si>
    <x:t>1210</x:t>
  </x:si>
  <x:si>
    <x:t>1211</x:t>
  </x:si>
  <x:si>
    <x:t>1212</x:t>
  </x:si>
  <x:si>
    <x:t>1218</x:t>
  </x:si>
  <x:si>
    <x:t>1510</x:t>
  </x:si>
  <x:si>
    <x:t>1511</x:t>
  </x:si>
  <x:si>
    <x:t>1512</x:t>
  </x:si>
  <x:si>
    <x:t>1513</x:t>
  </x:si>
  <x:si>
    <x:t>1514</x:t>
  </x:si>
  <x:si>
    <x:t>1515</x:t>
  </x:si>
  <x:si>
    <x:t>1517</x:t>
  </x:si>
  <x:si>
    <x:t>1518</x:t>
  </x:si>
  <x:si>
    <x:t>1525</x:t>
  </x:si>
  <x:si>
    <x:t>1711</x:t>
  </x:si>
  <x:si>
    <x:t>1712</x:t>
  </x:si>
  <x:si>
    <x:t>1714</x:t>
  </x:si>
  <x:si>
    <x:t>1715</x:t>
  </x:si>
  <x:si>
    <x:t>1717</x:t>
  </x:si>
  <x:si>
    <x:t>1718</x:t>
  </x:si>
  <x:si>
    <x:t>1725</x:t>
  </x:si>
  <x:si>
    <x:t>2012</x:t>
  </x:si>
  <x:si>
    <x:t>2014</x:t>
  </x:si>
  <x:si>
    <x:t>2015</x:t>
  </x:si>
  <x:si>
    <x:t>2016</x:t>
  </x:si>
  <x:si>
    <x:t>2017</x:t>
  </x:si>
  <x:si>
    <x:t>2018</x:t>
  </x:si>
  <x:si>
    <x:t>2020</x:t>
  </x:si>
  <x:si>
    <x:t>2021</x:t>
  </x:si>
  <x:si>
    <x:t>2023</x:t>
  </x:si>
  <x:si>
    <x:t>2024</x:t>
  </x:si>
  <x:si>
    <x:t>2025</x:t>
  </x:si>
  <x:si>
    <x:t>2028</x:t>
  </x:si>
  <x:si>
    <x:t>2031</x:t>
  </x:si>
  <x:si>
    <x:t>2518</x:t>
  </x:si>
  <x:si>
    <x:t>2521</x:t>
  </x:si>
  <x:si>
    <x:t>2523</x:t>
  </x:si>
  <x:si>
    <x:t>2525</x:t>
  </x:si>
  <x:si>
    <x:t>2528</x:t>
  </x:si>
  <x:si>
    <x:t>2531</x:t>
  </x:si>
  <x:si>
    <x:t>3018</x:t>
  </x:si>
  <x:si>
    <x:t>3022</x:t>
  </x:si>
  <x:si>
    <x:t>3025</x:t>
  </x:si>
  <x:si>
    <x:t>3028</x:t>
  </x:si>
  <x:si>
    <x:t>3029</x:t>
  </x:si>
  <x:si>
    <x:t>3031</x:t>
  </x:si>
  <x:si>
    <x:t>3037</x:t>
  </x:si>
  <x:si>
    <x:t>3528</x:t>
  </x:si>
  <x:si>
    <x:t>3531</x:t>
  </x:si>
  <x:si>
    <x:t>3534</x:t>
  </x:si>
  <x:si>
    <x:t>3537</x:t>
  </x:si>
  <x:si>
    <x:t>4025</x:t>
  </x:si>
  <x:si>
    <x:t>4031</x:t>
  </x:si>
  <x:si>
    <x:t>4034</x:t>
  </x:si>
  <x:si>
    <x:t>4037</x:t>
  </x:si>
  <x:si>
    <x:t>4043</x:t>
  </x:si>
  <x:si>
    <x:t>4050</x:t>
  </x:si>
  <x:si>
    <x:t>5043</x:t>
  </x:si>
  <x:si>
    <x:t>5050</x:t>
  </x:si>
  <x:si>
    <x:t>6043</x:t>
  </x:si>
  <x:si>
    <x:t>6050</x:t>
  </x:si>
  <x:si>
    <x:t>6056</x:t>
  </x:si>
  <x:si>
    <x:t>6062</x:t>
  </x:si>
  <x:si>
    <x:t>6075</x:t>
  </x:si>
  <x:si>
    <x:t>6010</x:t>
  </x:si>
  <x:si>
    <x:t>8050</x:t>
  </x:si>
  <x:si>
    <x:t>8062</x:t>
  </x:si>
  <x:si>
    <x:t>8075</x:t>
  </x:si>
  <x:si>
    <x:t>8010</x:t>
  </x:si>
  <x:si>
    <x:t>8011</x:t>
  </x:si>
  <x:si>
    <x:t>1001</x:t>
  </x:si>
  <x:si>
    <x:t>1002</x:t>
  </x:si>
  <x:si>
    <x:t>^^^^^</x:t>
  </x:si>
  <x:si>
    <x:t># KB Req'd</x:t>
  </x:si>
  <x:si>
    <x:t>Calc skews on masonry supports</x:t>
  </x:si>
  <x:si>
    <x:t>Mas Skew</x:t>
  </x:si>
  <x:si>
    <x:t>W2 Width</x:t>
  </x:si>
  <x:si>
    <x:t>8</x:t>
  </x:si>
  <x:si>
    <x:t>9</x:t>
  </x:si>
  <x:si>
    <x:t>21739 Road E-16 | Continental, OH 45831 | www.newmill.com</x:t>
  </x:si>
  <x:si>
    <x:t>Input Required</x:t>
  </x:si>
  <x:si>
    <x:t>Addn'l Joist Location / P#xx validation</x:t>
  </x:si>
  <x:si>
    <x:t>"True" if error, False if no error</x:t>
  </x:si>
  <x:si>
    <x:t>AR/AS</x:t>
  </x:si>
  <x:si>
    <x:t>AV/AW</x:t>
  </x:si>
  <x:si>
    <x:t>AZ/BA</x:t>
  </x:si>
  <x:si>
    <x:t>BD/BE</x:t>
  </x:si>
  <x:si>
    <x:t>A or B
&lt; Dep/1.15</x:t>
  </x:si>
  <x:si>
    <x:t>Template Version:</x:t>
  </x:si>
  <x:si>
    <x:t>Build:</x:t>
  </x:si>
  <x:si>
    <x:t>Template Date:</x:t>
  </x:si>
  <x:si>
    <x:t>Ft-In</x:t>
  </x:si>
  <x:si>
    <x:t>1992 NW Bascom Norris Drive | Lake City, FL 32055 | www.newmill.com</x:t>
  </x:si>
  <x:si>
    <x:t>3565 Highway 32 N | Hope, AR 71801 | www.newmill.com</x:t>
  </x:si>
  <x:si>
    <x:t>775-428-0600</x:t>
  </x:si>
  <x:si>
    <x:t>775-867-2169</x:t>
  </x:si>
  <x:si>
    <x:t>870-722-4100</x:t>
  </x:si>
  <x:si>
    <x:t>Code</x:t>
  </x:si>
  <x:si>
    <x:t>Auto-Fill Note</x:t>
  </x:si>
  <x:si>
    <x:t>SP</x:t>
  </x:si>
  <x:si>
    <x:t>DP</x:t>
  </x:si>
  <x:si>
    <x:t>TP</x:t>
  </x:si>
  <x:si>
    <x:t>Validation List</x:t>
  </x:si>
  <x:si>
    <x:t>Min Thickness of TC = 0.xxx"</x:t>
  </x:si>
  <x:si>
    <x:t>Min Thickness of BC = 0.xxx"</x:t>
  </x:si>
  <x:si>
    <x:t>Add Self-Weight to Design</x:t>
  </x:si>
  <x:si>
    <x:t>ESFR</x:t>
  </x:si>
  <x:si>
    <x:t>Note #</x:t>
  </x:si>
  <x:si>
    <x:t>TCXSup</x:t>
  </x:si>
  <x:si>
    <x:t>StgSlt</x:t>
  </x:si>
  <x:si>
    <x:t>SpSlt</x:t>
  </x:si>
  <x:si>
    <x:t>TCThk</x:t>
  </x:si>
  <x:si>
    <x:t>BCThk</x:t>
  </x:si>
  <x:si>
    <x:t>BPThk</x:t>
  </x:si>
  <x:si>
    <x:t>TCXMax</x:t>
  </x:si>
  <x:si>
    <x:t>BCBrg</x:t>
  </x:si>
  <x:si>
    <x:t>BClip</x:t>
  </x:si>
  <x:si>
    <x:t>BC7</x:t>
  </x:si>
  <x:si>
    <x:t>BC8</x:t>
  </x:si>
  <x:si>
    <x:t>(PLF - UNO)</x:t>
  </x:si>
  <x:si>
    <x:t>DefLL</x:t>
  </x:si>
  <x:si>
    <x:t>DefTL</x:t>
  </x:si>
  <x:si>
    <x:t>DefTCX</x:t>
  </x:si>
  <x:si>
    <x:t>DefSP</x:t>
  </x:si>
  <x:si>
    <x:t>##º Half(Full)-Skew, NS(FS), LE(RE)</x:t>
  </x:si>
  <x:si>
    <x:t>AC</x:t>
  </x:si>
  <x:si>
    <x:t>BW</x:t>
  </x:si>
  <x:si>
    <x:t>SC</x:t>
  </x:si>
  <x:si>
    <x:t>HS</x:t>
  </x:si>
  <x:si>
    <x:t>VS</x:t>
  </x:si>
  <x:si>
    <x:t>MS</x:t>
  </x:si>
  <x:si>
    <x:t>SSR</x:t>
  </x:si>
  <x:si>
    <x:t>##" Dia (##"H x ##"W) Duct @ #'-# from L-OAL</x:t>
  </x:si>
  <x:si>
    <x:t>#"Dia Pipes, 8" Below Top/Jst, 15" Horiz Clearance @ ##'-#,  ##'-# &amp;  ##'-# from L-OAL</x:t>
  </x:si>
  <x:si>
    <x:t>AddSlt</x:t>
  </x:si>
  <x:si>
    <x:t>ClrBrg</x:t>
  </x:si>
  <x:si>
    <x:t>Min Clear Bearing = #" @ LE(RE)(BE)</x:t>
  </x:si>
  <x:si>
    <x:t>Horiz Field Splice: See Detail on J1.xx</x:t>
  </x:si>
  <x:si>
    <x:t>Vert Field Splice: Type xx, Near Midspan</x:t>
  </x:si>
  <x:si>
    <x:t>Multiple Vert Field Splices: Type xx</x:t>
  </x:si>
  <x:si>
    <x:t>Standing Seam Roof: TC Lateral Support @ ##" Max.</x:t>
  </x:si>
  <x:si>
    <x:t>JS/HDR</x:t>
  </x:si>
  <x:si>
    <x:t>SpChd</x:t>
  </x:si>
  <x:si>
    <x:t>SpWeb</x:t>
  </x:si>
  <x:si>
    <x:t>##"^2 Min Chord Area</x:t>
  </x:si>
  <x:si>
    <x:t>##"^2 Min Web Area</x:t>
  </x:si>
  <x:si>
    <x:t>Domestic Steel Required (ARRA)</x:t>
  </x:si>
  <x:si>
    <x:t>LRFD</x:t>
  </x:si>
  <x:si>
    <x:t>**LRFD**   **LRFD**   **LRFD**</x:t>
  </x:si>
  <x:si>
    <x:t>L. Brg Width
(WF HALF-WIDTH)</x:t>
  </x:si>
  <x:si>
    <x:t>R. Brg Width
(WF HALF-WIDTH)</x:t>
  </x:si>
  <x:si>
    <x:t>Support Type "M" - Masonry W/ Shelf ∡</x:t>
  </x:si>
  <x:si>
    <x:t>P</x:t>
  </x:si>
  <x:si>
    <x:t>vValidation</x:t>
  </x:si>
  <x:si>
    <x:t>^Validation</x:t>
  </x:si>
  <x:si>
    <x:t>Seat Depth Over-ride</x:t>
  </x:si>
  <x:si>
    <x:t>SHAPES</x:t>
  </x:si>
  <x:si>
    <x:t>Single Pitch: (Ctr Depth=Designation) ##" Depth @ LBL, ##" Depth @ RBL</x:t>
  </x:si>
  <x:si>
    <x:t>Double Pitch: Ridge @ ##’-## From LBL (Depth=Designation), ##" Depth @ LBL, ##" Depth @ RBL</x:t>
  </x:si>
  <x:si>
    <x:t>Triple Pitch: Ridge Left @ ##’-## From LBL (Depth=Designation), ##" Depth @ LBL, ##" Depth @ RBL, Ridge Right @ ##'-## From LBL</x:t>
  </x:si>
  <x:si>
    <x:t>Arched Chords: (Depth=Designation) ##" TC Radius</x:t>
  </x:si>
  <x:si>
    <x:t>Bowstring: Ridge @ ##’-## From LBL (Depth=Designation), ##" Depth @ LBL, ##" TC Radius</x:t>
  </x:si>
  <x:si>
    <x:t>DEFLECTION</x:t>
  </x:si>
  <x:si>
    <x:t>LL Deflection = L/###|Deflection=L/### Due To ### PLF LL|LL Deflection=L/### (LL/TL Ratio = ##%)</x:t>
  </x:si>
  <x:si>
    <x:t>TL Deflection = L/###, Ck Std Camber Satisfies DL Def</x:t>
  </x:si>
  <x:si>
    <x:t>Special Deflection = ##" Max Due To ### PLF LL|DL|TL</x:t>
  </x:si>
  <x:si>
    <x:t>TCXL|TCXR Deflection = ##" Max Due To ### PLF LL|DL|TL</x:t>
  </x:si>
  <x:si>
    <x:t>BEARING SEATS</x:t>
  </x:si>
  <x:si>
    <x:t>Max Depth of TCXL|TCXR = ##"</x:t>
  </x:si>
  <x:si>
    <x:t>NoRein</x:t>
  </x:si>
  <x:si>
    <x:t>Rein</x:t>
  </x:si>
  <x:si>
    <x:t>KnifePL</x:t>
  </x:si>
  <x:si>
    <x:t>KickLd</x:t>
  </x:si>
  <x:si>
    <x:t>Knife Pl Provided for Load Transfer, TC/Seat Gap Clear for 1st ##” @ LE|RE|BE</x:t>
  </x:si>
  <x:si>
    <x:t>Axial Load Due To Kicker, No Rein Req’d</x:t>
  </x:si>
  <x:si>
    <x:t>Roll</x:t>
  </x:si>
  <x:si>
    <x:t>Seat Rollover Force = ##Kips @ LE|RE|BE</x:t>
  </x:si>
  <x:si>
    <x:t>Bottom Chord Bearing @ LE|RE|BE</x:t>
  </x:si>
  <x:si>
    <x:t>Stagger Seat Slots LE|RE: ##" NS, ##" FS</x:t>
  </x:si>
  <x:si>
    <x:t>Special Seat Slots: #"x#" Slots, Ga=#" @ LE|RE|BE</x:t>
  </x:si>
  <x:si>
    <x:t>Addn'l Seat Slots @ #" from L-OAL|R-OAL</x:t>
  </x:si>
  <x:si>
    <x:t>Min Thickness of Base Plate = 0.xxx" @ LE|RE|BE</x:t>
  </x:si>
  <x:si>
    <x:t>MaxWidth</x:t>
  </x:si>
  <x:si>
    <x:t>Max Width of TC &amp; Base Plate|BC for 1st ##” @ LE|RE|BE</x:t>
  </x:si>
  <x:si>
    <x:t>MISCELLANEOUS</x:t>
  </x:si>
  <x:si>
    <x:t>DomStl</x:t>
  </x:si>
  <x:si>
    <x:t>Camber = #"|Camber for DL|50% Std Camber|No Camber</x:t>
  </x:si>
  <x:si>
    <x:t>Bridging Clip(s) Required per Plan</x:t>
  </x:si>
  <x:si>
    <x:t>SpConn</x:t>
  </x:si>
  <x:si>
    <x:t>Special Connection @ (location), See Section ##</x:t>
  </x:si>
  <x:si>
    <x:t>GENERAL</x:t>
  </x:si>
  <x:si>
    <x:t>Special Note Here (special condition not matching pre-defined codes)</x:t>
  </x:si>
  <x:si>
    <x:t>Backup</x:t>
  </x:si>
  <x:si>
    <x:t>Overspan Check</x:t>
  </x:si>
  <x:si>
    <x:t>I think this is obsolete….</x:t>
  </x:si>
  <x:si>
    <x:t>Valid Panel Layout</x:t>
  </x:si>
  <x:si>
    <x:t>Panel Layout (B/N/F)</x:t>
  </x:si>
  <x:si>
    <x:t>Std TC Gage</x:t>
  </x:si>
  <x:si>
    <x:t>TC Gap</x:t>
  </x:si>
  <x:si>
    <x:t>Sect</x:t>
  </x:si>
  <x:si>
    <x:t>Sup</x:t>
  </x:si>
  <x:si>
    <x:t>E/J-Ft</x:t>
  </x:si>
  <x:si>
    <x:t>E/J-In</x:t>
  </x:si>
  <x:si>
    <x:t>TCX Ty</x:t>
  </x:si>
  <x:si>
    <x:t>Ga</x:t>
  </x:si>
  <x:si>
    <x:t>BCX Ty</x:t>
  </x:si>
  <x:si>
    <x:t>Flg/TC Gage
Min. / Max.</x:t>
  </x:si>
  <x:si>
    <x:t>Scissor: Ridge @ ##’-## From LBL (Vert Depth=Designation), BC Rise ##” @ Ridge From LBL, ##" Vert Depth @ LBL, ##" Vert Depth @ RBL, ##" BC Elev difference @ RBL</x:t>
  </x:si>
  <x:si>
    <x:t>ShrtBrg</x:t>
  </x:si>
  <x:si>
    <x:t>Short Bearing = #” @ LE|RE|BE</x:t>
  </x:si>
  <x:si>
    <x:t>TCXL|TCXR Supported @ End</x:t>
  </x:si>
  <x:si>
    <x:t>Reinforce Seats @ LE|RE|BE for Axial Load Transfer</x:t>
  </x:si>
  <x:si>
    <x:t>Skew</x:t>
  </x:si>
  <x:si>
    <x:t>Camb</x:t>
  </x:si>
  <x:si>
    <x:t>Duct</x:t>
  </x:si>
  <x:si>
    <x:t>Self</x:t>
  </x:si>
  <x:si>
    <x:t>RndShrtSlt</x:t>
  </x:si>
  <x:si>
    <x:t>#/#" Round Holes|#/#”x1” Slots, Ga=#” @ LE|RE|BE</x:t>
  </x:si>
  <x:si>
    <x:t>ChdWdth</x:t>
  </x:si>
  <x:si>
    <x:t>Min|Max Width of TC|BC = ##”</x:t>
  </x:si>
  <x:si>
    <x:t>Vier</x:t>
  </x:si>
  <x:si>
    <x:t>AlignPnls</x:t>
  </x:si>
  <x:si>
    <x:t>SpBund</x:t>
  </x:si>
  <x:si>
    <x:t>BIM</x:t>
  </x:si>
  <x:si>
    <x:t>Calcs</x:t>
  </x:si>
  <x:si>
    <x:t>Prof</x:t>
  </x:si>
  <x:si>
    <x:t>UnDef</x:t>
  </x:si>
  <x:si>
    <x:t>Align Panels of Adjacent Jsts</x:t>
  </x:si>
  <x:si>
    <x:t>Special Bundling Req’d, See Attached Listing</x:t>
  </x:si>
  <x:si>
    <x:t>Building Information Modeling, Inform Dtlr When Design Completed</x:t>
  </x:si>
  <x:si>
    <x:t>Sealed Calcs req’d for Record|Appl</x:t>
  </x:si>
  <x:si>
    <x:t>Joist|Girder Profiles Req’d</x:t>
  </x:si>
  <x:si>
    <x:t>Vierendeel Panel, ##” W x ##” H, Bottom Left Corner of Opening @ ##” From Bot/Jst, ##’-##” From L-OAL</x:t>
  </x:si>
  <x:si>
    <x:t>Layout=BL</x:t>
  </x:si>
  <x:si>
    <x:t>Sum Layout</x:t>
  </x:si>
  <x:si>
    <x:t>Line Selected</x:t>
  </x:si>
  <x:si>
    <x:t>W2 Half-Width</x:t>
  </x:si>
  <x:si>
    <x:t>CB-L on Brg Slope</x:t>
  </x:si>
  <x:si>
    <x:t>TCXL on Brg Slope</x:t>
  </x:si>
  <x:si>
    <x:t>CB-R on Brg Slope</x:t>
  </x:si>
  <x:si>
    <x:t>TCXR on Brg Slope</x:t>
  </x:si>
  <x:si>
    <x:t>TC Gage Values (min TC width)</x:t>
  </x:si>
  <x:si>
    <x:t>Changing the following values is not recommended.</x:t>
  </x:si>
  <x:si>
    <x:t>Consider Slope for OSHA Bolting if &gt;</x:t>
  </x:si>
  <x:si>
    <x:t>OSHA Slope:</x:t>
  </x:si>
  <x:si>
    <x:t>LH&lt;7</x:t>
  </x:si>
  <x:si>
    <x:t>Ft-</x:t>
  </x:si>
  <x:si>
    <x:t>WH</x:t>
  </x:si>
  <x:si>
    <x:t>Default Color Codes
(Page "K (1)" ONLY)</x:t>
  </x:si>
  <x:si>
    <x:t>K (1)</x:t>
  </x:si>
  <x:si>
    <x:t>KCS Series</x:t>
  </x:si>
  <x:si>
    <x:t>JS Series</x:t>
  </x:si>
  <x:si>
    <x:t>DLH Series</x:t>
  </x:si>
  <x:si>
    <x:t>SLH Series</x:t>
  </x:si>
  <x:si>
    <x:t>CJ Series</x:t>
  </x:si>
  <x:si>
    <x:t>Plant-by-Plant Settings</x:t>
  </x:si>
  <x:si>
    <x:t>Girder A/B Ratio</x:t>
  </x:si>
  <x:si>
    <x:t>Butler</x:t>
  </x:si>
  <x:si>
    <x:t>Salem</x:t>
  </x:si>
  <x:si>
    <x:t>Lake City</x:t>
  </x:si>
  <x:si>
    <x:t>Hope</x:t>
  </x:si>
  <x:si>
    <x:t>El Paso</x:t>
  </x:si>
  <x:si>
    <x:t>Fallon</x:t>
  </x:si>
  <x:si>
    <x:t>A/B Ratio:</x:t>
  </x:si>
  <x:si>
    <x:t>Prior to 4/13/18:</x:t>
  </x:si>
  <x:si>
    <x:t>List of Seq from K(**) Pages:</x:t>
  </x:si>
  <x:si>
    <x:t>Sht#</x:t>
  </x:si>
  <x:si>
    <x:t>Trad</x:t>
  </x:si>
  <x:si>
    <x:t>Qty</x:t>
  </x:si>
  <x:si>
    <x:t>Leg Dim</x:t>
  </x:si>
  <x:si>
    <x:t>Ck Fitup</x:t>
  </x:si>
  <x:si>
    <x:t>Max Leg</x:t>
  </x:si>
  <x:si>
    <x:t>Diag</x:t>
  </x:si>
  <x:si>
    <x:t>Hor</x:t>
  </x:si>
  <x:si>
    <x:t>Point-Point BIM Data and Graphical Load Data</x:t>
  </x:si>
  <x:si>
    <x:t>Trib Width - R</x:t>
  </x:si>
  <x:si>
    <x:t>Trib Width</x:t>
  </x:si>
  <x:si>
    <x:t>&lt;JDS Data</x:t>
  </x:si>
  <x:si>
    <x:t>Material</x:t>
  </x:si>
  <x:si>
    <x:t>Elev</x:t>
  </x:si>
  <x:si>
    <x:t>Slp 1</x:t>
  </x:si>
  <x:si>
    <x:t>Slp 2</x:t>
  </x:si>
  <x:si>
    <x:t>nil</x:t>
  </x:si>
  <x:si>
    <x:t>"A" Mark</x:t>
  </x:si>
  <x:si>
    <x:t>"A" Depth</x:t>
  </x:si>
  <x:si>
    <x:t>"B" Mark</x:t>
  </x:si>
  <x:si>
    <x:t>"B" Depth</x:t>
  </x:si>
  <x:si>
    <x:t>Spacing
Ft</x:t>
  </x:si>
  <x:si>
    <x:t>Spacing
In</x:t>
  </x:si>
  <x:si>
    <x:t># of KBs</x:t>
  </x:si>
  <x:si>
    <x:t>AC (tbl tab)</x:t>
  </x:si>
  <x:si>
    <x:t>AC (this tab)</x:t>
  </x:si>
  <x:si>
    <x:t>IsAC-Bom:</x:t>
  </x:si>
  <x:si>
    <x:t>Designation</x:t>
  </x:si>
  <x:si>
    <x:t># Rows Req</x:t>
  </x:si>
  <x:si>
    <x:t>Panel
N/F/B</x:t>
  </x:si>
  <x:si>
    <x:t>Panel "A"
Feet</x:t>
  </x:si>
  <x:si>
    <x:t>Panel "A"
Inch</x:t>
  </x:si>
  <x:si>
    <x:t># Interior Panels</x:t>
  </x:si>
  <x:si>
    <x:t>Int Pnl Sp
Inch</x:t>
  </x:si>
  <x:si>
    <x:t>Int Pnl Sp
Feet</x:t>
  </x:si>
  <x:si>
    <x:t>SpNote</x:t>
  </x:si>
  <x:si>
    <x:t>Row Counter</x:t>
  </x:si>
  <x:si>
    <x:t>BOM Synced:</x:t>
  </x:si>
  <x:si>
    <x:t>B_B</x:t>
  </x:si>
  <x:si>
    <x:t>Job Info.</x:t>
  </x:si>
  <x:si>
    <x:t>SectInfo</x:t>
  </x:si>
  <x:si>
    <x:t>Discrepancy Check</x:t>
  </x:si>
  <x:si>
    <x:t>B_A</x:t>
  </x:si>
  <x:si>
    <x:t>J_B</x:t>
  </x:si>
  <x:si>
    <x:t>J_A</x:t>
  </x:si>
  <x:si>
    <x:t>G_B</x:t>
  </x:si>
  <x:si>
    <x:t>G_A</x:t>
  </x:si>
  <x:si>
    <x:t>Date Saved:</x:t>
  </x:si>
  <x:si>
    <x:r>
      <x:t>&lt;</x:t>
    </x:r>
    <x:r>
      <x:rPr>
        <x:sz val="7"/>
        <x:color indexed="55"/>
        <x:rFont val="Arial"/>
        <x:family val="2"/>
      </x:rPr>
      <x:t>Plant Settings</x:t>
    </x:r>
  </x:si>
  <x:si>
    <x:r>
      <x:t>Plant Settings</x:t>
    </x:r>
    <x:r>
      <x:rPr>
        <x:sz val="8"/>
        <x:color indexed="55"/>
        <x:rFont val="Arial Black"/>
        <x:family val="2"/>
      </x:rPr>
      <x:t>&gt;</x:t>
    </x:r>
  </x:si>
  <x:si>
    <x:t>Manual Changes
Saved By:</x:t>
  </x:si>
  <x:si>
    <x:t>SEQUENCE DESCRIPTION</x:t>
  </x:si>
  <x:si>
    <x:t>Total K Dtl'd:</x:t>
  </x:si>
  <x:si>
    <x:t>Total LH Dtl'd:</x:t>
  </x:si>
  <x:si>
    <x:t>Total G Dtl'd:</x:t>
  </x:si>
  <x:si>
    <x:t>Total JS/Hdr Dtl'd:</x:t>
  </x:si>
  <x:si>
    <x:t>Total Brdg Dtl'd:</x:t>
  </x:si>
  <x:si>
    <x:t>Total # Seq:</x:t>
  </x:si>
  <x:si>
    <x:t># Rows:</x:t>
  </x:si>
  <x:si>
    <x:t>Is AC BOM?</x:t>
  </x:si>
  <x:si>
    <x:t>Bridging Pages</x:t>
  </x:si>
  <x:si>
    <x:t>No Data Here
Hidden column on BOM
"Mark" used to be 2 merged cells</x:t>
  </x:si>
  <x:si>
    <x:t>Jst A
Mark</x:t>
  </x:si>
  <x:si>
    <x:t>Jst A
Depth</x:t>
  </x:si>
  <x:si>
    <x:t>Jst B
Mark</x:t>
  </x:si>
  <x:si>
    <x:t>Jst B
Depth</x:t>
  </x:si>
  <x:si>
    <x:t>Space
Ft</x:t>
  </x:si>
  <x:si>
    <x:t>Space
In</x:t>
  </x:si>
  <x:si>
    <x:t>Brdg Rows</x:t>
  </x:si>
  <x:si>
    <x:t>Seq Row:</x:t>
  </x:si>
  <x:si>
    <x:t>Sequencing Pages</x:t>
  </x:si>
  <x:si>
    <x:t>Seq Nums&gt;&gt;&gt;&gt;
Marks\/ \/</x:t>
  </x:si>
  <x:si>
    <x:t>Seq Col:</x:t>
  </x:si>
  <x:si>
    <x:t>Mark Match on Page2</x:t>
  </x:si>
  <x:si>
    <x:t>Mark Match on Page1</x:t>
  </x:si>
  <x:si>
    <x:t>Min Slot-Edge:</x:t>
  </x:si>
  <x:si>
    <x:t>Manual Change Compare Table</x:t>
  </x:si>
  <x:si>
    <x:t>Ld Type</x:t>
  </x:si>
  <x:si>
    <x:t>Ld Cat</x:t>
  </x:si>
  <x:si>
    <x:t>Ld Pos</x:t>
  </x:si>
  <x:si>
    <x:t>Ld1 Val</x:t>
  </x:si>
  <x:si>
    <x:t>Ld2 Val</x:t>
  </x:si>
  <x:si>
    <x:t>Ref</x:t>
  </x:si>
  <x:si>
    <x:t>Ld Case</x:t>
  </x:si>
  <x:si>
    <x:t>Rem</x:t>
  </x:si>
  <x:si>
    <x:t>Assume 12" at CMU</x:t>
  </x:si>
  <x:si>
    <x:t>If R or Q…??</x:t>
  </x:si>
  <x:si>
    <x:t>Does not have "If R or Q"…</x:t>
  </x:si>
  <x:si>
    <x:t>Load Notes</x:t>
  </x:si>
  <x:si>
    <x:t>Load #</x:t>
  </x:si>
  <x:si>
    <x:t>Category</x:t>
  </x:si>
  <x:si>
    <x:t>Position</x:t>
  </x:si>
  <x:si>
    <x:t>Val 1</x:t>
  </x:si>
  <x:si>
    <x:t>Loc1 In</x:t>
  </x:si>
  <x:si>
    <x:t>Loc1 Ft</x:t>
  </x:si>
  <x:si>
    <x:t>Loc2 Ft</x:t>
  </x:si>
  <x:si>
    <x:t>Loc2 In</x:t>
  </x:si>
  <x:si>
    <x:t>Remarks</x:t>
  </x:si>
  <x:si>
    <x:t>(blank)</x:t>
  </x:si>
  <x:si>
    <x:t>Rows Req'd</x:t>
  </x:si>
  <x:si>
    <x:t>Ld1 Feet</x:t>
  </x:si>
  <x:si>
    <x:t>Ld1 Inch</x:t>
  </x:si>
  <x:si>
    <x:t>Ld2 Feet</x:t>
  </x:si>
  <x:si>
    <x:t>Ld2 Inch</x:t>
  </x:si>
  <x:si>
    <x:t>(Not Used)</x:t>
  </x:si>
  <x:si>
    <x:t>Lines Req'd</x:t>
  </x:si>
  <x:si>
    <x:t>AddSeat</x:t>
  </x:si>
  <x:si>
    <x:t>BCBrgCant</x:t>
  </x:si>
  <x:si>
    <x:t>BPSetBk</x:t>
  </x:si>
  <x:si>
    <x:t>ContAngle</x:t>
  </x:si>
  <x:si>
    <x:t>Addn’l Bearing Seat @ LE|RE|BE, Setback = #’-##”, Depth = ##”</x:t>
  </x:si>
  <x:si>
    <x:t>Bottom Chord Bearing Cantilever @ LE|RE|BE, Ctr Line of Support = #’-##” @ LE|RE|BE</x:t>
  </x:si>
  <x:si>
    <x:t>Shorten Base Pl @ LE|RE|BE, Setback = #’-#, Max TC Depth = ##”, Ck TCX For Unrein Length, See Section ##</x:t>
  </x:si>
  <x:si>
    <x:t>Continuity Angles for Load Transfer, Hold Double Angle W2 Down for Field Install, No TC Splices within 1st ##” @ LE|RE|BE</x:t>
  </x:si>
  <x:si>
    <x:t>Tie Pl Provided for Load Transfer, No Rein Req’d (***Could Show This Note in Load Note Remarks***)</x:t>
  </x:si>
  <x:si>
    <x:t>PAINT</x:t>
  </x:si>
  <x:si>
    <x:t>NO Shop Primer|NO Shop Primer – Galv|# Shop Coats – Std Gray Primer</x:t>
  </x:si>
  <x:si>
    <x:t>DUCT</x:t>
  </x:si>
  <x:si>
    <x:t>SpBClip</x:t>
  </x:si>
  <x:si>
    <x:t>V100</x:t>
  </x:si>
  <x:si>
    <x:t xml:space="preserve">Add Vertical to Support Load On BCXL|R </x:t>
  </x:si>
  <x:si>
    <x:t>Special Bridging Clip(s) Required per Plan, See Sketch</x:t>
  </x:si>
  <x:si>
    <x:t>##" Dia|##"H x ##"W Duct @ #'-# from L-OAL</x:t>
  </x:si>
  <x:si>
    <x:t>Val 2</x:t>
  </x:si>
  <x:si>
    <x:t>Tot. Ld Rows</x:t>
  </x:si>
  <x:si>
    <x:t>IF(VLOOKUP(FK70,$CB$54:$CD$85,3,FALSE)="","ERR",</x:t>
  </x:si>
  <x:si>
    <x:t>AutoCalc BOM:</x:t>
  </x:si>
  <x:si>
    <x:t>Show Manual Changes:</x:t>
  </x:si>
  <x:si>
    <x:t>Red in G-K</x:t>
  </x:si>
  <x:si>
    <x:t>Note Used</x:t>
  </x:si>
  <x:si>
    <x:t>List of Used Load Notes-&gt;</x:t>
  </x:si>
  <x:si>
    <x:t>List of Used Special Notes-&gt;</x:t>
  </x:si>
  <x:si>
    <x:t>&lt;-Number of Used Notes</x:t>
  </x:si>
  <x:si>
    <x:t>Special Notes</x:t>
  </x:si>
  <x:si>
    <x:t>Number of Manual Save Rows:</x:t>
  </x:si>
  <x:si>
    <x:t>All</x:t>
  </x:si>
  <x:si>
    <x:t>Jst</x:t>
  </x:si>
  <x:si>
    <x:t>TL/LL</x:t>
  </x:si>
  <x:si>
    <x:t>Gir</x:t>
  </x:si>
  <x:si>
    <x:t>Des</x:t>
  </x:si>
  <x:si>
    <x:t>Brd</x:t>
  </x:si>
  <x:si>
    <x:t>Brid</x:t>
  </x:si>
  <x:si>
    <x:t>Joi</x:t>
  </x:si>
  <x:si>
    <x:t>BCX
"X"</x:t>
  </x:si>
  <x:si>
    <x:t>Section Over-Rides</x:t>
  </x:si>
  <x:si>
    <x:t>EOJ</x:t>
  </x:si>
  <x:si>
    <x:r>
      <x:t>BL</x:t>
    </x:r>
    <x:r>
      <x:rPr>
        <x:sz val="4"/>
        <x:rFont val="Arial"/>
        <x:family val="2"/>
      </x:rPr>
      <x:t xml:space="preserve"> (TCX)</x:t>
    </x:r>
  </x:si>
  <x:si>
    <x:t>JOIST AND GIRDER LOAD NOTES</x:t>
  </x:si>
  <x:si>
    <x:t>Temp Sheet that JDS fills out
**BOM uses P_B**</x:t>
  </x:si>
  <x:si>
    <x:t>Note</x:t>
  </x:si>
  <x:si>
    <x:t>Sect. Num.</x:t>
  </x:si>
  <x:si>
    <x:t>EOG</x:t>
  </x:si>
  <x:si>
    <x:t># KB
/Gir.</x:t>
  </x:si>
  <x:si>
    <x:t>TC Width</x:t>
  </x:si>
  <x:si>
    <x:t>Min. Clr Bearing</x:t>
  </x:si>
  <x:si>
    <x:t>Load
(K)</x:t>
  </x:si>
  <x:si>
    <x:r>
      <x:t xml:space="preserve">Bolt
</x:t>
    </x:r>
    <x:r>
      <x:rPr>
        <x:sz val="5"/>
        <x:rFont val="Arial Narrow"/>
        <x:family val="2"/>
      </x:rPr>
      <x:t>N/F/B</x:t>
    </x:r>
  </x:si>
  <x:si>
    <x:t>Panel Layout N/F/B</x:t>
  </x:si>
  <x:si>
    <x:t>Joist
"Bay Length"</x:t>
  </x:si>
  <x:si>
    <x:t>Girder
"Bay Length"</x:t>
  </x:si>
  <x:si>
    <x:t>Sect. Num</x:t>
  </x:si>
  <x:si>
    <x:t>AR</x:t>
  </x:si>
  <x:si>
    <x:t>LH Series (&lt;= 06)</x:t>
  </x:si>
  <x:si>
    <x:t>LH Series (&gt;= 07)</x:t>
  </x:si>
  <x:si>
    <x:t>18LH10</x:t>
  </x:si>
  <x:si>
    <x:t>18LH11</x:t>
  </x:si>
  <x:si>
    <x:t>18LH12</x:t>
  </x:si>
  <x:si>
    <x:t>18LH13</x:t>
  </x:si>
  <x:si>
    <x:t>18LH14</x:t>
  </x:si>
  <x:si>
    <x:t>18LH15</x:t>
  </x:si>
  <x:si>
    <x:t>18LH16</x:t>
  </x:si>
  <x:si>
    <x:t>18LH17</x:t>
  </x:si>
  <x:si>
    <x:t>18LH18</x:t>
  </x:si>
  <x:si>
    <x:t>18LH19</x:t>
  </x:si>
  <x:si>
    <x:t>18LH20</x:t>
  </x:si>
  <x:si>
    <x:t>20LH11</x:t>
  </x:si>
  <x:si>
    <x:t>20LH12</x:t>
  </x:si>
  <x:si>
    <x:t>20LH13</x:t>
  </x:si>
  <x:si>
    <x:t>20LH14</x:t>
  </x:si>
  <x:si>
    <x:t>20LH15</x:t>
  </x:si>
  <x:si>
    <x:t>20LH16</x:t>
  </x:si>
  <x:si>
    <x:t>20LH17</x:t>
  </x:si>
  <x:si>
    <x:t>20LH18</x:t>
  </x:si>
  <x:si>
    <x:t>20LH19</x:t>
  </x:si>
  <x:si>
    <x:t>20LH20</x:t>
  </x:si>
  <x:si>
    <x:t>24LH12</x:t>
  </x:si>
  <x:si>
    <x:t>24LH13</x:t>
  </x:si>
  <x:si>
    <x:t>24LH14</x:t>
  </x:si>
  <x:si>
    <x:t>24LH15</x:t>
  </x:si>
  <x:si>
    <x:t>24LH16</x:t>
  </x:si>
  <x:si>
    <x:t>24LH17</x:t>
  </x:si>
  <x:si>
    <x:t>24LH18</x:t>
  </x:si>
  <x:si>
    <x:t>24LH19</x:t>
  </x:si>
  <x:si>
    <x:t>24LH20</x:t>
  </x:si>
  <x:si>
    <x:t>24LH21</x:t>
  </x:si>
  <x:si>
    <x:t>28LH14</x:t>
  </x:si>
  <x:si>
    <x:t>28LH15</x:t>
  </x:si>
  <x:si>
    <x:t>28LH16</x:t>
  </x:si>
  <x:si>
    <x:t>28LH17</x:t>
  </x:si>
  <x:si>
    <x:t>28LH18</x:t>
  </x:si>
  <x:si>
    <x:t>28LH19</x:t>
  </x:si>
  <x:si>
    <x:t>28LH20</x:t>
  </x:si>
  <x:si>
    <x:t>28LH21</x:t>
  </x:si>
  <x:si>
    <x:t>28LH22</x:t>
  </x:si>
  <x:si>
    <x:t>28LH23</x:t>
  </x:si>
  <x:si>
    <x:t>32LH16</x:t>
  </x:si>
  <x:si>
    <x:t>32LH17</x:t>
  </x:si>
  <x:si>
    <x:t>32LH18</x:t>
  </x:si>
  <x:si>
    <x:t>32LH19</x:t>
  </x:si>
  <x:si>
    <x:t>32LH20</x:t>
  </x:si>
  <x:si>
    <x:t>32LH21</x:t>
  </x:si>
  <x:si>
    <x:t>32LH22</x:t>
  </x:si>
  <x:si>
    <x:t>32LH23</x:t>
  </x:si>
  <x:si>
    <x:t>32LH24</x:t>
  </x:si>
  <x:si>
    <x:t>36LH16</x:t>
  </x:si>
  <x:si>
    <x:t>36LH17</x:t>
  </x:si>
  <x:si>
    <x:t>36LH18</x:t>
  </x:si>
  <x:si>
    <x:t>36LH19</x:t>
  </x:si>
  <x:si>
    <x:t>36LH20</x:t>
  </x:si>
  <x:si>
    <x:t>36LH21</x:t>
  </x:si>
  <x:si>
    <x:t>36LH22</x:t>
  </x:si>
  <x:si>
    <x:t>36LH23</x:t>
  </x:si>
  <x:si>
    <x:t>36LH24</x:t>
  </x:si>
  <x:si>
    <x:t>36LH25</x:t>
  </x:si>
  <x:si>
    <x:t>40LH17</x:t>
  </x:si>
  <x:si>
    <x:t>40LH18</x:t>
  </x:si>
  <x:si>
    <x:t>40LH19</x:t>
  </x:si>
  <x:si>
    <x:t>40LH20</x:t>
  </x:si>
  <x:si>
    <x:t>40LH21</x:t>
  </x:si>
  <x:si>
    <x:t>40LH22</x:t>
  </x:si>
  <x:si>
    <x:t>40LH23</x:t>
  </x:si>
  <x:si>
    <x:t>40LH24</x:t>
  </x:si>
  <x:si>
    <x:t>40LH25</x:t>
  </x:si>
  <x:si>
    <x:t>44LH18</x:t>
  </x:si>
  <x:si>
    <x:t>44LH19</x:t>
  </x:si>
  <x:si>
    <x:t>44LH20</x:t>
  </x:si>
  <x:si>
    <x:t>44LH21</x:t>
  </x:si>
  <x:si>
    <x:t>44LH22</x:t>
  </x:si>
  <x:si>
    <x:t>44LH23</x:t>
  </x:si>
  <x:si>
    <x:t>44LH24</x:t>
  </x:si>
  <x:si>
    <x:t>44LH25</x:t>
  </x:si>
  <x:si>
    <x:t>48LH18</x:t>
  </x:si>
  <x:si>
    <x:t>48LH19</x:t>
  </x:si>
  <x:si>
    <x:t>48LH20</x:t>
  </x:si>
  <x:si>
    <x:t>48LH21</x:t>
  </x:si>
  <x:si>
    <x:t>48LH22</x:t>
  </x:si>
  <x:si>
    <x:t>48LH23</x:t>
  </x:si>
  <x:si>
    <x:t>48LH24</x:t>
  </x:si>
  <x:si>
    <x:t>48LH25</x:t>
  </x:si>
  <x:si>
    <x:r>
      <x:rPr>
        <x:sz val="8"/>
        <x:color rgb="FF969696"/>
        <x:rFont val="Arial"/>
        <x:family val="2"/>
      </x:rPr>
      <x:t>Paint List</x:t>
    </x:r>
    <x:r>
      <x:rPr>
        <x:sz val="8"/>
        <x:color indexed="55"/>
        <x:rFont val="Arial Black"/>
        <x:family val="2"/>
      </x:rPr>
      <x:t>&gt;</x:t>
    </x:r>
  </x:si>
  <x:si>
    <x:r>
      <x:t>&lt;</x:t>
    </x:r>
    <x:r>
      <x:rPr>
        <x:sz val="8"/>
        <x:color rgb="FF969696"/>
        <x:rFont val="Arial"/>
        <x:family val="2"/>
      </x:rPr>
      <x:t>Paint List</x:t>
    </x:r>
  </x:si>
  <x:si>
    <x:t>No Primer</x:t>
  </x:si>
  <x:si>
    <x:t>No Primer - Galv</x:t>
  </x:si>
  <x:si>
    <x:t>2 Coats Gray Primer</x:t>
  </x:si>
  <x:si>
    <x:t>3 Coats Gray Primer</x:t>
  </x:si>
  <x:si>
    <x:t>Other: &lt;Enter info here&gt;</x:t>
  </x:si>
  <x:si>
    <x:t>Finish Types</x:t>
  </x:si>
  <x:si>
    <x:t>Gray Primer</x:t>
  </x:si>
  <x:si>
    <x:t>P3</x:t>
  </x:si>
  <x:si>
    <x:t>PLin</x:t>
  </x:si>
  <x:si>
    <x:t>N.S.</x:t>
  </x:si>
  <x:si>
    <x:t>NOT SEQUENCED</x:t>
  </x:si>
  <x:si>
    <x:t>1</x:t>
  </x:si>
  <x:si>
    <x:t>SEQ1</x:t>
  </x:si>
  <x:si>
    <x:t>SEQ2</x:t>
  </x:si>
  <x:si>
    <x:t>3</x:t>
  </x:si>
  <x:si>
    <x:t>SEQ3</x:t>
  </x:si>
  <x:si>
    <x:t>Girders</x:t>
  </x:si>
  <x:si>
    <x:t>G1</x:t>
  </x:si>
  <x:si>
    <x:t>-</x:t>
  </x:si>
  <x:si>
    <x:t>G2</x:t>
  </x:si>
  <x:si>
    <x:t>G3</x:t>
  </x:si>
  <x:si>
    <x:t>G4</x:t>
  </x:si>
  <x:si>
    <x:t>G5</x:t>
  </x:si>
  <x:si>
    <x:t>G6</x:t>
  </x:si>
  <x:si>
    <x:t>G7</x:t>
  </x:si>
  <x:si>
    <x:t>G8</x:t>
  </x:si>
  <x:si>
    <x:t>G9</x:t>
  </x:si>
  <x:si>
    <x:t>G10</x:t>
  </x:si>
  <x:si>
    <x:t>G11</x:t>
  </x:si>
  <x:si>
    <x:t>G12</x:t>
  </x:si>
  <x:si>
    <x:t>G13</x:t>
  </x:si>
  <x:si>
    <x:t>G14</x:t>
  </x:si>
  <x:si>
    <x:t>G15</x:t>
  </x:si>
  <x:si>
    <x:t>G16</x:t>
  </x:si>
  <x:si>
    <x:t>G17</x:t>
  </x:si>
  <x:si>
    <x:t>G18</x:t>
  </x:si>
  <x:si>
    <x:t>G19</x:t>
  </x:si>
  <x:si>
    <x:t>G20</x:t>
  </x:si>
  <x:si>
    <x:t>G21</x:t>
  </x:si>
  <x:si>
    <x:t>G22</x:t>
  </x:si>
  <x:si>
    <x:t>G23</x:t>
  </x:si>
  <x:si>
    <x:t>G24</x:t>
  </x:si>
  <x:si>
    <x:t>G25</x:t>
  </x:si>
  <x:si>
    <x:t>G26</x:t>
  </x:si>
  <x:si>
    <x:t>G27</x:t>
  </x:si>
  <x:si>
    <x:t>G28</x:t>
  </x:si>
  <x:si>
    <x:t>G29</x:t>
  </x:si>
  <x:si>
    <x:t>Joists</x:t>
  </x:si>
  <x:si>
    <x:t>J1</x:t>
  </x:si>
  <x:si>
    <x:t>J2</x:t>
  </x:si>
  <x:si>
    <x:t>J3</x:t>
  </x:si>
  <x:si>
    <x:t>J4</x:t>
  </x:si>
  <x:si>
    <x:t>J5</x:t>
  </x:si>
  <x:si>
    <x:t>J6</x:t>
  </x:si>
  <x:si>
    <x:t>J7</x:t>
  </x:si>
  <x:si>
    <x:t>TJ8</x:t>
  </x:si>
  <x:si>
    <x:t>J9</x:t>
  </x:si>
  <x:si>
    <x:t>J10</x:t>
  </x:si>
  <x:si>
    <x:t>TJ11</x:t>
  </x:si>
  <x:si>
    <x:t>J12</x:t>
  </x:si>
  <x:si>
    <x:t>J13</x:t>
  </x:si>
  <x:si>
    <x:t>J14</x:t>
  </x:si>
  <x:si>
    <x:t>J15</x:t>
  </x:si>
  <x:si>
    <x:t>J16</x:t>
  </x:si>
  <x:si>
    <x:t>TJ17</x:t>
  </x:si>
  <x:si>
    <x:t>J18</x:t>
  </x:si>
  <x:si>
    <x:t>TJ19</x:t>
  </x:si>
  <x:si>
    <x:t>J20</x:t>
  </x:si>
  <x:si>
    <x:t>J21</x:t>
  </x:si>
  <x:si>
    <x:t>J22</x:t>
  </x:si>
  <x:si>
    <x:t>J23</x:t>
  </x:si>
  <x:si>
    <x:t>J24</x:t>
  </x:si>
  <x:si>
    <x:t>J25</x:t>
  </x:si>
  <x:si>
    <x:t>TJ26</x:t>
  </x:si>
  <x:si>
    <x:t>J27</x:t>
  </x:si>
  <x:si>
    <x:t>J28</x:t>
  </x:si>
  <x:si>
    <x:t>J29</x:t>
  </x:si>
  <x:si>
    <x:t>J30</x:t>
  </x:si>
  <x:si>
    <x:t>TJ31</x:t>
  </x:si>
  <x:si>
    <x:t>J32</x:t>
  </x:si>
  <x:si>
    <x:t>J33</x:t>
  </x:si>
  <x:si>
    <x:t>J34</x:t>
  </x:si>
  <x:si>
    <x:t>J35</x:t>
  </x:si>
  <x:si>
    <x:t>J36</x:t>
  </x:si>
  <x:si>
    <x:t>J37</x:t>
  </x:si>
  <x:si>
    <x:t>J38</x:t>
  </x:si>
  <x:si>
    <x:t>J39</x:t>
  </x:si>
  <x:si>
    <x:t>J40</x:t>
  </x:si>
  <x:si>
    <x:t>J41</x:t>
  </x:si>
  <x:si>
    <x:t>J42</x:t>
  </x:si>
  <x:si>
    <x:t>J43</x:t>
  </x:si>
  <x:si>
    <x:t>TJ44</x:t>
  </x:si>
  <x:si>
    <x:t>J45</x:t>
  </x:si>
  <x:si>
    <x:t>J46</x:t>
  </x:si>
  <x:si>
    <x:t>J47</x:t>
  </x:si>
  <x:si>
    <x:t>J48</x:t>
  </x:si>
  <x:si>
    <x:t>J49</x:t>
  </x:si>
  <x:si>
    <x:t>J50</x:t>
  </x:si>
  <x:si>
    <x:t>J51</x:t>
  </x:si>
  <x:si>
    <x:t>J52</x:t>
  </x:si>
  <x:si>
    <x:t>J53</x:t>
  </x:si>
  <x:si>
    <x:t>TJ54</x:t>
  </x:si>
  <x:si>
    <x:t>J55</x:t>
  </x:si>
  <x:si>
    <x:t>J56</x:t>
  </x:si>
  <x:si>
    <x:t>J57</x:t>
  </x:si>
  <x:si>
    <x:t>J58</x:t>
  </x:si>
  <x:si>
    <x:t>TJ59</x:t>
  </x:si>
  <x:si>
    <x:t>J60</x:t>
  </x:si>
  <x:si>
    <x:t>J61</x:t>
  </x:si>
  <x:si>
    <x:t>J62</x:t>
  </x:si>
  <x:si>
    <x:t>TJ63</x:t>
  </x:si>
  <x:si>
    <x:t>J64</x:t>
  </x:si>
  <x:si>
    <x:t>J65</x:t>
  </x:si>
  <x:si>
    <x:t>J66</x:t>
  </x:si>
  <x:si>
    <x:t>J67</x:t>
  </x:si>
  <x:si>
    <x:t>J68</x:t>
  </x:si>
  <x:si>
    <x:t>J69</x:t>
  </x:si>
  <x:si>
    <x:t>J70</x:t>
  </x:si>
  <x:si>
    <x:t>J71</x:t>
  </x:si>
  <x:si>
    <x:t>J72</x:t>
  </x:si>
  <x:si>
    <x:t>J73</x:t>
  </x:si>
  <x:si>
    <x:t>Bridging</x:t>
  </x:si>
  <x:si>
    <x:t>H1</x:t>
  </x:si>
  <x:si>
    <x:t>W1</x:t>
  </x:si>
  <x:si>
    <x:t>W2</x:t>
  </x:si>
  <x:si>
    <x:t>B1</x:t>
  </x:si>
  <x:si>
    <x:t>B2</x:t>
  </x:si>
  <x:si>
    <x:t>X1</x:t>
  </x:si>
  <x:si>
    <x:t>X2</x:t>
  </x:si>
  <x:si>
    <x:t>X3</x:t>
  </x:si>
  <x:si>
    <x:t>X4</x:t>
  </x:si>
  <x:si>
    <x:t>X5</x:t>
  </x:si>
  <x:si>
    <x:t>FULL STRIP</x:t>
  </x:si>
  <x:si>
    <x:t xml:space="preserve">STRIP </x:t>
  </x:si>
  <x:si>
    <x:t>TYP NU</x:t>
  </x:si>
  <x:si>
    <x:t>4</x:t>
  </x:si>
  <x:si>
    <x:t>5</x:t>
  </x:si>
  <x:si>
    <x:t>6</x:t>
  </x:si>
  <x:si>
    <x:t>7</x:t>
  </x:si>
  <x:si>
    <x:t>SNOW DRIFT</x:t>
  </x:si>
  <x:si>
    <x:t>10</x:t>
  </x:si>
  <x:si>
    <x:t>11</x:t>
  </x:si>
  <x:si>
    <x:t>12</x:t>
  </x:si>
  <x:si>
    <x:t>13</x:t>
  </x:si>
  <x:si>
    <x:t>14</x:t>
  </x:si>
  <x:si>
    <x:t>15</x:t>
  </x:si>
  <x:si>
    <x:t>16</x:t>
  </x:si>
  <x:si>
    <x:t>17</x:t>
  </x:si>
  <x:si>
    <x:t>18</x:t>
  </x:si>
  <x:si>
    <x:t>19</x:t>
  </x:si>
  <x:si>
    <x:t>20</x:t>
  </x:si>
  <x:si>
    <x:t>21</x:t>
  </x:si>
  <x:si>
    <x:t>22</x:t>
  </x:si>
  <x:si>
    <x:t>23</x:t>
  </x:si>
  <x:si>
    <x:t>SNOW DRIFT TO G</x:t>
  </x:si>
  <x:si>
    <x:t>24</x:t>
  </x:si>
  <x:si>
    <x:t>25</x:t>
  </x:si>
  <x:si>
    <x:t>TYP JOIST AXIAL</x:t>
  </x:si>
  <x:si>
    <x:t>26</x:t>
  </x:si>
  <x:si>
    <x:t>TYP RTU</x:t>
  </x:si>
  <x:si>
    <x:t>27</x:t>
  </x:si>
  <x:si>
    <x:t>MUA / RTU XFER GIRDER</x:t>
  </x:si>
  <x:si>
    <x:t>28</x:t>
  </x:si>
  <x:si>
    <x:t>MUA XFER GIRDER</x:t>
  </x:si>
  <x:si>
    <x:t>29</x:t>
  </x:si>
  <x:si>
    <x:t>WF BRACE LOADS</x:t>
  </x:si>
  <x:si>
    <x:t>30</x:t>
  </x:si>
  <x:si>
    <x:t>31</x:t>
  </x:si>
  <x:si>
    <x:t>32</x:t>
  </x:si>
  <x:si>
    <x:t>WF BRACE LOADS TO G</x:t>
  </x:si>
  <x:si>
    <x:t>33</x:t>
  </x:si>
  <x:si>
    <x:t>34</x:t>
  </x:si>
  <x:si>
    <x:t>35</x:t>
  </x:si>
  <x:si>
    <x:t>MAIN PAR J</x:t>
  </x:si>
  <x:si>
    <x:t>36</x:t>
  </x:si>
  <x:si>
    <x:t>MAIN PERP G</x:t>
  </x:si>
  <x:si>
    <x:t>37</x:t>
  </x:si>
  <x:si>
    <x:t>38</x:t>
  </x:si>
  <x:si>
    <x:t>MAIN PERP J</x:t>
  </x:si>
  <x:si>
    <x:t>39</x:t>
  </x:si>
  <x:si>
    <x:t>40</x:t>
  </x:si>
  <x:si>
    <x:t>JOIST AXIAL XFERS THRU TIE PLATE @ L.E. / THRU SEAT @ R.E.</x:t>
  </x:si>
  <x:si>
    <x:t>GIRDER AX XFERS THRU SEAT @ L.E., REDUCES TO 0.0K @ R.E.</x:t>
  </x:si>
  <x:si>
    <x:t>AT R.E. MAINTAIN 1'-1" MIN. CLEAR BEARING - SEAT TYPE R. DESIGNER TO ENSURE THAT GIRDER W2</x:t>
  </x:si>
  <x:si>
    <x:t>CLEARS 3/4X3/4 BAR WHILE WORKING POINT REMAINS MINIMUM 1/2” PAST EDGE OF BEARING @ R.E. SEE</x:t>
  </x:si>
  <x:si>
    <x:t>SECTION 2 &amp; 3/J1.0</x:t>
  </x:si>
  <x:si>
    <x:t>D</x:t>
  </x:si>
  <x:si>
    <x:t>GIRDER AXIAL XFERS THRU SEAT @ B.E. UNO</x:t>
  </x:si>
  <x:si>
    <x:t>E</x:t>
  </x:si>
  <x:si>
    <x:t>F</x:t>
  </x:si>
  <x:si>
    <x:t>6" MAIN AT FIRST/LAST PP</x:t>
  </x:si>
  <x:si>
    <x:t>6" MAIN @ 46'-6" FROM L=PTP IS 4'-0" FROM BOTTOM OF DECK</x:t>
  </x:si>
  <x:si>
    <x:t>H</x:t>
  </x:si>
  <x:si>
    <x:t>6" MAIN @46'-0" FROM L-PTP IS 4'-0" FROM BOTTOM OF DECK</x:t>
  </x:si>
  <x:si>
    <x:t>48VG9N16.3K</x:t>
  </x:si>
  <x:si>
    <x:t>#1</x:t>
  </x:si>
  <x:si>
    <x:t>#2</x:t>
  </x:si>
  <x:si>
    <x:t>#3</x:t>
  </x:si>
  <x:si>
    <x:t>#4</x:t>
  </x:si>
  <x:si>
    <x:t>#5</x:t>
  </x:si>
  <x:si>
    <x:t>#6</x:t>
  </x:si>
  <x:si>
    <x:t>#7</x:t>
  </x:si>
  <x:si>
    <x:t>52VG9N15.3K</x:t>
  </x:si>
  <x:si>
    <x:t>48VG9N13.8K</x:t>
  </x:si>
  <x:si>
    <x:t>52VG9N18.3K</x:t>
  </x:si>
  <x:si>
    <x:t>Verify girder has sufficient minimum required bearing on RIGHT ends.  Girders with a</x:t>
  </x:si>
  <x:si>
    <x:t>self-weight greater than 50 plf. require 6" minimum bearing on steel.</x:t>
  </x:si>
  <x:si>
    <x:t>Joist is bearing within 8" of the seat on the RIGHT end - Contact the Engineer of Record</x:t>
  </x:si>
  <x:si>
    <x:t>for reduced point load at this location.</x:t>
  </x:si>
  <x:si>
    <x:t>32LH305/180</x:t>
  </x:si>
  <x:si>
    <x:t>44LH305/180</x:t>
  </x:si>
  <x:si>
    <x:t>ENGINEERING REVIEW BY: EC</x:t>
  </x:si>
  <x:si>
    <x:t>INTERNATIONAL BUILDING CODE 2018</x:t>
  </x:si>
  <x:si>
    <x:t>SDS = 1.296</x:t>
  </x:si>
  <x:si>
    <x:t>LIVE LOAD DEFLECTION = L/240</x:t>
  </x:si>
  <x:si>
    <x:t>SEISMIC SEPARATION IS REQUIRED</x:t>
  </x:si>
  <x:si>
    <x:t>GIRDER L = 59%</x:t>
  </x:si>
  <x:si>
    <x:t>FINAL CALCS REQUIRED</x:t>
  </x:si>
  <x:si>
    <x:t>CAMBER PER SJI</x:t>
  </x:si>
  <x:si>
    <x:t>JOIST AXIAL XFERS THRU TIE PLATE @ BE TYP, UNO</x:t>
  </x:si>
  <x:si>
    <x:t>2" BRANCHLINES @ 8" FROM TOP OF JOIST.</x:t>
  </x:si>
  <x:si>
    <x:t>6" MAINS @ 1'-0" FROM TOP OF JOIST. TYP UNO</x:t>
  </x:si>
  <x:si>
    <x:t>1/4" MIN SEAT MATERIAL THICKNESS</x:t>
  </x:si>
  <x:si>
    <x:t>MINDEN UPS BLDG 1</x:t>
  </x:si>
  <x:si>
    <x:t>MINDEN, NV</x:t>
  </x:si>
  <x:si>
    <x:t>NN22-0071</x:t>
  </x:si>
  <x:si>
    <x:t>JMM</x:t>
  </x:si>
  <x:si>
    <x:t>NR</x:t>
  </x:si>
  <x:si>
    <x:t>C (1)</x:t>
  </x:si>
  <x:si>
    <x:t>N (1)</x:t>
  </x:si>
  <x:si>
    <x:t>L (1)</x:t>
  </x:si>
  <x:si>
    <x:t>L (2)</x:t>
  </x:si>
  <x:si>
    <x:t>L (3)</x:t>
  </x:si>
  <x:si>
    <x:t>S (1)</x:t>
  </x:si>
  <x:si>
    <x:t>S (2)</x:t>
  </x:si>
  <x:si>
    <x:t>S (3)</x:t>
  </x:si>
  <x:si>
    <x:t>S (4)</x:t>
  </x:si>
  <x:si>
    <x:t>G (1)</x:t>
  </x:si>
  <x:si>
    <x:t>[B,F](4,23,27,36)</x:t>
  </x:si>
  <x:si>
    <x:t>[D](4,28)</x:t>
  </x:si>
  <x:si>
    <x:t>[D](4)</x:t>
  </x:si>
  <x:si>
    <x:t>[B,F,G](4,27,32,37)</x:t>
  </x:si>
  <x:si>
    <x:t>[B,C,F](4,27,36)</x:t>
  </x:si>
  <x:si>
    <x:t>[F](24,27,36)</x:t>
  </x:si>
  <x:si>
    <x:t>(27)</x:t>
  </x:si>
  <x:si>
    <x:t>[F,G](27,33,37)</x:t>
  </x:si>
  <x:si>
    <x:t>[C,F](27,36)</x:t>
  </x:si>
  <x:si>
    <x:t>[F](27,33,37)</x:t>
  </x:si>
  <x:si>
    <x:t>G (2)</x:t>
  </x:si>
  <x:si>
    <x:t>[B,F](5,23,27,36)</x:t>
  </x:si>
  <x:si>
    <x:t>[D](5,28)</x:t>
  </x:si>
  <x:si>
    <x:t>[D](5)</x:t>
  </x:si>
  <x:si>
    <x:t>[B,F](5,27,34,36)</x:t>
  </x:si>
  <x:si>
    <x:t>[B,C,F](5,27,36)</x:t>
  </x:si>
  <x:si>
    <x:t>[D](4,27)</x:t>
  </x:si>
  <x:si>
    <x:t>[B,F,H](4,27,32,37)</x:t>
  </x:si>
  <x:si>
    <x:t>[B,C,F,H](4,37)</x:t>
  </x:si>
  <x:si>
    <x:t>[F,H](27,33,37)</x:t>
  </x:si>
  <x:si>
    <x:t>[C,F,H](37)</x:t>
  </x:si>
  <x:si>
    <x:t>[C,F](37)</x:t>
  </x:si>
  <x:si>
    <x:t>[D](5,27)</x:t>
  </x:si>
  <x:si>
    <x:t>[B,C,F](5,36)</x:t>
  </x:si>
  <x:si>
    <x:t>J (1)</x:t>
  </x:si>
  <x:si>
    <x:t>[A](1,6,7,35)</x:t>
  </x:si>
  <x:si>
    <x:t>[A](1,6,8)</x:t>
  </x:si>
  <x:si>
    <x:t>[A](1,9,25)</x:t>
  </x:si>
  <x:si>
    <x:t>[A](1,10,25)</x:t>
  </x:si>
  <x:si>
    <x:t>[A](2,11,25,26)</x:t>
  </x:si>
  <x:si>
    <x:t>[A](2,12,25,26)</x:t>
  </x:si>
  <x:si>
    <x:t>[A](2,12,25)</x:t>
  </x:si>
  <x:si>
    <x:t>[A](2,21,25)</x:t>
  </x:si>
  <x:si>
    <x:t>[A](2,21,25,27)</x:t>
  </x:si>
  <x:si>
    <x:t>[A](2,21,25,26)</x:t>
  </x:si>
  <x:si>
    <x:t>[A](2,21,25,26,38)</x:t>
  </x:si>
  <x:si>
    <x:t>[A](2,21,25,35,38)</x:t>
  </x:si>
  <x:si>
    <x:t>[A](2,21,25,29,35,38)</x:t>
  </x:si>
  <x:si>
    <x:t>[A](2,6,12,35)</x:t>
  </x:si>
  <x:si>
    <x:t>J (2)</x:t>
  </x:si>
  <x:si>
    <x:t>[A](2,12,25,27)</x:t>
  </x:si>
  <x:si>
    <x:t>(1,6,13,35)</x:t>
  </x:si>
  <x:si>
    <x:t>(1,6,14)</x:t>
  </x:si>
  <x:si>
    <x:t>(1,15,25)</x:t>
  </x:si>
  <x:si>
    <x:t>(1,16,25)</x:t>
  </x:si>
  <x:si>
    <x:t>(3,17,25)</x:t>
  </x:si>
  <x:si>
    <x:t>(3,25)</x:t>
  </x:si>
  <x:si>
    <x:t>(3,25,35)</x:t>
  </x:si>
  <x:si>
    <x:t>(3,25,29,35)</x:t>
  </x:si>
  <x:si>
    <x:t>(3,6,35)</x:t>
  </x:si>
  <x:si>
    <x:t>(3,25,26)</x:t>
  </x:si>
  <x:si>
    <x:t>(3,25,27)</x:t>
  </x:si>
  <x:si>
    <x:t>(1,6,18,35)</x:t>
  </x:si>
  <x:si>
    <x:t>(1,6,19)</x:t>
  </x:si>
  <x:si>
    <x:t>(1,20,25)</x:t>
  </x:si>
  <x:si>
    <x:t>(1,25)</x:t>
  </x:si>
  <x:si>
    <x:t>(3,25,26,35,39)</x:t>
  </x:si>
  <x:si>
    <x:t>(3,25,30,35,39)</x:t>
  </x:si>
  <x:si>
    <x:t>J (3)</x:t>
  </x:si>
  <x:si>
    <x:t>[A](2,21,25,31,35)</x:t>
  </x:si>
  <x:si>
    <x:t>[A](2,6,21,35)</x:t>
  </x:si>
  <x:si>
    <x:t>[A](2,22,25)</x:t>
  </x:si>
  <x:si>
    <x:t>[A](2,22,25,27)</x:t>
  </x:si>
  <x:si>
    <x:t>[A](2,12,25,40)</x:t>
  </x:si>
  <x:si>
    <x:t>[A](2,12,25,26,40)</x:t>
  </x:si>
  <x:si>
    <x:t>[A](2,12,25,35,40)</x:t>
  </x:si>
  <x:si>
    <x:t>[A](2,12,25,29,35,40)</x:t>
  </x:si>
  <x:si>
    <x:t>J (4)</x:t>
  </x:si>
  <x:si>
    <x:t>[A](2,6,21,35,40)</x:t>
  </x:si>
  <x:si>
    <x:t>[A](2,21,25,35)</x:t>
  </x:si>
  <x:si>
    <x:t>[A](2,11,25)</x:t>
  </x:si>
  <x:si>
    <x:t>(3,6,35,39)</x:t>
  </x:si>
  <x:si>
    <x:t>(3,25,35,39)</x:t>
  </x:si>
  <x:si>
    <x:t>[A](2,22,25,26)</x:t>
  </x:si>
  <x:si>
    <x:t>B (1)</x:t>
  </x:si>
  <x:si>
    <x:t>P (1)</x:t>
  </x:si>
  <x:si>
    <x:t xml:space="preserve">2" BRANCH LINES @ 5'-0", 15'-0", 25'-0", 35'-0", 45'-0", 55'-0" &amp; 65'-0" FROM L-PTP, TYP U.N.O.	</x:t>
  </x:si>
  <x:si>
    <x:t>SPECIAL</x:t>
  </x:si>
  <x:si>
    <x:t>LOAD</x:t>
  </x:si>
  <x:si>
    <x:t>OHA1</x:t>
  </x:si>
  <x:si>
    <x:t>OHA2</x:t>
  </x:si>
  <x:si>
    <x:t>OHP1</x:t>
  </x:si>
  <x:si>
    <x:t>OHP2</x:t>
  </x:si>
  <x:si>
    <x:t>[B,C,E,F](4,27,36)</x:t>
  </x:si>
  <x:si>
    <x:t>[B,C,E,F](5,27,36)</x:t>
  </x:si>
  <x:si>
    <x:t>[B,C,E,F,H](4,37)</x:t>
  </x:si>
  <x:si>
    <x:t>[B,C,E,F](5,36)</x:t>
  </x:si>
  <x:si>
    <x:t>13/16" DIA. HOLES IN GIRDER SEAT @ R.E. (NOT SLOTS)</x:t>
  </x:si>
  <x:si>
    <x:t>[C,E,F](27,36)</x:t>
  </x:si>
  <x:si>
    <x:t>[C,E,F](37)</x:t>
  </x:si>
  <x:si>
    <x:t>[C,E,F,H](37)</x:t>
  </x:si>
</x:sst>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883">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12"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6" xfId="0" applyFont="1" applyBorder="1" applyAlignment="1">
      <alignment horizontal="center" vertical="center"/>
    </xf>
    <xf numFmtId="0" fontId="15" fillId="0" borderId="68" xfId="0" applyFont="1" applyBorder="1" applyAlignment="1">
      <alignment horizontal="center"/>
    </xf>
    <xf numFmtId="0" fontId="48" fillId="2" borderId="31" xfId="0" applyFont="1" applyFill="1" applyBorder="1" applyAlignment="1">
      <alignment horizont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9" xfId="0" applyFont="1" applyBorder="1" applyAlignment="1">
      <alignment horizontal="center" vertic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0" fillId="0" borderId="31" xfId="0" applyBorder="1" applyAlignment="1">
      <alignment horizontal="center"/>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0" fontId="15" fillId="0" borderId="226"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0" fillId="0" borderId="119" xfId="0" applyBorder="1"/>
    <xf numFmtId="0" fontId="0" fillId="0" borderId="51" xfId="0" applyBorder="1"/>
    <xf numFmtId="0" fontId="7" fillId="0" borderId="52" xfId="0" applyFont="1" applyBorder="1" applyProtection="1">
      <protection hidden="1"/>
    </xf>
    <xf numFmtId="0" fontId="7" fillId="0" borderId="0" xfId="0" applyFont="1" applyProtection="1">
      <protection hidden="1"/>
    </xf>
    <xf numFmtId="0" fontId="0" fillId="0" borderId="0" xfId="0"/>
    <xf numFmtId="0" fontId="0" fillId="0" borderId="53" xfId="0" applyBorder="1"/>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72" fillId="0" borderId="326" xfId="0" applyFont="1" applyBorder="1" applyAlignment="1">
      <alignment horizontal="center" vertical="center"/>
    </xf>
    <xf numFmtId="0" fontId="72" fillId="0" borderId="332" xfId="0" applyFont="1" applyBorder="1" applyAlignment="1">
      <alignment horizontal="center" vertical="center"/>
    </xf>
    <xf numFmtId="0" fontId="72" fillId="0" borderId="327" xfId="0" applyFont="1" applyBorder="1" applyAlignment="1">
      <alignment horizontal="center" vertical="center"/>
    </xf>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2" fillId="0" borderId="336" xfId="0" applyFont="1" applyBorder="1" applyAlignment="1">
      <alignment horizontal="center" vertical="center"/>
    </xf>
    <xf numFmtId="0" fontId="72" fillId="0" borderId="330" xfId="0" applyFont="1" applyBorder="1" applyAlignment="1">
      <alignment horizontal="center" vertical="center"/>
    </xf>
    <xf numFmtId="0" fontId="72" fillId="0" borderId="324" xfId="0" applyFont="1" applyBorder="1" applyAlignment="1">
      <alignment horizontal="center" vertical="center"/>
    </xf>
    <xf numFmtId="0" fontId="72" fillId="0" borderId="333" xfId="0" applyFont="1" applyBorder="1" applyAlignment="1">
      <alignment horizontal="center" vertical="center"/>
    </xf>
    <xf numFmtId="0" fontId="72" fillId="0" borderId="312" xfId="0" applyFont="1" applyBorder="1" applyAlignment="1">
      <alignment horizontal="center" vertical="center"/>
    </xf>
    <xf numFmtId="0" fontId="72" fillId="0" borderId="125" xfId="0" applyFont="1" applyBorder="1" applyAlignment="1">
      <alignment horizontal="center" vertical="center"/>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Protection="1">
      <protection hidden="1"/>
    </xf>
    <xf numFmtId="0" fontId="6" fillId="5" borderId="52" xfId="0" applyFont="1" applyFill="1" applyBorder="1" applyProtection="1">
      <protection hidden="1"/>
    </xf>
    <xf numFmtId="0" fontId="6" fillId="5" borderId="0" xfId="0" applyFont="1" applyFill="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73" fillId="0" borderId="12" xfId="0" applyFont="1" applyBorder="1" applyAlignment="1">
      <alignment horizontal="right" vertical="top"/>
    </xf>
    <xf numFmtId="0" fontId="73" fillId="0" borderId="0" xfId="0" applyFont="1" applyAlignment="1">
      <alignment horizontal="right"/>
    </xf>
    <xf numFmtId="0" fontId="73" fillId="0" borderId="0" xfId="0" applyFont="1"/>
    <xf numFmtId="49" fontId="15" fillId="0" borderId="0" xfId="0" applyNumberFormat="1" applyFont="1" applyAlignment="1">
      <alignment horizontal="left" indent="3"/>
    </xf>
    <xf numFmtId="0" fontId="15" fillId="0" borderId="0" xfId="0" applyFont="1" applyAlignment="1">
      <alignment horizontal="left" indent="3"/>
    </xf>
    <xf numFmtId="0" fontId="48" fillId="0" borderId="16" xfId="0" applyFont="1" applyBorder="1"/>
    <xf numFmtId="0" fontId="123" fillId="0" borderId="0" xfId="0" applyFont="1" applyAlignment="1" applyProtection="1">
      <alignment horizontal="left"/>
      <protection locked="0"/>
    </xf>
    <xf numFmtId="0" fontId="71" fillId="0" borderId="0" xfId="0" applyFont="1" applyAlignment="1">
      <alignment horizontal="left"/>
    </xf>
    <xf numFmtId="0" fontId="15" fillId="0" borderId="0" xfId="0" applyFont="1" applyAlignment="1">
      <alignment horizontal="left"/>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120" xfId="0" applyFont="1" applyBorder="1" applyAlignment="1">
      <alignment horizontal="center" vertical="center"/>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331" xfId="0" applyFont="1" applyBorder="1" applyAlignment="1">
      <alignment horizontal="center" vertical="center" wrapText="1"/>
    </xf>
    <xf numFmtId="0" fontId="72" fillId="0" borderId="80" xfId="0" applyFont="1" applyBorder="1" applyAlignment="1">
      <alignment horizontal="center" vertical="center"/>
    </xf>
    <xf numFmtId="0" fontId="72" fillId="0" borderId="82"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12" xfId="0" applyFont="1" applyBorder="1" applyAlignment="1">
      <alignment horizontal="center" vertical="center" wrapText="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331" xfId="0" applyFont="1" applyBorder="1" applyAlignment="1">
      <alignment horizontal="center" vertical="center"/>
    </xf>
    <xf numFmtId="3" fontId="122" fillId="0" borderId="16" xfId="0" applyNumberFormat="1" applyFont="1" applyBorder="1" applyAlignment="1">
      <alignment horizont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Border="1" applyAlignment="1">
      <alignment horizontal="center"/>
    </xf>
    <xf numFmtId="0" fontId="142" fillId="0" borderId="249" xfId="0" applyFont="1" applyBorder="1" applyAlignment="1">
      <alignment horizontal="center" vertical="center"/>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253" xfId="0" applyFont="1" applyBorder="1" applyAlignment="1" applyProtection="1">
      <alignment horizontal="center" vertic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lignment horizontal="center" wrapText="1"/>
    </xf>
    <xf numFmtId="0" fontId="0" fillId="0" borderId="230" xfId="0" applyBorder="1" applyAlignment="1">
      <alignment horizontal="center" wrapText="1"/>
    </xf>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xf numFmtId="0" fontId="46" fillId="0" borderId="213" xfId="0" applyFont="1" applyBorder="1" applyAlignment="1">
      <alignment horizontal="center"/>
    </xf>
    <xf numFmtId="0" fontId="46" fillId="0" borderId="214" xfId="0" applyFont="1" applyBorder="1" applyAlignment="1">
      <alignment horizontal="center"/>
    </xf>
    <xf numFmtId="0" fontId="28" fillId="0" borderId="0" xfId="0" applyFont="1"/>
    <xf numFmtId="0" fontId="48" fillId="0" borderId="16" xfId="0" applyFont="1" applyBorder="1" applyAlignment="1">
      <alignment horizontal="left"/>
    </xf>
    <xf numFmtId="0" fontId="73" fillId="0" borderId="12" xfId="0" applyFont="1" applyBorder="1"/>
    <xf numFmtId="0" fontId="73" fillId="0" borderId="11" xfId="0" applyFont="1"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72" fillId="0" borderId="123" xfId="0" applyFont="1" applyBorder="1" applyAlignment="1">
      <alignment horizontal="center" vertical="center" wrapText="1"/>
    </xf>
    <xf numFmtId="0" fontId="72" fillId="0" borderId="120"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0" borderId="0" xfId="0" applyFont="1" applyAlignment="1">
      <alignment horizontal="left" indent="3" shrinkToFit="1"/>
    </xf>
    <xf numFmtId="0" fontId="72" fillId="0" borderId="329"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0" fontId="48" fillId="2" borderId="68" xfId="0" applyFont="1" applyFill="1" applyBorder="1" applyAlignment="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14" borderId="131" xfId="0" applyFont="1" applyFill="1" applyBorder="1"/>
    <xf numFmtId="0" fontId="0" fillId="14" borderId="132" xfId="0" applyFill="1" applyBorder="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295" xfId="0" applyFont="1" applyBorder="1" applyAlignment="1">
      <alignment horizontal="center" vertical="center"/>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xf>
    <xf numFmtId="0" fontId="72" fillId="0" borderId="256" xfId="0" applyFont="1" applyBorder="1" applyAlignment="1">
      <alignment horizontal="center" vertical="center"/>
    </xf>
    <xf numFmtId="0" fontId="72" fillId="0" borderId="255" xfId="0" applyFont="1" applyBorder="1" applyAlignment="1">
      <alignment horizontal="center" vertical="center" wrapText="1"/>
    </xf>
    <xf numFmtId="0" fontId="72" fillId="0" borderId="254" xfId="0" applyFont="1" applyBorder="1"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left" indent="1"/>
    </xf>
    <xf numFmtId="0" fontId="6" fillId="0" borderId="0" xfId="0" applyFont="1" applyAlignment="1">
      <alignment horizontal="center"/>
    </xf>
    <xf numFmtId="0" fontId="67" fillId="0" borderId="16" xfId="0" applyFont="1" applyBorder="1"/>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94" xfId="0" applyFont="1" applyBorder="1" applyAlignment="1">
      <alignment horizontal="center" vertical="center"/>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26" fillId="0" borderId="10" xfId="0" applyFont="1" applyBorder="1"/>
    <xf numFmtId="0" fontId="26" fillId="0" borderId="22" xfId="0" applyFont="1" applyBorder="1"/>
    <xf numFmtId="0" fontId="34" fillId="0" borderId="204" xfId="0" applyFont="1" applyBorder="1" applyAlignment="1">
      <alignment horizontal="center"/>
    </xf>
    <xf numFmtId="0" fontId="34" fillId="0" borderId="205"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74" fontId="23" fillId="0" borderId="10" xfId="0" applyNumberFormat="1" applyFont="1" applyBorder="1" applyAlignment="1">
      <alignment horizontal="left"/>
    </xf>
    <xf numFmtId="0" fontId="14" fillId="0" borderId="11" xfId="0" applyFont="1" applyBorder="1" applyAlignment="1">
      <alignment horizontal="right" vertical="top"/>
    </xf>
    <xf numFmtId="0" fontId="23" fillId="0" borderId="10" xfId="0" applyFont="1" applyBorder="1" applyAlignment="1">
      <alignment horizontal="left"/>
    </xf>
    <xf numFmtId="0" fontId="39" fillId="0" borderId="10" xfId="0" applyFont="1" applyBorder="1"/>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0" fontId="33" fillId="0" borderId="16" xfId="0" applyFont="1" applyBorder="1" applyAlignment="1" applyProtection="1">
      <alignment horizontal="left"/>
      <protection locked="0"/>
    </xf>
    <xf numFmtId="0" fontId="0" fillId="0" borderId="16" xfId="0" applyBorder="1" applyProtection="1">
      <protection locked="0"/>
    </xf>
    <xf numFmtId="0" fontId="9" fillId="0" borderId="0" xfId="0" applyFont="1"/>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174" fontId="108" fillId="0" borderId="10" xfId="0" applyNumberFormat="1" applyFont="1" applyBorder="1" applyAlignment="1">
      <alignment horizontal="left"/>
    </xf>
    <xf numFmtId="0" fontId="108" fillId="0" borderId="10" xfId="0" applyFont="1" applyBorder="1"/>
    <xf numFmtId="0" fontId="108" fillId="0" borderId="10" xfId="0" applyFont="1" applyBorder="1" applyAlignment="1">
      <alignment horizontal="left"/>
    </xf>
    <xf numFmtId="0" fontId="34" fillId="0" borderId="12" xfId="0" applyFont="1" applyBorder="1" applyAlignment="1">
      <alignment horizontal="center"/>
    </xf>
    <xf numFmtId="0" fontId="7" fillId="0" borderId="12" xfId="0" applyFont="1" applyBorder="1" applyAlignment="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Border="1" applyAlignment="1">
      <alignment horizontal="center"/>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22" xfId="0" applyFont="1" applyBorder="1"/>
    <xf numFmtId="0" fontId="73" fillId="0" borderId="10" xfId="0" applyFont="1" applyBorder="1"/>
    <xf numFmtId="0" fontId="34" fillId="0" borderId="0" xfId="0" applyFont="1" applyAlignment="1">
      <alignment horizontal="center"/>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12" fillId="4" borderId="117" xfId="0" applyFont="1" applyFill="1" applyBorder="1" applyAlignment="1">
      <alignment horizontal="left" indent="1"/>
    </xf>
    <xf numFmtId="0" fontId="0" fillId="0" borderId="90" xfId="0" applyBorder="1" applyAlignment="1">
      <alignment horizontal="left" indent="1"/>
    </xf>
    <xf numFmtId="0" fontId="28" fillId="5" borderId="296" xfId="0" applyFont="1" applyFill="1" applyBorder="1" applyAlignment="1">
      <alignment horizontal="right"/>
    </xf>
    <xf numFmtId="0" fontId="28" fillId="5" borderId="84" xfId="0" applyFont="1" applyFill="1" applyBorder="1" applyAlignment="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32" fillId="0" borderId="8" xfId="0" applyFont="1" applyBorder="1" applyAlignment="1" applyProtection="1">
      <alignment horizontal="center" vertical="center"/>
    </xf>
    <xf numFmtId="0" fontId="132" fillId="0" borderId="12" xfId="0" applyFont="1" applyBorder="1" applyAlignment="1" applyProtection="1">
      <alignment horizontal="center" vertical="center"/>
    </xf>
    <xf numFmtId="188" fontId="132" fillId="0" borderId="11" xfId="0" applyNumberFormat="1" applyFont="1" applyBorder="1" applyAlignment="1" applyProtection="1">
      <alignment horizontal="right" vertical="center"/>
    </xf>
    <xf numFmtId="170" fontId="132" fillId="0" borderId="22" xfId="0" applyNumberFormat="1" applyFont="1" applyBorder="1" applyAlignment="1" applyProtection="1">
      <alignment horizontal="left" vertical="center"/>
    </xf>
    <xf numFmtId="165" fontId="132" fillId="0" borderId="12" xfId="0" applyNumberFormat="1" applyFont="1" applyBorder="1" applyAlignment="1" applyProtection="1">
      <alignment horizontal="center" vertical="center"/>
    </xf>
    <xf numFmtId="171" fontId="132" fillId="0" borderId="12" xfId="0" applyNumberFormat="1" applyFont="1" applyBorder="1" applyAlignment="1" applyProtection="1">
      <alignment horizontal="center" vertical="center"/>
    </xf>
    <xf numFmtId="1" fontId="132" fillId="0" borderId="21" xfId="0" applyNumberFormat="1" applyFont="1" applyBorder="1" applyAlignment="1" applyProtection="1">
      <alignment horizontal="center" vertical="center"/>
    </xf>
    <xf numFmtId="0" fontId="132" fillId="0" borderId="9" xfId="0" applyFont="1" applyBorder="1" applyAlignment="1" applyProtection="1">
      <alignment horizontal="center" vertical="center"/>
    </xf>
    <xf numFmtId="0" fontId="132" fillId="0" borderId="25" xfId="0" applyFont="1" applyBorder="1" applyAlignment="1" applyProtection="1">
      <alignment horizontal="center" vertical="center"/>
    </xf>
    <xf numFmtId="188" fontId="132" fillId="0" borderId="117" xfId="0" applyNumberFormat="1" applyFont="1" applyBorder="1" applyAlignment="1" applyProtection="1">
      <alignment horizontal="right" vertical="center"/>
    </xf>
    <xf numFmtId="170" fontId="132" fillId="0" borderId="143" xfId="0" applyNumberFormat="1" applyFont="1" applyBorder="1" applyAlignment="1" applyProtection="1">
      <alignment horizontal="left" vertical="center"/>
    </xf>
    <xf numFmtId="165" fontId="132" fillId="0" borderId="25" xfId="0" applyNumberFormat="1" applyFont="1" applyBorder="1" applyAlignment="1" applyProtection="1">
      <alignment horizontal="center" vertical="center"/>
    </xf>
    <xf numFmtId="171" fontId="132" fillId="0" borderId="25" xfId="0" applyNumberFormat="1" applyFont="1" applyBorder="1" applyAlignment="1" applyProtection="1">
      <alignment horizontal="center" vertical="center"/>
    </xf>
    <xf numFmtId="1" fontId="132" fillId="0" borderId="26" xfId="0" applyNumberFormat="1" applyFont="1" applyBorder="1" applyAlignment="1" applyProtection="1">
      <alignment horizontal="center" vertical="center"/>
    </xf>
    <xf numFmtId="49" fontId="119" fillId="0" borderId="325" xfId="0" applyNumberFormat="1" applyFont="1" applyBorder="1" applyAlignment="1" applyProtection="1">
      <alignment horizontal="center" vertical="center"/>
    </xf>
    <xf numFmtId="49" fontId="119" fillId="0" borderId="222" xfId="0" applyNumberFormat="1" applyFont="1" applyBorder="1" applyAlignment="1" applyProtection="1">
      <alignment horizontal="left" vertical="center"/>
    </xf>
    <xf numFmtId="49" fontId="119" fillId="0" borderId="219" xfId="0" applyNumberFormat="1" applyFont="1" applyBorder="1" applyAlignment="1" applyProtection="1">
      <alignment horizontal="left" vertical="center"/>
    </xf>
    <xf numFmtId="49" fontId="119" fillId="0" borderId="288" xfId="0" applyNumberFormat="1" applyFont="1" applyBorder="1" applyAlignment="1" applyProtection="1">
      <alignment horizontal="left" vertical="center"/>
    </xf>
    <xf numFmtId="49" fontId="119" fillId="0" borderId="159" xfId="0" applyNumberFormat="1" applyFont="1" applyBorder="1" applyAlignment="1" applyProtection="1">
      <alignment horizontal="center" vertical="center"/>
    </xf>
    <xf numFmtId="49" fontId="119" fillId="0" borderId="105" xfId="0" applyNumberFormat="1" applyFont="1" applyBorder="1" applyAlignment="1" applyProtection="1">
      <alignment horizontal="left" vertical="center"/>
    </xf>
    <xf numFmtId="49" fontId="119" fillId="0" borderId="103" xfId="0" applyNumberFormat="1" applyFont="1" applyBorder="1" applyAlignment="1" applyProtection="1">
      <alignment horizontal="left" vertical="center"/>
    </xf>
    <xf numFmtId="49" fontId="119" fillId="0" borderId="106" xfId="0" applyNumberFormat="1" applyFont="1" applyBorder="1" applyAlignment="1" applyProtection="1">
      <alignment horizontal="left" vertical="center"/>
    </xf>
    <xf numFmtId="49" fontId="119" fillId="0" borderId="347" xfId="0" applyNumberFormat="1" applyFont="1" applyBorder="1" applyAlignment="1" applyProtection="1">
      <alignment horizontal="left" vertical="center"/>
    </xf>
    <xf numFmtId="49" fontId="119" fillId="0" borderId="122" xfId="0" applyNumberFormat="1" applyFont="1" applyBorder="1" applyAlignment="1" applyProtection="1">
      <alignment horizontal="left" vertical="center"/>
    </xf>
    <xf numFmtId="49" fontId="119" fillId="0" borderId="348" xfId="0" applyNumberFormat="1" applyFont="1" applyBorder="1" applyAlignment="1" applyProtection="1">
      <alignment horizontal="left" vertical="center"/>
    </xf>
    <xf numFmtId="49" fontId="119" fillId="0" borderId="312" xfId="0" applyNumberFormat="1" applyFont="1" applyBorder="1" applyAlignment="1" applyProtection="1">
      <alignment horizontal="center" vertical="center"/>
    </xf>
    <xf numFmtId="49" fontId="119" fillId="0" borderId="324" xfId="0" applyNumberFormat="1" applyFont="1" applyBorder="1" applyAlignment="1" applyProtection="1">
      <alignment horizontal="left" vertical="center"/>
    </xf>
    <xf numFmtId="49" fontId="119" fillId="0" borderId="120" xfId="0" applyNumberFormat="1" applyFont="1" applyBorder="1" applyAlignment="1" applyProtection="1">
      <alignment horizontal="left" vertical="center"/>
    </xf>
    <xf numFmtId="49" fontId="119" fillId="0" borderId="121" xfId="0" applyNumberFormat="1" applyFont="1" applyBorder="1" applyAlignment="1" applyProtection="1">
      <alignment horizontal="left" vertical="center"/>
    </xf>
    <xf numFmtId="49" fontId="118" fillId="0" borderId="289" xfId="0" applyNumberFormat="1" applyFont="1" applyBorder="1" applyAlignment="1" applyProtection="1">
      <alignment horizontal="center" vertical="center"/>
    </xf>
    <xf numFmtId="49" fontId="118" fillId="0" borderId="219" xfId="0" applyNumberFormat="1" applyFont="1" applyBorder="1" applyAlignment="1" applyProtection="1">
      <alignment horizontal="center" vertical="center"/>
    </xf>
    <xf numFmtId="49" fontId="118" fillId="0" borderId="220" xfId="0" applyNumberFormat="1" applyFont="1" applyBorder="1" applyAlignment="1" applyProtection="1">
      <alignment horizontal="center" vertical="center"/>
    </xf>
    <xf numFmtId="1" fontId="118" fillId="0" borderId="289" xfId="0" applyNumberFormat="1" applyFont="1" applyBorder="1" applyAlignment="1" applyProtection="1">
      <alignment horizontal="center" vertical="center"/>
    </xf>
    <xf numFmtId="188" fontId="118" fillId="0" borderId="220" xfId="0" applyNumberFormat="1" applyFont="1" applyBorder="1" applyAlignment="1" applyProtection="1">
      <alignment horizontal="right" vertical="center"/>
    </xf>
    <xf numFmtId="186" fontId="118" fillId="0" borderId="346" xfId="0" applyNumberFormat="1" applyFont="1" applyBorder="1" applyAlignment="1" applyProtection="1">
      <alignment horizontal="left" vertical="center"/>
    </xf>
    <xf numFmtId="49" fontId="118" fillId="0" borderId="325" xfId="0" applyNumberFormat="1" applyFont="1" applyBorder="1" applyAlignment="1" applyProtection="1">
      <alignment horizontal="center" vertical="center"/>
    </xf>
    <xf numFmtId="49" fontId="115" fillId="0" borderId="325" xfId="0" applyNumberFormat="1" applyFont="1" applyBorder="1" applyAlignment="1" applyProtection="1">
      <alignment horizontal="center" vertical="center"/>
    </xf>
    <xf numFmtId="49" fontId="118" fillId="0" borderId="325" xfId="0" applyNumberFormat="1" applyFont="1" applyBorder="1" applyAlignment="1" applyProtection="1">
      <alignment horizontal="left" vertical="center"/>
    </xf>
    <xf numFmtId="49" fontId="118" fillId="16" borderId="0" xfId="0" applyNumberFormat="1" applyFont="1" applyFill="1" applyAlignment="1" applyProtection="1">
      <alignment horizontal="left"/>
    </xf>
    <xf numFmtId="0" fontId="48" fillId="2" borderId="0" xfId="0" applyFont="1" applyFill="1" applyProtection="1"/>
    <xf numFmtId="49" fontId="118" fillId="0" borderId="124" xfId="0" applyNumberFormat="1" applyFont="1" applyBorder="1" applyAlignment="1" applyProtection="1">
      <alignment horizontal="center" vertical="center"/>
    </xf>
    <xf numFmtId="49" fontId="118" fillId="0" borderId="103" xfId="0" applyNumberFormat="1" applyFont="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Border="1" applyAlignment="1" applyProtection="1">
      <alignment horizontal="center" vertical="center"/>
    </xf>
    <xf numFmtId="188" fontId="118" fillId="0" borderId="104" xfId="0" applyNumberFormat="1" applyFont="1" applyBorder="1" applyAlignment="1" applyProtection="1">
      <alignment horizontal="right" vertical="center"/>
    </xf>
    <xf numFmtId="186" fontId="118" fillId="0" borderId="158" xfId="0" applyNumberFormat="1" applyFont="1" applyBorder="1" applyAlignment="1" applyProtection="1">
      <alignment horizontal="left" vertical="center"/>
    </xf>
    <xf numFmtId="49" fontId="118" fillId="0" borderId="159" xfId="0" applyNumberFormat="1" applyFont="1" applyBorder="1" applyAlignment="1" applyProtection="1">
      <alignment horizontal="center" vertical="center"/>
    </xf>
    <xf numFmtId="49" fontId="115" fillId="0" borderId="159" xfId="0" applyNumberFormat="1" applyFont="1" applyBorder="1" applyAlignment="1" applyProtection="1">
      <alignment horizontal="center" vertical="center"/>
    </xf>
    <xf numFmtId="49" fontId="118" fillId="0" borderId="159" xfId="0" applyNumberFormat="1" applyFont="1" applyBorder="1" applyAlignment="1" applyProtection="1">
      <alignment horizontal="left" vertical="center"/>
    </xf>
    <xf numFmtId="49" fontId="118" fillId="0" borderId="159" xfId="2" applyNumberFormat="1" applyFont="1" applyBorder="1" applyAlignment="1" applyProtection="1">
      <alignment horizontal="left" vertical="center"/>
    </xf>
    <xf numFmtId="49" fontId="118" fillId="16" borderId="0" xfId="2" applyNumberFormat="1" applyFont="1" applyFill="1" applyAlignment="1" applyProtection="1">
      <alignment horizontal="left"/>
    </xf>
    <xf numFmtId="49" fontId="118" fillId="0" borderId="125" xfId="0" applyNumberFormat="1" applyFont="1" applyBorder="1" applyAlignment="1" applyProtection="1">
      <alignment horizontal="center" vertical="center"/>
    </xf>
    <xf numFmtId="49" fontId="118" fillId="0" borderId="120" xfId="0" applyNumberFormat="1" applyFont="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Border="1" applyAlignment="1" applyProtection="1">
      <alignment horizontal="center" vertical="center"/>
    </xf>
    <xf numFmtId="188" fontId="118" fillId="0" borderId="330" xfId="0" applyNumberFormat="1" applyFont="1" applyBorder="1" applyAlignment="1" applyProtection="1">
      <alignment horizontal="right" vertical="center"/>
    </xf>
    <xf numFmtId="186" fontId="118" fillId="0" borderId="308" xfId="0" applyNumberFormat="1" applyFont="1" applyBorder="1" applyAlignment="1" applyProtection="1">
      <alignment horizontal="left" vertical="center"/>
    </xf>
    <xf numFmtId="49" fontId="118" fillId="0" borderId="312" xfId="0" applyNumberFormat="1" applyFont="1" applyBorder="1" applyAlignment="1" applyProtection="1">
      <alignment horizontal="center" vertical="center"/>
    </xf>
    <xf numFmtId="49" fontId="118" fillId="0" borderId="312" xfId="0" applyNumberFormat="1" applyFont="1" applyBorder="1" applyAlignment="1" applyProtection="1">
      <alignment horizontal="left" vertical="center"/>
    </xf>
    <xf numFmtId="49" fontId="118" fillId="26" borderId="103" xfId="0" applyNumberFormat="1" applyFont="1" applyFill="1" applyBorder="1" applyAlignment="1" applyProtection="1">
      <alignment horizontal="center" vertical="center"/>
    </xf>
    <xf numFmtId="49" fontId="119" fillId="0" borderId="345" xfId="0" applyNumberFormat="1" applyFont="1" applyBorder="1" applyAlignment="1" applyProtection="1">
      <alignment horizontal="center" vertical="center"/>
    </xf>
    <xf numFmtId="49" fontId="120" fillId="0" borderId="345" xfId="0" applyNumberFormat="1" applyFont="1" applyBorder="1" applyAlignment="1" applyProtection="1">
      <alignment horizontal="right" vertical="center"/>
    </xf>
    <xf numFmtId="169" fontId="120" fillId="0" borderId="221" xfId="0" applyNumberFormat="1" applyFont="1" applyBorder="1" applyAlignment="1" applyProtection="1">
      <alignment horizontal="center" vertical="center"/>
    </xf>
    <xf numFmtId="169" fontId="120" fillId="0" borderId="346" xfId="0" applyNumberFormat="1" applyFont="1" applyBorder="1" applyAlignment="1" applyProtection="1">
      <alignment horizontal="left" vertical="center"/>
    </xf>
    <xf numFmtId="0" fontId="119" fillId="0" borderId="222" xfId="0" applyFont="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49" fontId="119" fillId="0" borderId="307" xfId="0" applyNumberFormat="1" applyFont="1" applyBorder="1" applyAlignment="1" applyProtection="1">
      <alignment horizontal="center" vertical="center"/>
    </xf>
    <xf numFmtId="49" fontId="120" fillId="0" borderId="307" xfId="0" applyNumberFormat="1" applyFont="1" applyBorder="1" applyAlignment="1" applyProtection="1">
      <alignment horizontal="right" vertical="center"/>
    </xf>
    <xf numFmtId="169" fontId="120" fillId="0" borderId="107" xfId="0" applyNumberFormat="1" applyFont="1" applyBorder="1" applyAlignment="1" applyProtection="1">
      <alignment horizontal="center" vertical="center"/>
    </xf>
    <xf numFmtId="169" fontId="120" fillId="0" borderId="158" xfId="0" applyNumberFormat="1" applyFont="1" applyBorder="1" applyAlignment="1" applyProtection="1">
      <alignment horizontal="left" vertical="center"/>
    </xf>
    <xf numFmtId="0" fontId="119" fillId="0" borderId="105" xfId="0" applyFont="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307" xfId="0" applyFont="1" applyBorder="1" applyAlignment="1" applyProtection="1">
      <alignment horizontal="left" vertical="center"/>
    </xf>
    <xf numFmtId="0" fontId="119" fillId="0" borderId="107" xfId="0" applyFont="1" applyBorder="1" applyAlignment="1" applyProtection="1">
      <alignment horizontal="left" vertical="center"/>
    </xf>
    <xf numFmtId="0" fontId="119" fillId="0" borderId="158" xfId="0" applyFont="1" applyBorder="1" applyAlignment="1" applyProtection="1">
      <alignment horizontal="left" vertical="center"/>
    </xf>
    <xf numFmtId="49" fontId="119" fillId="0" borderId="309" xfId="0" applyNumberFormat="1" applyFont="1" applyBorder="1" applyAlignment="1" applyProtection="1">
      <alignment horizontal="center" vertical="center"/>
    </xf>
    <xf numFmtId="49" fontId="120" fillId="0" borderId="309" xfId="0" applyNumberFormat="1" applyFont="1" applyBorder="1" applyAlignment="1" applyProtection="1">
      <alignment horizontal="right" vertical="center"/>
    </xf>
    <xf numFmtId="169" fontId="120" fillId="0" borderId="333" xfId="0" applyNumberFormat="1" applyFont="1" applyBorder="1" applyAlignment="1" applyProtection="1">
      <alignment horizontal="center" vertical="center"/>
    </xf>
    <xf numFmtId="169" fontId="120" fillId="0" borderId="308" xfId="0" applyNumberFormat="1" applyFont="1" applyBorder="1" applyAlignment="1" applyProtection="1">
      <alignment horizontal="left" vertical="center"/>
    </xf>
    <xf numFmtId="0" fontId="119" fillId="0" borderId="324" xfId="0" applyFont="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1" fontId="119" fillId="0" borderId="222" xfId="0" applyNumberFormat="1" applyFont="1" applyBorder="1" applyAlignment="1" applyProtection="1">
      <alignment horizontal="center" vertical="center"/>
    </xf>
    <xf numFmtId="1" fontId="119" fillId="0" borderId="219" xfId="0" applyNumberFormat="1" applyFont="1" applyBorder="1" applyAlignment="1" applyProtection="1">
      <alignment horizontal="center" vertical="center"/>
    </xf>
    <xf numFmtId="1" fontId="119" fillId="0" borderId="288" xfId="0" applyNumberFormat="1" applyFont="1" applyBorder="1" applyAlignment="1" applyProtection="1">
      <alignment horizontal="center" vertical="center"/>
    </xf>
    <xf numFmtId="1" fontId="119" fillId="0" borderId="105" xfId="0" applyNumberFormat="1" applyFont="1" applyBorder="1" applyAlignment="1" applyProtection="1">
      <alignment horizontal="center" vertical="center"/>
    </xf>
    <xf numFmtId="1" fontId="119" fillId="0" borderId="103" xfId="0" applyNumberFormat="1" applyFont="1" applyBorder="1" applyAlignment="1" applyProtection="1">
      <alignment horizontal="center" vertical="center"/>
    </xf>
    <xf numFmtId="1" fontId="119" fillId="0" borderId="106" xfId="0" applyNumberFormat="1" applyFont="1" applyBorder="1" applyAlignment="1" applyProtection="1">
      <alignment horizontal="center" vertical="center"/>
    </xf>
    <xf numFmtId="1" fontId="119" fillId="0" borderId="324" xfId="0" applyNumberFormat="1" applyFont="1" applyBorder="1" applyAlignment="1" applyProtection="1">
      <alignment horizontal="center" vertical="center"/>
    </xf>
    <xf numFmtId="1" fontId="119" fillId="0" borderId="120" xfId="0" applyNumberFormat="1" applyFont="1" applyBorder="1" applyAlignment="1" applyProtection="1">
      <alignment horizontal="center" vertical="center"/>
    </xf>
    <xf numFmtId="1" fontId="119" fillId="0" borderId="121" xfId="0" applyNumberFormat="1" applyFont="1" applyBorder="1" applyAlignment="1" applyProtection="1">
      <alignment horizontal="center" vertical="center"/>
    </xf>
    <xf numFmtId="49" fontId="119" fillId="0" borderId="62" xfId="0" applyNumberFormat="1" applyFont="1" applyBorder="1" applyAlignment="1" applyProtection="1">
      <alignment horizontal="center" vertical="center"/>
    </xf>
    <xf numFmtId="49" fontId="119" fillId="0" borderId="82" xfId="0" applyNumberFormat="1" applyFont="1" applyBorder="1" applyAlignment="1" applyProtection="1">
      <alignment horizontal="center" vertical="center"/>
    </xf>
    <xf numFmtId="49" fontId="119" fillId="0" borderId="63" xfId="0" applyNumberFormat="1" applyFont="1" applyBorder="1" applyAlignment="1" applyProtection="1">
      <alignment horizontal="center" vertical="center"/>
    </xf>
    <xf numFmtId="0" fontId="118" fillId="0" borderId="328" xfId="0" applyFont="1" applyBorder="1" applyAlignment="1" applyProtection="1">
      <alignment horizontal="center" vertical="center"/>
    </xf>
    <xf numFmtId="194" fontId="118" fillId="0" borderId="123" xfId="0" applyNumberFormat="1" applyFont="1" applyBorder="1" applyAlignment="1" applyProtection="1">
      <alignment horizontal="center" vertical="center"/>
    </xf>
    <xf numFmtId="0" fontId="118" fillId="0" borderId="123" xfId="0" applyFont="1" applyBorder="1" applyAlignment="1" applyProtection="1">
      <alignment horizontal="center" vertical="center"/>
    </xf>
    <xf numFmtId="188" fontId="124" fillId="0" borderId="326" xfId="0" applyNumberFormat="1" applyFont="1" applyBorder="1" applyAlignment="1" applyProtection="1">
      <alignment horizontal="right" vertical="center"/>
    </xf>
    <xf numFmtId="170" fontId="124" fillId="0" borderId="332" xfId="0" applyNumberFormat="1" applyFont="1" applyBorder="1" applyAlignment="1" applyProtection="1">
      <alignment horizontal="left" vertical="center"/>
    </xf>
    <xf numFmtId="170" fontId="124" fillId="0" borderId="334" xfId="0" applyNumberFormat="1" applyFont="1" applyBorder="1" applyAlignment="1" applyProtection="1">
      <alignment horizontal="center" vertical="center"/>
    </xf>
    <xf numFmtId="188" fontId="124" fillId="0" borderId="332" xfId="0" applyNumberFormat="1" applyFont="1" applyBorder="1" applyAlignment="1" applyProtection="1">
      <alignment horizontal="right" vertical="center"/>
    </xf>
    <xf numFmtId="170" fontId="124" fillId="0" borderId="327" xfId="0" applyNumberFormat="1" applyFont="1" applyBorder="1" applyAlignment="1" applyProtection="1">
      <alignment horizontal="left" vertical="center"/>
    </xf>
    <xf numFmtId="0" fontId="124" fillId="0" borderId="123" xfId="0" applyFont="1" applyBorder="1" applyAlignment="1" applyProtection="1">
      <alignment horizontal="center" vertical="center"/>
    </xf>
    <xf numFmtId="0" fontId="124" fillId="0" borderId="326" xfId="0" applyFont="1" applyBorder="1" applyAlignment="1" applyProtection="1">
      <alignment horizontal="center" vertical="center"/>
    </xf>
    <xf numFmtId="170" fontId="124" fillId="0" borderId="328" xfId="0" applyNumberFormat="1" applyFont="1" applyBorder="1" applyAlignment="1" applyProtection="1">
      <alignment horizontal="center" vertical="center"/>
    </xf>
    <xf numFmtId="170" fontId="124" fillId="0" borderId="329" xfId="0" applyNumberFormat="1" applyFont="1" applyBorder="1" applyAlignment="1" applyProtection="1">
      <alignment horizontal="center" vertical="center"/>
    </xf>
    <xf numFmtId="188" fontId="124" fillId="0" borderId="335" xfId="0" applyNumberFormat="1" applyFont="1" applyBorder="1" applyAlignment="1" applyProtection="1">
      <alignment horizontal="right" vertical="center"/>
    </xf>
    <xf numFmtId="167" fontId="124" fillId="0" borderId="327" xfId="0" applyNumberFormat="1" applyFont="1" applyBorder="1" applyAlignment="1" applyProtection="1">
      <alignment horizontal="center" vertical="center"/>
    </xf>
    <xf numFmtId="167" fontId="124" fillId="0" borderId="326" xfId="0" applyNumberFormat="1" applyFont="1" applyBorder="1" applyAlignment="1" applyProtection="1">
      <alignment horizontal="center" vertical="center"/>
    </xf>
    <xf numFmtId="49" fontId="124" fillId="0" borderId="123" xfId="0" applyNumberFormat="1" applyFont="1" applyBorder="1" applyAlignment="1" applyProtection="1">
      <alignment horizontal="left" vertical="center"/>
    </xf>
    <xf numFmtId="1" fontId="124" fillId="0" borderId="329" xfId="0" applyNumberFormat="1" applyFont="1" applyBorder="1" applyAlignment="1" applyProtection="1">
      <alignment horizontal="center" vertical="center"/>
    </xf>
    <xf numFmtId="0" fontId="118" fillId="0" borderId="124" xfId="0" applyFont="1" applyBorder="1" applyAlignment="1" applyProtection="1">
      <alignment horizontal="center" vertical="center"/>
    </xf>
    <xf numFmtId="194" fontId="118" fillId="0" borderId="103" xfId="0" applyNumberFormat="1" applyFont="1" applyBorder="1" applyAlignment="1" applyProtection="1">
      <alignment horizontal="center" vertical="center"/>
    </xf>
    <xf numFmtId="0" fontId="118" fillId="0" borderId="103" xfId="0" applyFont="1" applyBorder="1" applyAlignment="1" applyProtection="1">
      <alignment horizontal="center" vertical="center"/>
    </xf>
    <xf numFmtId="188" fontId="124" fillId="0" borderId="104" xfId="0" applyNumberFormat="1" applyFont="1" applyBorder="1" applyAlignment="1" applyProtection="1">
      <alignment horizontal="right" vertical="center"/>
    </xf>
    <xf numFmtId="170" fontId="124" fillId="0" borderId="107" xfId="0" applyNumberFormat="1" applyFont="1" applyBorder="1" applyAlignment="1" applyProtection="1">
      <alignment horizontal="left" vertical="center"/>
    </xf>
    <xf numFmtId="170" fontId="124" fillId="0" borderId="159" xfId="0" applyNumberFormat="1" applyFont="1" applyBorder="1" applyAlignment="1" applyProtection="1">
      <alignment horizontal="center" vertical="center"/>
    </xf>
    <xf numFmtId="188" fontId="124" fillId="0" borderId="107" xfId="0" applyNumberFormat="1" applyFont="1" applyBorder="1" applyAlignment="1" applyProtection="1">
      <alignment horizontal="right" vertical="center"/>
    </xf>
    <xf numFmtId="170" fontId="124" fillId="0" borderId="105" xfId="0" applyNumberFormat="1" applyFont="1" applyBorder="1" applyAlignment="1" applyProtection="1">
      <alignment horizontal="left" vertical="center"/>
    </xf>
    <xf numFmtId="0" fontId="124" fillId="0" borderId="103" xfId="0" applyFont="1" applyBorder="1" applyAlignment="1" applyProtection="1">
      <alignment horizontal="center" vertical="center"/>
    </xf>
    <xf numFmtId="0" fontId="124" fillId="0" borderId="104" xfId="0" applyFont="1" applyBorder="1" applyAlignment="1" applyProtection="1">
      <alignment horizontal="center" vertical="center"/>
    </xf>
    <xf numFmtId="170" fontId="124" fillId="0" borderId="124" xfId="0" applyNumberFormat="1" applyFont="1" applyBorder="1" applyAlignment="1" applyProtection="1">
      <alignment horizontal="center" vertical="center"/>
    </xf>
    <xf numFmtId="170" fontId="124" fillId="0" borderId="106" xfId="0" applyNumberFormat="1" applyFont="1" applyBorder="1" applyAlignment="1" applyProtection="1">
      <alignment horizontal="center" vertical="center"/>
    </xf>
    <xf numFmtId="188" fontId="124" fillId="0" borderId="307" xfId="0" applyNumberFormat="1" applyFont="1" applyBorder="1" applyAlignment="1" applyProtection="1">
      <alignment horizontal="right" vertical="center"/>
    </xf>
    <xf numFmtId="167" fontId="124" fillId="0" borderId="105" xfId="0" applyNumberFormat="1" applyFont="1" applyBorder="1" applyAlignment="1" applyProtection="1">
      <alignment horizontal="center" vertical="center"/>
    </xf>
    <xf numFmtId="167" fontId="124" fillId="0" borderId="104" xfId="0" applyNumberFormat="1" applyFont="1" applyBorder="1" applyAlignment="1" applyProtection="1">
      <alignment horizontal="center" vertical="center"/>
    </xf>
    <xf numFmtId="49" fontId="124" fillId="0" borderId="103" xfId="0" applyNumberFormat="1" applyFont="1" applyBorder="1" applyAlignment="1" applyProtection="1">
      <alignment horizontal="left" vertical="center"/>
    </xf>
    <xf numFmtId="1" fontId="124" fillId="0" borderId="106" xfId="0" applyNumberFormat="1" applyFont="1" applyBorder="1" applyAlignment="1" applyProtection="1">
      <alignment horizontal="center" vertical="center"/>
    </xf>
    <xf numFmtId="49" fontId="124" fillId="26" borderId="103" xfId="0" applyNumberFormat="1" applyFont="1" applyFill="1" applyBorder="1" applyAlignment="1" applyProtection="1">
      <alignment horizontal="left" vertical="center"/>
    </xf>
    <xf numFmtId="0" fontId="118" fillId="0" borderId="125" xfId="0" applyFont="1" applyBorder="1" applyAlignment="1" applyProtection="1">
      <alignment horizontal="center" vertical="center"/>
    </xf>
    <xf numFmtId="194" fontId="118" fillId="0" borderId="120" xfId="0" applyNumberFormat="1" applyFont="1" applyBorder="1" applyAlignment="1" applyProtection="1">
      <alignment horizontal="center" vertical="center"/>
    </xf>
    <xf numFmtId="0" fontId="118" fillId="0" borderId="120" xfId="0" applyFont="1" applyBorder="1" applyAlignment="1" applyProtection="1">
      <alignment horizontal="center" vertical="center"/>
    </xf>
    <xf numFmtId="188" fontId="124" fillId="0" borderId="330" xfId="0" applyNumberFormat="1" applyFont="1" applyBorder="1" applyAlignment="1" applyProtection="1">
      <alignment horizontal="right" vertical="center"/>
    </xf>
    <xf numFmtId="170" fontId="124" fillId="0" borderId="333" xfId="0" applyNumberFormat="1" applyFont="1" applyBorder="1" applyAlignment="1" applyProtection="1">
      <alignment horizontal="left" vertical="center"/>
    </xf>
    <xf numFmtId="170" fontId="124" fillId="0" borderId="312" xfId="0" applyNumberFormat="1" applyFont="1" applyBorder="1" applyAlignment="1" applyProtection="1">
      <alignment horizontal="center" vertical="center"/>
    </xf>
    <xf numFmtId="188" fontId="124" fillId="0" borderId="333" xfId="0" applyNumberFormat="1" applyFont="1" applyBorder="1" applyAlignment="1" applyProtection="1">
      <alignment horizontal="right" vertical="center"/>
    </xf>
    <xf numFmtId="170" fontId="124" fillId="0" borderId="324" xfId="0" applyNumberFormat="1" applyFont="1" applyBorder="1" applyAlignment="1" applyProtection="1">
      <alignment horizontal="left" vertical="center"/>
    </xf>
    <xf numFmtId="0" fontId="124" fillId="0" borderId="120" xfId="0" applyFont="1" applyBorder="1" applyAlignment="1" applyProtection="1">
      <alignment horizontal="center" vertical="center"/>
    </xf>
    <xf numFmtId="0" fontId="124" fillId="0" borderId="330" xfId="0" applyFont="1" applyBorder="1" applyAlignment="1" applyProtection="1">
      <alignment horizontal="center" vertical="center"/>
    </xf>
    <xf numFmtId="170" fontId="124" fillId="0" borderId="125" xfId="0" applyNumberFormat="1" applyFont="1" applyBorder="1" applyAlignment="1" applyProtection="1">
      <alignment horizontal="center" vertical="center"/>
    </xf>
    <xf numFmtId="170" fontId="124" fillId="0" borderId="121" xfId="0" applyNumberFormat="1" applyFont="1" applyBorder="1" applyAlignment="1" applyProtection="1">
      <alignment horizontal="center" vertical="center"/>
    </xf>
    <xf numFmtId="188" fontId="124" fillId="0" borderId="309" xfId="0" applyNumberFormat="1" applyFont="1" applyBorder="1" applyAlignment="1" applyProtection="1">
      <alignment horizontal="right" vertical="center"/>
    </xf>
    <xf numFmtId="167" fontId="124" fillId="0" borderId="324" xfId="0" applyNumberFormat="1" applyFont="1" applyBorder="1" applyAlignment="1" applyProtection="1">
      <alignment horizontal="center" vertical="center"/>
    </xf>
    <xf numFmtId="167" fontId="124" fillId="0" borderId="330" xfId="0" applyNumberFormat="1" applyFont="1" applyBorder="1" applyAlignment="1" applyProtection="1">
      <alignment horizontal="center" vertical="center"/>
    </xf>
    <xf numFmtId="49" fontId="124" fillId="0" borderId="120" xfId="0" applyNumberFormat="1" applyFont="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Font="1" applyBorder="1" applyAlignment="1" applyProtection="1">
      <alignment horizontal="center" vertical="center"/>
    </xf>
    <xf numFmtId="0" fontId="124" fillId="0" borderId="219" xfId="0" applyFont="1" applyBorder="1" applyAlignment="1" applyProtection="1">
      <alignment horizontal="center" vertical="center"/>
    </xf>
    <xf numFmtId="188" fontId="124" fillId="0" borderId="220" xfId="0" applyNumberFormat="1" applyFont="1" applyBorder="1" applyAlignment="1" applyProtection="1">
      <alignment horizontal="right" vertical="center"/>
    </xf>
    <xf numFmtId="170" fontId="124" fillId="0" borderId="222" xfId="0" applyNumberFormat="1" applyFont="1" applyBorder="1" applyAlignment="1" applyProtection="1">
      <alignment horizontal="left" vertical="center"/>
    </xf>
    <xf numFmtId="166" fontId="124" fillId="0" borderId="220" xfId="0" applyNumberFormat="1" applyFont="1" applyBorder="1" applyAlignment="1" applyProtection="1">
      <alignment horizontal="center" vertical="center"/>
    </xf>
    <xf numFmtId="0" fontId="124" fillId="0" borderId="343" xfId="0" applyFont="1" applyBorder="1" applyAlignment="1" applyProtection="1">
      <alignment horizontal="center" vertical="center"/>
    </xf>
    <xf numFmtId="170" fontId="124" fillId="0" borderId="219" xfId="0" applyNumberFormat="1" applyFont="1" applyBorder="1" applyAlignment="1" applyProtection="1">
      <alignment horizontal="center" vertical="center"/>
    </xf>
    <xf numFmtId="170" fontId="124" fillId="0" borderId="220" xfId="0" applyNumberFormat="1" applyFont="1" applyBorder="1" applyAlignment="1" applyProtection="1">
      <alignment horizontal="center" vertical="center"/>
    </xf>
    <xf numFmtId="170" fontId="124" fillId="0" borderId="289" xfId="0" applyNumberFormat="1" applyFont="1" applyBorder="1" applyAlignment="1" applyProtection="1">
      <alignment horizontal="center" vertical="center"/>
    </xf>
    <xf numFmtId="170" fontId="124" fillId="0" borderId="344" xfId="0" applyNumberFormat="1" applyFont="1" applyBorder="1" applyAlignment="1" applyProtection="1">
      <alignment horizontal="center" vertical="center"/>
    </xf>
    <xf numFmtId="188" fontId="124" fillId="0" borderId="221" xfId="0" applyNumberFormat="1" applyFont="1" applyBorder="1" applyAlignment="1" applyProtection="1">
      <alignment horizontal="right" vertical="center"/>
    </xf>
    <xf numFmtId="166" fontId="124" fillId="0" borderId="219" xfId="0" applyNumberFormat="1" applyFont="1" applyBorder="1" applyAlignment="1" applyProtection="1">
      <alignment horizontal="center" vertical="center"/>
    </xf>
    <xf numFmtId="0" fontId="124" fillId="0" borderId="329" xfId="0" applyFont="1" applyBorder="1" applyAlignment="1" applyProtection="1">
      <alignment horizontal="center" vertical="center"/>
    </xf>
    <xf numFmtId="0" fontId="124" fillId="0" borderId="288" xfId="0" applyFont="1" applyBorder="1" applyAlignment="1" applyProtection="1">
      <alignment horizontal="center" vertical="center"/>
    </xf>
    <xf numFmtId="166" fontId="124" fillId="0" borderId="104" xfId="0" applyNumberFormat="1" applyFont="1" applyBorder="1" applyAlignment="1" applyProtection="1">
      <alignment horizontal="center" vertical="center"/>
    </xf>
    <xf numFmtId="0" fontId="124" fillId="0" borderId="339" xfId="0" applyFont="1" applyBorder="1" applyAlignment="1" applyProtection="1">
      <alignment horizontal="center" vertical="center"/>
    </xf>
    <xf numFmtId="170" fontId="124" fillId="0" borderId="103" xfId="0" applyNumberFormat="1" applyFont="1" applyBorder="1" applyAlignment="1" applyProtection="1">
      <alignment horizontal="center" vertical="center"/>
    </xf>
    <xf numFmtId="170" fontId="124" fillId="0" borderId="104" xfId="0" applyNumberFormat="1" applyFont="1" applyBorder="1" applyAlignment="1" applyProtection="1">
      <alignment horizontal="center" vertical="center"/>
    </xf>
    <xf numFmtId="170" fontId="124" fillId="0" borderId="340" xfId="0" applyNumberFormat="1" applyFont="1" applyBorder="1" applyAlignment="1" applyProtection="1">
      <alignment horizontal="center" vertical="center"/>
    </xf>
    <xf numFmtId="166" fontId="124" fillId="0" borderId="103" xfId="0" applyNumberFormat="1" applyFont="1" applyBorder="1" applyAlignment="1" applyProtection="1">
      <alignment horizontal="center" vertical="center"/>
    </xf>
    <xf numFmtId="0" fontId="124" fillId="0" borderId="106" xfId="0" applyFont="1" applyBorder="1" applyAlignment="1" applyProtection="1">
      <alignment horizontal="center" vertical="center"/>
    </xf>
    <xf numFmtId="166" fontId="124" fillId="0" borderId="330" xfId="0" applyNumberFormat="1" applyFont="1" applyBorder="1" applyAlignment="1" applyProtection="1">
      <alignment horizontal="center" vertical="center"/>
    </xf>
    <xf numFmtId="0" fontId="124" fillId="0" borderId="341" xfId="0" applyFont="1" applyBorder="1" applyAlignment="1" applyProtection="1">
      <alignment horizontal="center" vertical="center"/>
    </xf>
    <xf numFmtId="170" fontId="124" fillId="0" borderId="120" xfId="0" applyNumberFormat="1" applyFont="1" applyBorder="1" applyAlignment="1" applyProtection="1">
      <alignment horizontal="center" vertical="center"/>
    </xf>
    <xf numFmtId="170" fontId="124" fillId="0" borderId="330" xfId="0" applyNumberFormat="1" applyFont="1" applyBorder="1" applyAlignment="1" applyProtection="1">
      <alignment horizontal="center" vertical="center"/>
    </xf>
    <xf numFmtId="170" fontId="124" fillId="0" borderId="342" xfId="0" applyNumberFormat="1" applyFont="1" applyBorder="1" applyAlignment="1" applyProtection="1">
      <alignment horizontal="center" vertical="center"/>
    </xf>
    <xf numFmtId="166" fontId="124" fillId="0" borderId="120" xfId="0" applyNumberFormat="1" applyFont="1" applyBorder="1" applyAlignment="1" applyProtection="1">
      <alignment horizontal="center" vertical="center"/>
    </xf>
    <xf numFmtId="0" fontId="124" fillId="0" borderId="121" xfId="0" applyFont="1" applyBorder="1" applyAlignment="1" applyProtection="1">
      <alignment horizontal="center" vertical="center"/>
    </xf>
    <xf numFmtId="0" fontId="123" fillId="0" borderId="0" xfId="0" applyFont="1" applyAlignment="1" applyProtection="1">
      <alignment horizontal="left"/>
    </xf>
    <xf numFmtId="0" fontId="0" fillId="0" borderId="0" xfId="0" applyProtection="1"/>
    <xf numFmtId="194" fontId="118" fillId="0" borderId="219" xfId="0" applyNumberFormat="1" applyFont="1" applyBorder="1" applyAlignment="1" applyProtection="1">
      <alignment horizontal="center" vertical="center"/>
    </xf>
    <xf numFmtId="0" fontId="118" fillId="0" borderId="219" xfId="0" applyFont="1" applyBorder="1" applyAlignment="1" applyProtection="1">
      <alignment horizontal="center" vertical="center"/>
    </xf>
    <xf numFmtId="170" fontId="124" fillId="0" borderId="221" xfId="0" applyNumberFormat="1" applyFont="1" applyBorder="1" applyAlignment="1" applyProtection="1">
      <alignment horizontal="left" vertical="center"/>
    </xf>
    <xf numFmtId="170" fontId="124" fillId="0" borderId="325" xfId="0" applyNumberFormat="1" applyFont="1" applyBorder="1" applyAlignment="1" applyProtection="1">
      <alignment horizontal="center" vertical="center"/>
    </xf>
    <xf numFmtId="0" fontId="124" fillId="0" borderId="220" xfId="0" applyFont="1" applyBorder="1" applyAlignment="1" applyProtection="1">
      <alignment horizontal="center" vertical="center"/>
    </xf>
    <xf numFmtId="170" fontId="124" fillId="0" borderId="288" xfId="0" applyNumberFormat="1" applyFont="1" applyBorder="1" applyAlignment="1" applyProtection="1">
      <alignment horizontal="center" vertical="center"/>
    </xf>
    <xf numFmtId="188" fontId="124" fillId="0" borderId="345" xfId="0" applyNumberFormat="1" applyFont="1" applyBorder="1" applyAlignment="1" applyProtection="1">
      <alignment horizontal="right" vertical="center"/>
    </xf>
    <xf numFmtId="167" fontId="124" fillId="0" borderId="222" xfId="0" applyNumberFormat="1" applyFont="1" applyBorder="1" applyAlignment="1" applyProtection="1">
      <alignment horizontal="center" vertical="center"/>
    </xf>
    <xf numFmtId="167" fontId="124" fillId="0" borderId="220" xfId="0" applyNumberFormat="1" applyFont="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158"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170" fontId="124" fillId="0" borderId="158" xfId="0" applyNumberFormat="1" applyFont="1" applyBorder="1" applyAlignment="1" applyProtection="1">
      <alignment horizontal="left" vertical="center"/>
    </xf>
    <xf numFmtId="12" fontId="124" fillId="0" borderId="103" xfId="0" applyNumberFormat="1" applyFont="1" applyBorder="1" applyAlignment="1" applyProtection="1">
      <alignment horizontal="center" vertical="center"/>
    </xf>
    <xf numFmtId="12" fontId="124" fillId="0" borderId="104" xfId="0" applyNumberFormat="1" applyFont="1" applyBorder="1" applyAlignment="1" applyProtection="1">
      <alignment horizontal="center" vertical="center"/>
    </xf>
    <xf numFmtId="167" fontId="124" fillId="0" borderId="124" xfId="0" applyNumberFormat="1" applyFont="1" applyBorder="1" applyAlignment="1" applyProtection="1">
      <alignment horizontal="center" vertical="center"/>
    </xf>
    <xf numFmtId="167" fontId="124" fillId="0" borderId="106" xfId="0" applyNumberFormat="1" applyFont="1" applyBorder="1" applyAlignment="1" applyProtection="1">
      <alignment horizontal="center" vertical="center"/>
    </xf>
    <xf numFmtId="49" fontId="124" fillId="0" borderId="159" xfId="0" applyNumberFormat="1" applyFont="1" applyBorder="1" applyAlignment="1" applyProtection="1">
      <alignment horizontal="left" vertical="center"/>
    </xf>
    <xf numFmtId="170" fontId="124" fillId="0" borderId="308" xfId="0" applyNumberFormat="1" applyFont="1" applyBorder="1" applyAlignment="1" applyProtection="1">
      <alignment horizontal="left" vertical="center"/>
    </xf>
    <xf numFmtId="12" fontId="124" fillId="0" borderId="120" xfId="0" applyNumberFormat="1" applyFont="1" applyBorder="1" applyAlignment="1" applyProtection="1">
      <alignment horizontal="center" vertical="center"/>
    </xf>
    <xf numFmtId="12" fontId="124" fillId="0" borderId="330" xfId="0" applyNumberFormat="1" applyFont="1" applyBorder="1" applyAlignment="1" applyProtection="1">
      <alignment horizontal="center" vertical="center"/>
    </xf>
    <xf numFmtId="167" fontId="124" fillId="0" borderId="125" xfId="0" applyNumberFormat="1" applyFont="1" applyBorder="1" applyAlignment="1" applyProtection="1">
      <alignment horizontal="center" vertical="center"/>
    </xf>
    <xf numFmtId="167" fontId="124" fillId="0" borderId="121" xfId="0" applyNumberFormat="1" applyFont="1" applyBorder="1" applyAlignment="1" applyProtection="1">
      <alignment horizontal="center" vertical="center"/>
    </xf>
    <xf numFmtId="49" fontId="124" fillId="0" borderId="312" xfId="0" applyNumberFormat="1" applyFont="1" applyBorder="1" applyAlignment="1" applyProtection="1">
      <alignment horizontal="left" vertical="center"/>
    </xf>
    <xf numFmtId="186" fontId="123" fillId="0" borderId="0" xfId="0" applyNumberFormat="1" applyFont="1" applyAlignment="1" applyProtection="1">
      <alignment horizontal="left"/>
    </xf>
    <xf numFmtId="3" fontId="118" fillId="0" borderId="0" xfId="0" applyNumberFormat="1" applyFont="1" applyAlignment="1" applyProtection="1">
      <alignment horizontal="left" indent="2"/>
    </xf>
    <xf numFmtId="12" fontId="124" fillId="0" borderId="106" xfId="0" applyNumberFormat="1" applyFont="1" applyBorder="1" applyAlignment="1" applyProtection="1">
      <alignment horizontal="center" vertical="center"/>
    </xf>
    <xf numFmtId="12" fontId="124" fillId="0" borderId="121" xfId="0" applyNumberFormat="1" applyFont="1" applyBorder="1" applyAlignment="1" applyProtection="1">
      <alignment horizontal="center" vertical="center"/>
    </xf>
    <xf numFmtId="0" fontId="118" fillId="0" borderId="104" xfId="0" applyFont="1" applyBorder="1" applyAlignment="1" applyProtection="1">
      <alignment horizontal="center" vertical="center"/>
    </xf>
    <xf numFmtId="0" fontId="118" fillId="0" borderId="106" xfId="0" applyFont="1" applyBorder="1" applyAlignment="1" applyProtection="1">
      <alignment horizontal="center" vertical="center"/>
    </xf>
    <xf numFmtId="171" fontId="118" fillId="0" borderId="106" xfId="0" applyNumberFormat="1" applyFont="1" applyBorder="1" applyAlignment="1" applyProtection="1">
      <alignment horizontal="center" vertical="center"/>
    </xf>
    <xf numFmtId="0" fontId="118" fillId="0" borderId="105" xfId="0" applyFont="1" applyBorder="1" applyAlignment="1" applyProtection="1">
      <alignment horizontal="center" vertical="center"/>
    </xf>
    <xf numFmtId="171" fontId="118" fillId="0" borderId="104" xfId="0" applyNumberFormat="1" applyFont="1" applyBorder="1" applyAlignment="1" applyProtection="1">
      <alignment horizontal="center" vertical="center"/>
    </xf>
    <xf numFmtId="183" fontId="118" fillId="0" borderId="307" xfId="0" applyNumberFormat="1" applyFont="1" applyBorder="1" applyAlignment="1" applyProtection="1">
      <alignment horizontal="right" vertical="center"/>
    </xf>
    <xf numFmtId="171" fontId="118" fillId="0" borderId="158" xfId="0" applyNumberFormat="1" applyFont="1" applyBorder="1" applyAlignment="1" applyProtection="1">
      <alignment horizontal="left" vertical="center"/>
    </xf>
    <xf numFmtId="186" fontId="118" fillId="0" borderId="105" xfId="0" applyNumberFormat="1" applyFont="1" applyBorder="1" applyAlignment="1" applyProtection="1">
      <alignment horizontal="center" vertical="center"/>
    </xf>
    <xf numFmtId="186" fontId="118" fillId="0" borderId="103" xfId="0" applyNumberFormat="1" applyFont="1" applyBorder="1" applyAlignment="1" applyProtection="1">
      <alignment horizontal="center" vertical="center"/>
    </xf>
    <xf numFmtId="186" fontId="118" fillId="0" borderId="106" xfId="0" applyNumberFormat="1" applyFont="1" applyBorder="1" applyAlignment="1" applyProtection="1">
      <alignment horizontal="center" vertical="center"/>
    </xf>
    <xf numFmtId="0" fontId="118" fillId="0" borderId="159" xfId="0" applyFont="1" applyBorder="1" applyAlignment="1" applyProtection="1">
      <alignment horizontal="left" vertical="center"/>
    </xf>
    <xf numFmtId="183" fontId="118" fillId="26" borderId="307" xfId="0" applyNumberFormat="1" applyFont="1" applyFill="1" applyBorder="1" applyAlignment="1" applyProtection="1">
      <alignment horizontal="right" vertical="center"/>
    </xf>
    <xf numFmtId="171" fontId="118" fillId="26" borderId="158" xfId="0" applyNumberFormat="1" applyFont="1" applyFill="1" applyBorder="1" applyAlignment="1" applyProtection="1">
      <alignment horizontal="left" vertical="center"/>
    </xf>
    <xf numFmtId="0" fontId="118" fillId="0" borderId="330" xfId="0" applyFont="1" applyBorder="1" applyAlignment="1" applyProtection="1">
      <alignment horizontal="center" vertical="center"/>
    </xf>
    <xf numFmtId="0" fontId="118" fillId="0" borderId="121" xfId="0" applyFont="1" applyBorder="1" applyAlignment="1" applyProtection="1">
      <alignment horizontal="center" vertical="center"/>
    </xf>
    <xf numFmtId="171" fontId="118" fillId="0" borderId="121" xfId="0" applyNumberFormat="1" applyFont="1" applyBorder="1" applyAlignment="1" applyProtection="1">
      <alignment horizontal="center" vertical="center"/>
    </xf>
    <xf numFmtId="0" fontId="118" fillId="0" borderId="324" xfId="0" applyFont="1" applyBorder="1" applyAlignment="1" applyProtection="1">
      <alignment horizontal="center" vertical="center"/>
    </xf>
    <xf numFmtId="171" fontId="118" fillId="0" borderId="330" xfId="0" applyNumberFormat="1" applyFont="1" applyBorder="1" applyAlignment="1" applyProtection="1">
      <alignment horizontal="center" vertical="center"/>
    </xf>
    <xf numFmtId="183" fontId="118" fillId="0" borderId="309" xfId="0" applyNumberFormat="1" applyFont="1" applyBorder="1" applyAlignment="1" applyProtection="1">
      <alignment horizontal="right" vertical="center"/>
    </xf>
    <xf numFmtId="171" fontId="118" fillId="0" borderId="308" xfId="0" applyNumberFormat="1" applyFont="1" applyBorder="1" applyAlignment="1" applyProtection="1">
      <alignment horizontal="left" vertical="center"/>
    </xf>
    <xf numFmtId="186" fontId="118" fillId="0" borderId="324" xfId="0" applyNumberFormat="1" applyFont="1" applyBorder="1" applyAlignment="1" applyProtection="1">
      <alignment horizontal="center" vertical="center"/>
    </xf>
    <xf numFmtId="186" fontId="118" fillId="0" borderId="120" xfId="0" applyNumberFormat="1" applyFont="1" applyBorder="1" applyAlignment="1" applyProtection="1">
      <alignment horizontal="center" vertical="center"/>
    </xf>
    <xf numFmtId="186" fontId="118" fillId="0" borderId="121" xfId="0" applyNumberFormat="1" applyFont="1" applyBorder="1" applyAlignment="1" applyProtection="1">
      <alignment horizontal="center" vertical="center"/>
    </xf>
    <xf numFmtId="0" fontId="118" fillId="0" borderId="312" xfId="0" applyFont="1" applyBorder="1" applyAlignment="1" applyProtection="1">
      <alignment horizontal="left" vertical="center"/>
    </xf>
    <xf numFmtId="49" fontId="123" fillId="0" borderId="0" xfId="0" applyNumberFormat="1" applyFont="1" applyAlignment="1" applyProtection="1">
      <alignment horizontal="left"/>
    </xf>
    <xf numFmtId="0" fontId="122" fillId="0" borderId="0" xfId="0" applyFont="1" applyProtection="1"/>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170">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12.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4"/>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4"/>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3" name="Line 25">
          <a:extLst>
            <a:ext uri="{FF2B5EF4-FFF2-40B4-BE49-F238E27FC236}">
              <a16:creationId xmlns:a16="http://schemas.microsoft.com/office/drawing/2014/main" id="{00000000-0008-0000-1E00-000003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4" name="Line 26">
          <a:extLst>
            <a:ext uri="{FF2B5EF4-FFF2-40B4-BE49-F238E27FC236}">
              <a16:creationId xmlns:a16="http://schemas.microsoft.com/office/drawing/2014/main" id="{00000000-0008-0000-1E00-000004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5" name="Text Box 52">
          <a:extLst>
            <a:ext uri="{FF2B5EF4-FFF2-40B4-BE49-F238E27FC236}">
              <a16:creationId xmlns:a16="http://schemas.microsoft.com/office/drawing/2014/main" id="{00000000-0008-0000-1E00-000005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6" name="Text Box 15544">
          <a:extLst>
            <a:ext uri="{FF2B5EF4-FFF2-40B4-BE49-F238E27FC236}">
              <a16:creationId xmlns:a16="http://schemas.microsoft.com/office/drawing/2014/main" id="{00000000-0008-0000-1E00-000006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7" name="Group 16305">
          <a:extLst>
            <a:ext uri="{FF2B5EF4-FFF2-40B4-BE49-F238E27FC236}">
              <a16:creationId xmlns:a16="http://schemas.microsoft.com/office/drawing/2014/main" id="{00000000-0008-0000-1E00-000007000000}"/>
            </a:ext>
          </a:extLst>
        </xdr:cNvPr>
        <xdr:cNvGrpSpPr>
          <a:grpSpLocks/>
        </xdr:cNvGrpSpPr>
      </xdr:nvGrpSpPr>
      <xdr:grpSpPr bwMode="auto">
        <a:xfrm>
          <a:off x="18707100" y="28575"/>
          <a:ext cx="0" cy="1790700"/>
          <a:chOff x="2623" y="3"/>
          <a:chExt cx="296" cy="188"/>
        </a:xfrm>
      </xdr:grpSpPr>
      <xdr:grpSp>
        <xdr:nvGrpSpPr>
          <xdr:cNvPr id="8" name="Group 16173">
            <a:extLst>
              <a:ext uri="{FF2B5EF4-FFF2-40B4-BE49-F238E27FC236}">
                <a16:creationId xmlns:a16="http://schemas.microsoft.com/office/drawing/2014/main" id="{00000000-0008-0000-1E00-000008000000}"/>
              </a:ext>
            </a:extLst>
          </xdr:cNvPr>
          <xdr:cNvGrpSpPr>
            <a:grpSpLocks/>
          </xdr:cNvGrpSpPr>
        </xdr:nvGrpSpPr>
        <xdr:grpSpPr bwMode="auto">
          <a:xfrm>
            <a:off x="2623" y="3"/>
            <a:ext cx="296" cy="188"/>
            <a:chOff x="4176" y="233"/>
            <a:chExt cx="346" cy="217"/>
          </a:xfrm>
        </xdr:grpSpPr>
        <xdr:sp macro="" textlink="">
          <xdr:nvSpPr>
            <xdr:cNvPr id="11" name="Rectangle 1186">
              <a:extLst>
                <a:ext uri="{FF2B5EF4-FFF2-40B4-BE49-F238E27FC236}">
                  <a16:creationId xmlns:a16="http://schemas.microsoft.com/office/drawing/2014/main" id="{00000000-0008-0000-1E00-00000B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2" name="Text Box 1187">
              <a:extLst>
                <a:ext uri="{FF2B5EF4-FFF2-40B4-BE49-F238E27FC236}">
                  <a16:creationId xmlns:a16="http://schemas.microsoft.com/office/drawing/2014/main" id="{00000000-0008-0000-1E00-00000C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3" name="Group 16170">
              <a:extLst>
                <a:ext uri="{FF2B5EF4-FFF2-40B4-BE49-F238E27FC236}">
                  <a16:creationId xmlns:a16="http://schemas.microsoft.com/office/drawing/2014/main" id="{00000000-0008-0000-1E00-00000D000000}"/>
                </a:ext>
              </a:extLst>
            </xdr:cNvPr>
            <xdr:cNvGrpSpPr>
              <a:grpSpLocks/>
            </xdr:cNvGrpSpPr>
          </xdr:nvGrpSpPr>
          <xdr:grpSpPr bwMode="auto">
            <a:xfrm>
              <a:off x="4194" y="285"/>
              <a:ext cx="146" cy="150"/>
              <a:chOff x="4194" y="285"/>
              <a:chExt cx="146" cy="150"/>
            </a:xfrm>
          </xdr:grpSpPr>
          <xdr:sp macro="" textlink="">
            <xdr:nvSpPr>
              <xdr:cNvPr id="27" name="Line 1189">
                <a:extLst>
                  <a:ext uri="{FF2B5EF4-FFF2-40B4-BE49-F238E27FC236}">
                    <a16:creationId xmlns:a16="http://schemas.microsoft.com/office/drawing/2014/main" id="{00000000-0008-0000-1E00-00001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1190">
                <a:extLst>
                  <a:ext uri="{FF2B5EF4-FFF2-40B4-BE49-F238E27FC236}">
                    <a16:creationId xmlns:a16="http://schemas.microsoft.com/office/drawing/2014/main" id="{00000000-0008-0000-1E00-00001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1">
                <a:extLst>
                  <a:ext uri="{FF2B5EF4-FFF2-40B4-BE49-F238E27FC236}">
                    <a16:creationId xmlns:a16="http://schemas.microsoft.com/office/drawing/2014/main" id="{00000000-0008-0000-1E00-00001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2">
                <a:extLst>
                  <a:ext uri="{FF2B5EF4-FFF2-40B4-BE49-F238E27FC236}">
                    <a16:creationId xmlns:a16="http://schemas.microsoft.com/office/drawing/2014/main" id="{00000000-0008-0000-1E00-00001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1" name="Line 1193">
                <a:extLst>
                  <a:ext uri="{FF2B5EF4-FFF2-40B4-BE49-F238E27FC236}">
                    <a16:creationId xmlns:a16="http://schemas.microsoft.com/office/drawing/2014/main" id="{00000000-0008-0000-1E00-00001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1195">
                <a:extLst>
                  <a:ext uri="{FF2B5EF4-FFF2-40B4-BE49-F238E27FC236}">
                    <a16:creationId xmlns:a16="http://schemas.microsoft.com/office/drawing/2014/main" id="{00000000-0008-0000-1E00-00002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Line 1196">
                <a:extLst>
                  <a:ext uri="{FF2B5EF4-FFF2-40B4-BE49-F238E27FC236}">
                    <a16:creationId xmlns:a16="http://schemas.microsoft.com/office/drawing/2014/main" id="{00000000-0008-0000-1E00-00002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4" name="Group 16171">
              <a:extLst>
                <a:ext uri="{FF2B5EF4-FFF2-40B4-BE49-F238E27FC236}">
                  <a16:creationId xmlns:a16="http://schemas.microsoft.com/office/drawing/2014/main" id="{00000000-0008-0000-1E00-00000E000000}"/>
                </a:ext>
              </a:extLst>
            </xdr:cNvPr>
            <xdr:cNvGrpSpPr>
              <a:grpSpLocks/>
            </xdr:cNvGrpSpPr>
          </xdr:nvGrpSpPr>
          <xdr:grpSpPr bwMode="auto">
            <a:xfrm>
              <a:off x="4365" y="285"/>
              <a:ext cx="141" cy="152"/>
              <a:chOff x="4365" y="285"/>
              <a:chExt cx="141" cy="152"/>
            </a:xfrm>
          </xdr:grpSpPr>
          <xdr:sp macro="" textlink="">
            <xdr:nvSpPr>
              <xdr:cNvPr id="20" name="Line 1198">
                <a:extLst>
                  <a:ext uri="{FF2B5EF4-FFF2-40B4-BE49-F238E27FC236}">
                    <a16:creationId xmlns:a16="http://schemas.microsoft.com/office/drawing/2014/main" id="{00000000-0008-0000-1E00-00001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1199">
                <a:extLst>
                  <a:ext uri="{FF2B5EF4-FFF2-40B4-BE49-F238E27FC236}">
                    <a16:creationId xmlns:a16="http://schemas.microsoft.com/office/drawing/2014/main" id="{00000000-0008-0000-1E00-00001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200">
                <a:extLst>
                  <a:ext uri="{FF2B5EF4-FFF2-40B4-BE49-F238E27FC236}">
                    <a16:creationId xmlns:a16="http://schemas.microsoft.com/office/drawing/2014/main" id="{00000000-0008-0000-1E00-00001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1">
                <a:extLst>
                  <a:ext uri="{FF2B5EF4-FFF2-40B4-BE49-F238E27FC236}">
                    <a16:creationId xmlns:a16="http://schemas.microsoft.com/office/drawing/2014/main" id="{00000000-0008-0000-1E00-00001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4" name="Line 1202">
                <a:extLst>
                  <a:ext uri="{FF2B5EF4-FFF2-40B4-BE49-F238E27FC236}">
                    <a16:creationId xmlns:a16="http://schemas.microsoft.com/office/drawing/2014/main" id="{00000000-0008-0000-1E00-00001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1204">
                <a:extLst>
                  <a:ext uri="{FF2B5EF4-FFF2-40B4-BE49-F238E27FC236}">
                    <a16:creationId xmlns:a16="http://schemas.microsoft.com/office/drawing/2014/main" id="{00000000-0008-0000-1E00-00001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6" name="Line 1205">
                <a:extLst>
                  <a:ext uri="{FF2B5EF4-FFF2-40B4-BE49-F238E27FC236}">
                    <a16:creationId xmlns:a16="http://schemas.microsoft.com/office/drawing/2014/main" id="{00000000-0008-0000-1E00-00001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5" name="Text Box 16164">
              <a:extLst>
                <a:ext uri="{FF2B5EF4-FFF2-40B4-BE49-F238E27FC236}">
                  <a16:creationId xmlns:a16="http://schemas.microsoft.com/office/drawing/2014/main" id="{00000000-0008-0000-1E00-00000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6" name="Text Box 16165">
              <a:extLst>
                <a:ext uri="{FF2B5EF4-FFF2-40B4-BE49-F238E27FC236}">
                  <a16:creationId xmlns:a16="http://schemas.microsoft.com/office/drawing/2014/main" id="{00000000-0008-0000-1E00-00001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7">
              <a:extLst>
                <a:ext uri="{FF2B5EF4-FFF2-40B4-BE49-F238E27FC236}">
                  <a16:creationId xmlns:a16="http://schemas.microsoft.com/office/drawing/2014/main" id="{00000000-0008-0000-1E00-000011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8" name="Line 16168">
              <a:extLst>
                <a:ext uri="{FF2B5EF4-FFF2-40B4-BE49-F238E27FC236}">
                  <a16:creationId xmlns:a16="http://schemas.microsoft.com/office/drawing/2014/main" id="{00000000-0008-0000-1E00-00001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19" name="Line 16169">
              <a:extLst>
                <a:ext uri="{FF2B5EF4-FFF2-40B4-BE49-F238E27FC236}">
                  <a16:creationId xmlns:a16="http://schemas.microsoft.com/office/drawing/2014/main" id="{00000000-0008-0000-1E00-00001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9" name="Text Box 16176">
            <a:extLst>
              <a:ext uri="{FF2B5EF4-FFF2-40B4-BE49-F238E27FC236}">
                <a16:creationId xmlns:a16="http://schemas.microsoft.com/office/drawing/2014/main" id="{00000000-0008-0000-1E00-000009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0" name="Text Box 16177">
            <a:extLst>
              <a:ext uri="{FF2B5EF4-FFF2-40B4-BE49-F238E27FC236}">
                <a16:creationId xmlns:a16="http://schemas.microsoft.com/office/drawing/2014/main" id="{00000000-0008-0000-1E00-00000A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4" name="Group 16236">
          <a:extLst>
            <a:ext uri="{FF2B5EF4-FFF2-40B4-BE49-F238E27FC236}">
              <a16:creationId xmlns:a16="http://schemas.microsoft.com/office/drawing/2014/main" id="{00000000-0008-0000-1E00-000022000000}"/>
            </a:ext>
          </a:extLst>
        </xdr:cNvPr>
        <xdr:cNvGrpSpPr>
          <a:grpSpLocks/>
        </xdr:cNvGrpSpPr>
      </xdr:nvGrpSpPr>
      <xdr:grpSpPr bwMode="auto">
        <a:xfrm>
          <a:off x="18707100" y="57150"/>
          <a:ext cx="0" cy="1752600"/>
          <a:chOff x="4176" y="123"/>
          <a:chExt cx="353" cy="199"/>
        </a:xfrm>
      </xdr:grpSpPr>
      <xdr:sp macro="" textlink="">
        <xdr:nvSpPr>
          <xdr:cNvPr id="35" name="Rectangle 16174">
            <a:extLst>
              <a:ext uri="{FF2B5EF4-FFF2-40B4-BE49-F238E27FC236}">
                <a16:creationId xmlns:a16="http://schemas.microsoft.com/office/drawing/2014/main" id="{00000000-0008-0000-1E00-000023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6" name="Text Box 16175">
            <a:extLst>
              <a:ext uri="{FF2B5EF4-FFF2-40B4-BE49-F238E27FC236}">
                <a16:creationId xmlns:a16="http://schemas.microsoft.com/office/drawing/2014/main" id="{00000000-0008-0000-1E00-000024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7" name="Group 16192">
            <a:extLst>
              <a:ext uri="{FF2B5EF4-FFF2-40B4-BE49-F238E27FC236}">
                <a16:creationId xmlns:a16="http://schemas.microsoft.com/office/drawing/2014/main" id="{00000000-0008-0000-1E00-000025000000}"/>
              </a:ext>
            </a:extLst>
          </xdr:cNvPr>
          <xdr:cNvGrpSpPr>
            <a:grpSpLocks/>
          </xdr:cNvGrpSpPr>
        </xdr:nvGrpSpPr>
        <xdr:grpSpPr bwMode="auto">
          <a:xfrm>
            <a:off x="4211" y="155"/>
            <a:ext cx="103" cy="42"/>
            <a:chOff x="4198" y="199"/>
            <a:chExt cx="96" cy="42"/>
          </a:xfrm>
        </xdr:grpSpPr>
        <xdr:sp macro="" textlink="">
          <xdr:nvSpPr>
            <xdr:cNvPr id="78" name="Line 16178">
              <a:extLst>
                <a:ext uri="{FF2B5EF4-FFF2-40B4-BE49-F238E27FC236}">
                  <a16:creationId xmlns:a16="http://schemas.microsoft.com/office/drawing/2014/main" id="{00000000-0008-0000-1E00-00004E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9" name="Line 16179">
              <a:extLst>
                <a:ext uri="{FF2B5EF4-FFF2-40B4-BE49-F238E27FC236}">
                  <a16:creationId xmlns:a16="http://schemas.microsoft.com/office/drawing/2014/main" id="{00000000-0008-0000-1E00-00004F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80">
              <a:extLst>
                <a:ext uri="{FF2B5EF4-FFF2-40B4-BE49-F238E27FC236}">
                  <a16:creationId xmlns:a16="http://schemas.microsoft.com/office/drawing/2014/main" id="{00000000-0008-0000-1E00-000050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1">
              <a:extLst>
                <a:ext uri="{FF2B5EF4-FFF2-40B4-BE49-F238E27FC236}">
                  <a16:creationId xmlns:a16="http://schemas.microsoft.com/office/drawing/2014/main" id="{00000000-0008-0000-1E00-000051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2">
              <a:extLst>
                <a:ext uri="{FF2B5EF4-FFF2-40B4-BE49-F238E27FC236}">
                  <a16:creationId xmlns:a16="http://schemas.microsoft.com/office/drawing/2014/main" id="{00000000-0008-0000-1E00-000052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3">
              <a:extLst>
                <a:ext uri="{FF2B5EF4-FFF2-40B4-BE49-F238E27FC236}">
                  <a16:creationId xmlns:a16="http://schemas.microsoft.com/office/drawing/2014/main" id="{00000000-0008-0000-1E00-000053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4">
              <a:extLst>
                <a:ext uri="{FF2B5EF4-FFF2-40B4-BE49-F238E27FC236}">
                  <a16:creationId xmlns:a16="http://schemas.microsoft.com/office/drawing/2014/main" id="{00000000-0008-0000-1E00-000054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5">
              <a:extLst>
                <a:ext uri="{FF2B5EF4-FFF2-40B4-BE49-F238E27FC236}">
                  <a16:creationId xmlns:a16="http://schemas.microsoft.com/office/drawing/2014/main" id="{00000000-0008-0000-1E00-000055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9">
              <a:extLst>
                <a:ext uri="{FF2B5EF4-FFF2-40B4-BE49-F238E27FC236}">
                  <a16:creationId xmlns:a16="http://schemas.microsoft.com/office/drawing/2014/main" id="{00000000-0008-0000-1E00-000056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90">
              <a:extLst>
                <a:ext uri="{FF2B5EF4-FFF2-40B4-BE49-F238E27FC236}">
                  <a16:creationId xmlns:a16="http://schemas.microsoft.com/office/drawing/2014/main" id="{00000000-0008-0000-1E00-000057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1">
              <a:extLst>
                <a:ext uri="{FF2B5EF4-FFF2-40B4-BE49-F238E27FC236}">
                  <a16:creationId xmlns:a16="http://schemas.microsoft.com/office/drawing/2014/main" id="{00000000-0008-0000-1E00-000058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8" name="Group 16234">
            <a:extLst>
              <a:ext uri="{FF2B5EF4-FFF2-40B4-BE49-F238E27FC236}">
                <a16:creationId xmlns:a16="http://schemas.microsoft.com/office/drawing/2014/main" id="{00000000-0008-0000-1E00-000026000000}"/>
              </a:ext>
            </a:extLst>
          </xdr:cNvPr>
          <xdr:cNvGrpSpPr>
            <a:grpSpLocks/>
          </xdr:cNvGrpSpPr>
        </xdr:nvGrpSpPr>
        <xdr:grpSpPr bwMode="auto">
          <a:xfrm>
            <a:off x="4210" y="245"/>
            <a:ext cx="104" cy="44"/>
            <a:chOff x="4210" y="245"/>
            <a:chExt cx="97" cy="44"/>
          </a:xfrm>
        </xdr:grpSpPr>
        <xdr:sp macro="" textlink="">
          <xdr:nvSpPr>
            <xdr:cNvPr id="67" name="Line 16194">
              <a:extLst>
                <a:ext uri="{FF2B5EF4-FFF2-40B4-BE49-F238E27FC236}">
                  <a16:creationId xmlns:a16="http://schemas.microsoft.com/office/drawing/2014/main" id="{00000000-0008-0000-1E00-000043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16195">
              <a:extLst>
                <a:ext uri="{FF2B5EF4-FFF2-40B4-BE49-F238E27FC236}">
                  <a16:creationId xmlns:a16="http://schemas.microsoft.com/office/drawing/2014/main" id="{00000000-0008-0000-1E00-000044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6">
              <a:extLst>
                <a:ext uri="{FF2B5EF4-FFF2-40B4-BE49-F238E27FC236}">
                  <a16:creationId xmlns:a16="http://schemas.microsoft.com/office/drawing/2014/main" id="{00000000-0008-0000-1E00-000045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7">
              <a:extLst>
                <a:ext uri="{FF2B5EF4-FFF2-40B4-BE49-F238E27FC236}">
                  <a16:creationId xmlns:a16="http://schemas.microsoft.com/office/drawing/2014/main" id="{00000000-0008-0000-1E00-000046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8">
              <a:extLst>
                <a:ext uri="{FF2B5EF4-FFF2-40B4-BE49-F238E27FC236}">
                  <a16:creationId xmlns:a16="http://schemas.microsoft.com/office/drawing/2014/main" id="{00000000-0008-0000-1E00-000047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9">
              <a:extLst>
                <a:ext uri="{FF2B5EF4-FFF2-40B4-BE49-F238E27FC236}">
                  <a16:creationId xmlns:a16="http://schemas.microsoft.com/office/drawing/2014/main" id="{00000000-0008-0000-1E00-000048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200">
              <a:extLst>
                <a:ext uri="{FF2B5EF4-FFF2-40B4-BE49-F238E27FC236}">
                  <a16:creationId xmlns:a16="http://schemas.microsoft.com/office/drawing/2014/main" id="{00000000-0008-0000-1E00-000049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1">
              <a:extLst>
                <a:ext uri="{FF2B5EF4-FFF2-40B4-BE49-F238E27FC236}">
                  <a16:creationId xmlns:a16="http://schemas.microsoft.com/office/drawing/2014/main" id="{00000000-0008-0000-1E00-00004A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2">
              <a:extLst>
                <a:ext uri="{FF2B5EF4-FFF2-40B4-BE49-F238E27FC236}">
                  <a16:creationId xmlns:a16="http://schemas.microsoft.com/office/drawing/2014/main" id="{00000000-0008-0000-1E00-00004B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3">
              <a:extLst>
                <a:ext uri="{FF2B5EF4-FFF2-40B4-BE49-F238E27FC236}">
                  <a16:creationId xmlns:a16="http://schemas.microsoft.com/office/drawing/2014/main" id="{00000000-0008-0000-1E00-00004C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4">
              <a:extLst>
                <a:ext uri="{FF2B5EF4-FFF2-40B4-BE49-F238E27FC236}">
                  <a16:creationId xmlns:a16="http://schemas.microsoft.com/office/drawing/2014/main" id="{00000000-0008-0000-1E00-00004D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9" name="Text Box 16206">
            <a:extLst>
              <a:ext uri="{FF2B5EF4-FFF2-40B4-BE49-F238E27FC236}">
                <a16:creationId xmlns:a16="http://schemas.microsoft.com/office/drawing/2014/main" id="{00000000-0008-0000-1E00-000027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0" name="Text Box 16207">
            <a:extLst>
              <a:ext uri="{FF2B5EF4-FFF2-40B4-BE49-F238E27FC236}">
                <a16:creationId xmlns:a16="http://schemas.microsoft.com/office/drawing/2014/main" id="{00000000-0008-0000-1E00-000028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1" name="Group 16208">
            <a:extLst>
              <a:ext uri="{FF2B5EF4-FFF2-40B4-BE49-F238E27FC236}">
                <a16:creationId xmlns:a16="http://schemas.microsoft.com/office/drawing/2014/main" id="{00000000-0008-0000-1E00-000029000000}"/>
              </a:ext>
            </a:extLst>
          </xdr:cNvPr>
          <xdr:cNvGrpSpPr>
            <a:grpSpLocks/>
          </xdr:cNvGrpSpPr>
        </xdr:nvGrpSpPr>
        <xdr:grpSpPr bwMode="auto">
          <a:xfrm flipH="1">
            <a:off x="4400" y="155"/>
            <a:ext cx="96" cy="42"/>
            <a:chOff x="4198" y="199"/>
            <a:chExt cx="96" cy="42"/>
          </a:xfrm>
        </xdr:grpSpPr>
        <xdr:sp macro="" textlink="">
          <xdr:nvSpPr>
            <xdr:cNvPr id="56" name="Line 16209">
              <a:extLst>
                <a:ext uri="{FF2B5EF4-FFF2-40B4-BE49-F238E27FC236}">
                  <a16:creationId xmlns:a16="http://schemas.microsoft.com/office/drawing/2014/main" id="{00000000-0008-0000-1E00-000038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16210">
              <a:extLst>
                <a:ext uri="{FF2B5EF4-FFF2-40B4-BE49-F238E27FC236}">
                  <a16:creationId xmlns:a16="http://schemas.microsoft.com/office/drawing/2014/main" id="{00000000-0008-0000-1E00-000039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1">
              <a:extLst>
                <a:ext uri="{FF2B5EF4-FFF2-40B4-BE49-F238E27FC236}">
                  <a16:creationId xmlns:a16="http://schemas.microsoft.com/office/drawing/2014/main" id="{00000000-0008-0000-1E00-00003A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2">
              <a:extLst>
                <a:ext uri="{FF2B5EF4-FFF2-40B4-BE49-F238E27FC236}">
                  <a16:creationId xmlns:a16="http://schemas.microsoft.com/office/drawing/2014/main" id="{00000000-0008-0000-1E00-00003B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3">
              <a:extLst>
                <a:ext uri="{FF2B5EF4-FFF2-40B4-BE49-F238E27FC236}">
                  <a16:creationId xmlns:a16="http://schemas.microsoft.com/office/drawing/2014/main" id="{00000000-0008-0000-1E00-00003C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4">
              <a:extLst>
                <a:ext uri="{FF2B5EF4-FFF2-40B4-BE49-F238E27FC236}">
                  <a16:creationId xmlns:a16="http://schemas.microsoft.com/office/drawing/2014/main" id="{00000000-0008-0000-1E00-00003D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5">
              <a:extLst>
                <a:ext uri="{FF2B5EF4-FFF2-40B4-BE49-F238E27FC236}">
                  <a16:creationId xmlns:a16="http://schemas.microsoft.com/office/drawing/2014/main" id="{00000000-0008-0000-1E00-00003E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6">
              <a:extLst>
                <a:ext uri="{FF2B5EF4-FFF2-40B4-BE49-F238E27FC236}">
                  <a16:creationId xmlns:a16="http://schemas.microsoft.com/office/drawing/2014/main" id="{00000000-0008-0000-1E00-00003F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7">
              <a:extLst>
                <a:ext uri="{FF2B5EF4-FFF2-40B4-BE49-F238E27FC236}">
                  <a16:creationId xmlns:a16="http://schemas.microsoft.com/office/drawing/2014/main" id="{00000000-0008-0000-1E00-000040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8">
              <a:extLst>
                <a:ext uri="{FF2B5EF4-FFF2-40B4-BE49-F238E27FC236}">
                  <a16:creationId xmlns:a16="http://schemas.microsoft.com/office/drawing/2014/main" id="{00000000-0008-0000-1E00-000041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9">
              <a:extLst>
                <a:ext uri="{FF2B5EF4-FFF2-40B4-BE49-F238E27FC236}">
                  <a16:creationId xmlns:a16="http://schemas.microsoft.com/office/drawing/2014/main" id="{00000000-0008-0000-1E00-000042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2" name="Group 16235">
            <a:extLst>
              <a:ext uri="{FF2B5EF4-FFF2-40B4-BE49-F238E27FC236}">
                <a16:creationId xmlns:a16="http://schemas.microsoft.com/office/drawing/2014/main" id="{00000000-0008-0000-1E00-00002A000000}"/>
              </a:ext>
            </a:extLst>
          </xdr:cNvPr>
          <xdr:cNvGrpSpPr>
            <a:grpSpLocks/>
          </xdr:cNvGrpSpPr>
        </xdr:nvGrpSpPr>
        <xdr:grpSpPr bwMode="auto">
          <a:xfrm>
            <a:off x="4399" y="245"/>
            <a:ext cx="97" cy="44"/>
            <a:chOff x="4392" y="245"/>
            <a:chExt cx="97" cy="44"/>
          </a:xfrm>
        </xdr:grpSpPr>
        <xdr:sp macro="" textlink="">
          <xdr:nvSpPr>
            <xdr:cNvPr id="45" name="Line 16221">
              <a:extLst>
                <a:ext uri="{FF2B5EF4-FFF2-40B4-BE49-F238E27FC236}">
                  <a16:creationId xmlns:a16="http://schemas.microsoft.com/office/drawing/2014/main" id="{00000000-0008-0000-1E00-00002D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16222">
              <a:extLst>
                <a:ext uri="{FF2B5EF4-FFF2-40B4-BE49-F238E27FC236}">
                  <a16:creationId xmlns:a16="http://schemas.microsoft.com/office/drawing/2014/main" id="{00000000-0008-0000-1E00-00002E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3">
              <a:extLst>
                <a:ext uri="{FF2B5EF4-FFF2-40B4-BE49-F238E27FC236}">
                  <a16:creationId xmlns:a16="http://schemas.microsoft.com/office/drawing/2014/main" id="{00000000-0008-0000-1E00-00002F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4">
              <a:extLst>
                <a:ext uri="{FF2B5EF4-FFF2-40B4-BE49-F238E27FC236}">
                  <a16:creationId xmlns:a16="http://schemas.microsoft.com/office/drawing/2014/main" id="{00000000-0008-0000-1E00-000030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5">
              <a:extLst>
                <a:ext uri="{FF2B5EF4-FFF2-40B4-BE49-F238E27FC236}">
                  <a16:creationId xmlns:a16="http://schemas.microsoft.com/office/drawing/2014/main" id="{00000000-0008-0000-1E00-000031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6">
              <a:extLst>
                <a:ext uri="{FF2B5EF4-FFF2-40B4-BE49-F238E27FC236}">
                  <a16:creationId xmlns:a16="http://schemas.microsoft.com/office/drawing/2014/main" id="{00000000-0008-0000-1E00-000032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7">
              <a:extLst>
                <a:ext uri="{FF2B5EF4-FFF2-40B4-BE49-F238E27FC236}">
                  <a16:creationId xmlns:a16="http://schemas.microsoft.com/office/drawing/2014/main" id="{00000000-0008-0000-1E00-000033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8">
              <a:extLst>
                <a:ext uri="{FF2B5EF4-FFF2-40B4-BE49-F238E27FC236}">
                  <a16:creationId xmlns:a16="http://schemas.microsoft.com/office/drawing/2014/main" id="{00000000-0008-0000-1E00-000034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9">
              <a:extLst>
                <a:ext uri="{FF2B5EF4-FFF2-40B4-BE49-F238E27FC236}">
                  <a16:creationId xmlns:a16="http://schemas.microsoft.com/office/drawing/2014/main" id="{00000000-0008-0000-1E00-000035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30">
              <a:extLst>
                <a:ext uri="{FF2B5EF4-FFF2-40B4-BE49-F238E27FC236}">
                  <a16:creationId xmlns:a16="http://schemas.microsoft.com/office/drawing/2014/main" id="{00000000-0008-0000-1E00-000036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1">
              <a:extLst>
                <a:ext uri="{FF2B5EF4-FFF2-40B4-BE49-F238E27FC236}">
                  <a16:creationId xmlns:a16="http://schemas.microsoft.com/office/drawing/2014/main" id="{00000000-0008-0000-1E00-000037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3" name="Text Box 16232">
            <a:extLst>
              <a:ext uri="{FF2B5EF4-FFF2-40B4-BE49-F238E27FC236}">
                <a16:creationId xmlns:a16="http://schemas.microsoft.com/office/drawing/2014/main" id="{00000000-0008-0000-1E00-00002B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4" name="Text Box 16233">
            <a:extLst>
              <a:ext uri="{FF2B5EF4-FFF2-40B4-BE49-F238E27FC236}">
                <a16:creationId xmlns:a16="http://schemas.microsoft.com/office/drawing/2014/main" id="{00000000-0008-0000-1E00-00002C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89" name="Line 27">
          <a:extLst>
            <a:ext uri="{FF2B5EF4-FFF2-40B4-BE49-F238E27FC236}">
              <a16:creationId xmlns:a16="http://schemas.microsoft.com/office/drawing/2014/main" id="{00000000-0008-0000-1E00-000059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0" name="TextBox 89">
          <a:extLst>
            <a:ext uri="{FF2B5EF4-FFF2-40B4-BE49-F238E27FC236}">
              <a16:creationId xmlns:a16="http://schemas.microsoft.com/office/drawing/2014/main" id="{00000000-0008-0000-1E00-00005A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1" name="TextBox 90">
          <a:extLst>
            <a:ext uri="{FF2B5EF4-FFF2-40B4-BE49-F238E27FC236}">
              <a16:creationId xmlns:a16="http://schemas.microsoft.com/office/drawing/2014/main" id="{00000000-0008-0000-1E00-00005B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2" name="Text Box 176">
          <a:extLst>
            <a:ext uri="{FF2B5EF4-FFF2-40B4-BE49-F238E27FC236}">
              <a16:creationId xmlns:a16="http://schemas.microsoft.com/office/drawing/2014/main" id="{00000000-0008-0000-1E00-00005C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3" name="Text Box 180">
          <a:extLst>
            <a:ext uri="{FF2B5EF4-FFF2-40B4-BE49-F238E27FC236}">
              <a16:creationId xmlns:a16="http://schemas.microsoft.com/office/drawing/2014/main" id="{00000000-0008-0000-1E00-00005D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4" name="Text Box 180">
          <a:extLst>
            <a:ext uri="{FF2B5EF4-FFF2-40B4-BE49-F238E27FC236}">
              <a16:creationId xmlns:a16="http://schemas.microsoft.com/office/drawing/2014/main" id="{00000000-0008-0000-1E00-00005E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5" name="TextBox 94">
          <a:extLst>
            <a:ext uri="{FF2B5EF4-FFF2-40B4-BE49-F238E27FC236}">
              <a16:creationId xmlns:a16="http://schemas.microsoft.com/office/drawing/2014/main" id="{00000000-0008-0000-1E00-00005F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96" name="CompanyLogo">
          <a:extLst>
            <a:ext uri="{FF2B5EF4-FFF2-40B4-BE49-F238E27FC236}">
              <a16:creationId xmlns:a16="http://schemas.microsoft.com/office/drawing/2014/main" id="{00000000-0008-0000-1E00-000060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97" name="CompanyLogo2">
          <a:extLst>
            <a:ext uri="{FF2B5EF4-FFF2-40B4-BE49-F238E27FC236}">
              <a16:creationId xmlns:a16="http://schemas.microsoft.com/office/drawing/2014/main" id="{00000000-0008-0000-1E00-00006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 name="Line 19">
          <a:extLst>
            <a:ext uri="{FF2B5EF4-FFF2-40B4-BE49-F238E27FC236}">
              <a16:creationId xmlns:a16="http://schemas.microsoft.com/office/drawing/2014/main" id="{00000000-0008-0000-1F00-000002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3" name="Line 20">
          <a:extLst>
            <a:ext uri="{FF2B5EF4-FFF2-40B4-BE49-F238E27FC236}">
              <a16:creationId xmlns:a16="http://schemas.microsoft.com/office/drawing/2014/main" id="{00000000-0008-0000-1F00-000003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4" name="Line 21">
          <a:extLst>
            <a:ext uri="{FF2B5EF4-FFF2-40B4-BE49-F238E27FC236}">
              <a16:creationId xmlns:a16="http://schemas.microsoft.com/office/drawing/2014/main" id="{00000000-0008-0000-1F00-000004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5" name="Text Box 25">
          <a:extLst>
            <a:ext uri="{FF2B5EF4-FFF2-40B4-BE49-F238E27FC236}">
              <a16:creationId xmlns:a16="http://schemas.microsoft.com/office/drawing/2014/main" id="{00000000-0008-0000-1F00-000005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6" name="Text Box 139">
          <a:extLst>
            <a:ext uri="{FF2B5EF4-FFF2-40B4-BE49-F238E27FC236}">
              <a16:creationId xmlns:a16="http://schemas.microsoft.com/office/drawing/2014/main" id="{00000000-0008-0000-1F00-000006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7" name="CompanyLogo">
          <a:extLst>
            <a:ext uri="{FF2B5EF4-FFF2-40B4-BE49-F238E27FC236}">
              <a16:creationId xmlns:a16="http://schemas.microsoft.com/office/drawing/2014/main" id="{00000000-0008-0000-1F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8" name="CompanyLogo2">
          <a:extLst>
            <a:ext uri="{FF2B5EF4-FFF2-40B4-BE49-F238E27FC236}">
              <a16:creationId xmlns:a16="http://schemas.microsoft.com/office/drawing/2014/main" id="{00000000-0008-0000-1F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0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0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0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0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0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0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0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0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0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0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0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0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0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0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0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0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0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0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0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0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0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0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0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0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0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0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0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0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0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0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0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0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0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0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0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0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0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0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0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0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0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0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0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0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0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0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0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0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0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0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0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0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0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0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0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0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0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0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0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0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0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0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0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0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0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0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0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20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20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20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20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20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20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20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20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20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20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20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20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20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20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20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20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20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20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20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20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20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20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20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20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20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20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20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20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20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20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2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2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2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3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3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4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4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4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4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4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4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4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4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4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4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4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4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4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4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4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4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4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4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4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4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4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4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4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4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4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4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4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4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4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4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4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4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4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4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4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4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4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4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4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4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4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4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4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4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4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4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4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626" dataDxfId="625">
  <autoFilter ref="AR1:AR7" xr:uid="{83CCCD05-2D3C-4DCC-A6EE-0DCED6E3C460}"/>
  <tableColumns count="1">
    <tableColumn id="1" xr3:uid="{A2876915-0FD7-4875-B316-012ABAE4381E}" name="Finish Types" dataDxfId="62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3" Type="http://schemas.openxmlformats.org/officeDocument/2006/relationships/vmlDrawing" Target="../drawings/vmlDrawing12.v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mments" Target="../comments16.xml"/><Relationship Id="rId5" Type="http://schemas.openxmlformats.org/officeDocument/2006/relationships/image" Target="../media/image23.emf"/><Relationship Id="rId4" Type="http://schemas.openxmlformats.org/officeDocument/2006/relationships/control" Target="../activeX/activeX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01" t="s">
        <v>565</v>
      </c>
      <c r="N1" s="1801"/>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02" t="str">
        <f>IF($BL$1,"Bay Length","Overall Length")</f>
        <v>Overall Length</v>
      </c>
      <c r="E1" s="1803"/>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1621</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1622</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1623</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1624</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1625</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1623</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1626</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1628</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1629</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1626</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1630</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1629</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1632</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1633</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1634</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1635</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1636</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1637</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1638</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1639</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1640</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1641</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1642</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1643</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1644</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04"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04"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04" t="s">
        <v>1265</v>
      </c>
      <c r="DZ1" s="1804"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1646</v>
      </c>
      <c r="AB2" s="1362"/>
      <c r="AC2" s="1362"/>
      <c r="AD2" s="1362"/>
      <c r="AE2" s="1362"/>
      <c r="AF2" s="1362"/>
      <c r="AG2" s="1350">
        <v>1</v>
      </c>
      <c r="AH2" s="1345">
        <f>COUNTA(A:A)-1</f>
        <v>73</v>
      </c>
      <c r="AZ2" s="1805"/>
      <c r="BA2" s="1346" t="s">
        <v>1505</v>
      </c>
      <c r="BC2" s="1346">
        <v>920</v>
      </c>
      <c r="BD2" s="1346">
        <v>1510</v>
      </c>
      <c r="BE2" s="1346" t="s">
        <v>658</v>
      </c>
      <c r="BK2" s="1346">
        <v>20</v>
      </c>
      <c r="BL2" s="1346">
        <v>0</v>
      </c>
      <c r="BZ2" s="1805"/>
      <c r="CA2" s="1349">
        <v>1</v>
      </c>
      <c r="CB2" s="1349" t="s">
        <v>144</v>
      </c>
      <c r="CC2" s="1349" t="s">
        <v>142</v>
      </c>
      <c r="CD2" s="1349" t="s">
        <v>145</v>
      </c>
      <c r="CE2" s="1349"/>
      <c r="CF2" s="1349">
        <v>119</v>
      </c>
      <c r="CG2" s="1349"/>
      <c r="CH2" s="1349"/>
      <c r="CI2" s="1349"/>
      <c r="CJ2" s="1349"/>
      <c r="CK2" s="1349"/>
      <c r="CL2" s="1349"/>
      <c r="CM2" s="1349">
        <v>2</v>
      </c>
      <c r="CN2" s="1349" t="s">
        <v>1515</v>
      </c>
      <c r="CO2" s="1349">
        <v>1</v>
      </c>
      <c r="CZ2" s="1805"/>
      <c r="DZ2" s="1805"/>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1647</v>
      </c>
      <c r="AB3" s="1362"/>
      <c r="AC3" s="1362"/>
      <c r="AD3" s="1362"/>
      <c r="AE3" s="1362"/>
      <c r="AF3" s="1362"/>
      <c r="AG3" s="1346">
        <v>1</v>
      </c>
      <c r="AZ3" s="1805"/>
      <c r="BA3" s="1346" t="s">
        <v>1506</v>
      </c>
      <c r="BC3" s="1346">
        <v>64</v>
      </c>
      <c r="BD3" s="1346">
        <v>1210</v>
      </c>
      <c r="BE3" s="1346" t="s">
        <v>727</v>
      </c>
      <c r="BH3" s="1346">
        <v>32</v>
      </c>
      <c r="BJ3" s="1346">
        <v>32</v>
      </c>
      <c r="BK3" s="1346">
        <v>4</v>
      </c>
      <c r="BL3" s="1346">
        <v>11</v>
      </c>
      <c r="BZ3" s="1805"/>
      <c r="CA3" s="1349">
        <v>2</v>
      </c>
      <c r="CB3" s="1349" t="s">
        <v>144</v>
      </c>
      <c r="CC3" s="1349" t="s">
        <v>142</v>
      </c>
      <c r="CD3" s="1349" t="s">
        <v>145</v>
      </c>
      <c r="CE3" s="1349"/>
      <c r="CF3" s="1349">
        <v>69</v>
      </c>
      <c r="CG3" s="1349"/>
      <c r="CH3" s="1349"/>
      <c r="CI3" s="1349"/>
      <c r="CJ3" s="1349"/>
      <c r="CK3" s="1349"/>
      <c r="CL3" s="1349"/>
      <c r="CM3" s="1349">
        <v>2</v>
      </c>
      <c r="CN3" s="1349" t="s">
        <v>1516</v>
      </c>
      <c r="CO3" s="1349">
        <v>2</v>
      </c>
      <c r="CZ3" s="1805"/>
      <c r="DZ3" s="1805"/>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1648</v>
      </c>
      <c r="AB4" s="1362"/>
      <c r="AC4" s="1362"/>
      <c r="AD4" s="1362"/>
      <c r="AE4" s="1362"/>
      <c r="AF4" s="1362"/>
      <c r="AG4" s="1346">
        <v>1</v>
      </c>
      <c r="AZ4" s="1805"/>
      <c r="BA4" s="1346" t="s">
        <v>1507</v>
      </c>
      <c r="BC4" s="1346">
        <v>8</v>
      </c>
      <c r="BD4" s="1346">
        <v>1210</v>
      </c>
      <c r="BE4" s="1346" t="s">
        <v>727</v>
      </c>
      <c r="BH4" s="1346">
        <v>44</v>
      </c>
      <c r="BJ4" s="1346">
        <v>44</v>
      </c>
      <c r="BK4" s="1346">
        <v>4</v>
      </c>
      <c r="BL4" s="1346">
        <v>11</v>
      </c>
      <c r="BZ4" s="1805"/>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05"/>
      <c r="DZ4" s="1805"/>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1649</v>
      </c>
      <c r="AB5" s="1362"/>
      <c r="AC5" s="1362"/>
      <c r="AD5" s="1362"/>
      <c r="AE5" s="1362"/>
      <c r="AF5" s="1362"/>
      <c r="AG5" s="1346">
        <v>1</v>
      </c>
      <c r="AZ5" s="1805"/>
      <c r="BA5" s="1346" t="s">
        <v>1508</v>
      </c>
      <c r="BC5" s="1346">
        <v>8</v>
      </c>
      <c r="BD5" s="1346">
        <v>1510</v>
      </c>
      <c r="BE5" s="1346" t="s">
        <v>665</v>
      </c>
      <c r="BG5" s="1346" t="s">
        <v>1450</v>
      </c>
      <c r="BH5" s="1346">
        <v>32</v>
      </c>
      <c r="BJ5" s="1346">
        <v>32</v>
      </c>
      <c r="BK5" s="1346">
        <v>5</v>
      </c>
      <c r="BL5" s="1346">
        <v>5.375</v>
      </c>
      <c r="BZ5" s="1805"/>
      <c r="CA5" s="1349">
        <v>3</v>
      </c>
      <c r="CB5" s="1349" t="s">
        <v>144</v>
      </c>
      <c r="CC5" s="1349" t="s">
        <v>142</v>
      </c>
      <c r="CD5" s="1349" t="s">
        <v>145</v>
      </c>
      <c r="CE5" s="1349"/>
      <c r="CF5" s="1349">
        <v>69</v>
      </c>
      <c r="CG5" s="1349"/>
      <c r="CH5" s="1349"/>
      <c r="CI5" s="1349"/>
      <c r="CJ5" s="1349"/>
      <c r="CK5" s="1349"/>
      <c r="CL5" s="1349"/>
      <c r="CM5" s="1349">
        <v>2</v>
      </c>
      <c r="CN5" s="1349" t="s">
        <v>1517</v>
      </c>
      <c r="CO5" s="1349">
        <v>1</v>
      </c>
      <c r="CZ5" s="1805"/>
      <c r="DZ5" s="1805"/>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1650</v>
      </c>
      <c r="AB6" s="1366"/>
      <c r="AC6" s="1366"/>
      <c r="AD6" s="1366"/>
      <c r="AE6" s="1366"/>
      <c r="AF6" s="1366"/>
      <c r="AG6" s="1346">
        <v>1</v>
      </c>
      <c r="AZ6" s="1805"/>
      <c r="BA6" s="1346" t="s">
        <v>1509</v>
      </c>
      <c r="BC6" s="1346">
        <v>8</v>
      </c>
      <c r="BD6" s="1346">
        <v>1210</v>
      </c>
      <c r="BE6" s="1346" t="s">
        <v>665</v>
      </c>
      <c r="BF6" s="1346" t="s">
        <v>667</v>
      </c>
      <c r="BG6" s="1346" t="s">
        <v>1450</v>
      </c>
      <c r="BH6" s="1346">
        <v>32</v>
      </c>
      <c r="BJ6" s="1346">
        <v>32</v>
      </c>
      <c r="BK6" s="1346">
        <v>5</v>
      </c>
      <c r="BL6" s="1346">
        <v>5.375</v>
      </c>
      <c r="BZ6" s="1805"/>
      <c r="CA6" s="1349">
        <v>4</v>
      </c>
      <c r="CB6" s="1349" t="s">
        <v>157</v>
      </c>
      <c r="CC6" s="1349" t="s">
        <v>167</v>
      </c>
      <c r="CD6" s="1349" t="s">
        <v>145</v>
      </c>
      <c r="CE6" s="1349"/>
      <c r="CF6" s="1349">
        <v>38500</v>
      </c>
      <c r="CG6" s="1349"/>
      <c r="CH6" s="1349"/>
      <c r="CI6" s="1349"/>
      <c r="CJ6" s="1349"/>
      <c r="CK6" s="1349"/>
      <c r="CL6" s="1349"/>
      <c r="CM6" s="1349"/>
      <c r="CN6" s="1349"/>
      <c r="CO6" s="1349">
        <v>1</v>
      </c>
      <c r="CZ6" s="1805"/>
      <c r="DZ6" s="1805"/>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1651</v>
      </c>
      <c r="AB7" s="1366"/>
      <c r="AC7" s="1366"/>
      <c r="AD7" s="1366"/>
      <c r="AE7" s="1366"/>
      <c r="AF7" s="1366"/>
      <c r="AG7" s="1346">
        <v>1</v>
      </c>
      <c r="AZ7" s="1805"/>
      <c r="BA7" s="1346" t="s">
        <v>1510</v>
      </c>
      <c r="BC7" s="1346">
        <v>408</v>
      </c>
      <c r="BD7" s="1346">
        <v>1210</v>
      </c>
      <c r="BE7" s="1346" t="s">
        <v>729</v>
      </c>
      <c r="BF7" s="1346" t="s">
        <v>667</v>
      </c>
      <c r="BG7" s="1346" t="s">
        <v>1450</v>
      </c>
      <c r="BH7" s="1346">
        <v>32</v>
      </c>
      <c r="BI7" s="1346" t="s">
        <v>1451</v>
      </c>
      <c r="BJ7" s="1346">
        <v>32</v>
      </c>
      <c r="BK7" s="1346">
        <v>6</v>
      </c>
      <c r="BL7" s="1346">
        <v>2.625</v>
      </c>
      <c r="BZ7" s="1805"/>
      <c r="CA7" s="1349">
        <v>5</v>
      </c>
      <c r="CB7" s="1349" t="s">
        <v>157</v>
      </c>
      <c r="CC7" s="1349" t="s">
        <v>167</v>
      </c>
      <c r="CD7" s="1349" t="s">
        <v>145</v>
      </c>
      <c r="CE7" s="1349"/>
      <c r="CF7" s="1349">
        <v>24500</v>
      </c>
      <c r="CG7" s="1349"/>
      <c r="CH7" s="1349"/>
      <c r="CI7" s="1349"/>
      <c r="CJ7" s="1349"/>
      <c r="CK7" s="1349"/>
      <c r="CL7" s="1349"/>
      <c r="CM7" s="1349"/>
      <c r="CN7" s="1349"/>
      <c r="CO7" s="1349">
        <v>1</v>
      </c>
      <c r="CZ7" s="1805"/>
      <c r="DZ7" s="1805"/>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1652</v>
      </c>
      <c r="AB8" s="1366"/>
      <c r="AC8" s="1366"/>
      <c r="AD8" s="1366"/>
      <c r="AE8" s="1366"/>
      <c r="AF8" s="1366"/>
      <c r="AG8" s="1346">
        <v>1</v>
      </c>
      <c r="AZ8" s="1805"/>
      <c r="BA8" s="1346" t="s">
        <v>1511</v>
      </c>
      <c r="BC8" s="1346">
        <v>8</v>
      </c>
      <c r="BD8" s="1346">
        <v>1210</v>
      </c>
      <c r="BE8" s="1346" t="s">
        <v>729</v>
      </c>
      <c r="BF8" s="1346" t="s">
        <v>667</v>
      </c>
      <c r="BG8" s="1346" t="s">
        <v>1459</v>
      </c>
      <c r="BH8" s="1346">
        <v>32</v>
      </c>
      <c r="BI8" s="1346" t="s">
        <v>1459</v>
      </c>
      <c r="BJ8" s="1346">
        <v>32</v>
      </c>
      <c r="BK8" s="1346">
        <v>4</v>
      </c>
      <c r="BL8" s="1346">
        <v>10.625</v>
      </c>
      <c r="BZ8" s="1805"/>
      <c r="CA8" s="1349">
        <v>6</v>
      </c>
      <c r="CB8" s="1349" t="s">
        <v>157</v>
      </c>
      <c r="CC8" s="1349" t="s">
        <v>167</v>
      </c>
      <c r="CD8" s="1349" t="s">
        <v>145</v>
      </c>
      <c r="CE8" s="1349"/>
      <c r="CF8" s="1349">
        <v>34300</v>
      </c>
      <c r="CG8" s="1349"/>
      <c r="CH8" s="1349"/>
      <c r="CI8" s="1349"/>
      <c r="CJ8" s="1349"/>
      <c r="CK8" s="1349"/>
      <c r="CL8" s="1349"/>
      <c r="CM8" s="1349"/>
      <c r="CN8" s="1349"/>
      <c r="CO8" s="1349">
        <v>1</v>
      </c>
      <c r="CZ8" s="1805"/>
      <c r="DZ8" s="1805"/>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1652</v>
      </c>
      <c r="AB9" s="1366"/>
      <c r="AC9" s="1366"/>
      <c r="AD9" s="1366"/>
      <c r="AE9" s="1366"/>
      <c r="AF9" s="1366"/>
      <c r="AG9" s="1346">
        <v>1</v>
      </c>
      <c r="AZ9" s="1805"/>
      <c r="BA9" s="1346" t="s">
        <v>1512</v>
      </c>
      <c r="BC9" s="1346">
        <v>612</v>
      </c>
      <c r="BD9" s="1346">
        <v>1210</v>
      </c>
      <c r="BE9" s="1346" t="s">
        <v>729</v>
      </c>
      <c r="BF9" s="1346" t="s">
        <v>667</v>
      </c>
      <c r="BG9" s="1346" t="s">
        <v>1477</v>
      </c>
      <c r="BH9" s="1346">
        <v>44</v>
      </c>
      <c r="BI9" s="1346" t="s">
        <v>1478</v>
      </c>
      <c r="BJ9" s="1346">
        <v>44</v>
      </c>
      <c r="BK9" s="1346">
        <v>6</v>
      </c>
      <c r="BL9" s="1346">
        <v>2.625</v>
      </c>
      <c r="BZ9" s="1805"/>
      <c r="CA9" s="1349">
        <v>7</v>
      </c>
      <c r="CB9" s="1349" t="s">
        <v>151</v>
      </c>
      <c r="CC9" s="1349" t="s">
        <v>163</v>
      </c>
      <c r="CD9" s="1349" t="s">
        <v>145</v>
      </c>
      <c r="CE9" s="1349"/>
      <c r="CF9" s="1349">
        <v>446</v>
      </c>
      <c r="CG9" s="1349"/>
      <c r="CH9" s="1349"/>
      <c r="CI9" s="1349"/>
      <c r="CJ9" s="1349"/>
      <c r="CK9" s="1349"/>
      <c r="CL9" s="1349"/>
      <c r="CM9" s="1349"/>
      <c r="CN9" s="1349" t="s">
        <v>1522</v>
      </c>
      <c r="CO9" s="1349">
        <v>2</v>
      </c>
      <c r="CZ9" s="1805"/>
      <c r="DZ9" s="1805"/>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1653</v>
      </c>
      <c r="AB10" s="1366"/>
      <c r="AC10" s="1366"/>
      <c r="AD10" s="1366"/>
      <c r="AE10" s="1366"/>
      <c r="AF10" s="1366"/>
      <c r="AG10" s="1346">
        <v>1</v>
      </c>
      <c r="AZ10" s="1805"/>
      <c r="BA10" s="1346" t="s">
        <v>1513</v>
      </c>
      <c r="BC10" s="1346">
        <v>12</v>
      </c>
      <c r="BD10" s="1346">
        <v>1210</v>
      </c>
      <c r="BE10" s="1346" t="s">
        <v>728</v>
      </c>
      <c r="BF10" s="1346" t="s">
        <v>667</v>
      </c>
      <c r="BG10" s="1346" t="s">
        <v>1487</v>
      </c>
      <c r="BH10" s="1346">
        <v>44</v>
      </c>
      <c r="BJ10" s="1346">
        <v>36</v>
      </c>
      <c r="BK10" s="1346">
        <v>6</v>
      </c>
      <c r="BL10" s="1346">
        <v>2.375</v>
      </c>
      <c r="BZ10" s="1805"/>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05"/>
      <c r="DZ10" s="1805"/>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1654</v>
      </c>
      <c r="AB11" s="1366"/>
      <c r="AC11" s="1366"/>
      <c r="AD11" s="1366"/>
      <c r="AE11" s="1366"/>
      <c r="AF11" s="1366"/>
      <c r="AG11" s="1346">
        <v>1</v>
      </c>
      <c r="AZ11" s="1805"/>
      <c r="BA11" s="1346" t="s">
        <v>1514</v>
      </c>
      <c r="BC11" s="1346">
        <v>12</v>
      </c>
      <c r="BD11" s="1346">
        <v>1210</v>
      </c>
      <c r="BE11" s="1346" t="s">
        <v>729</v>
      </c>
      <c r="BF11" s="1346" t="s">
        <v>667</v>
      </c>
      <c r="BG11" s="1346" t="s">
        <v>1488</v>
      </c>
      <c r="BH11" s="1346">
        <v>44</v>
      </c>
      <c r="BI11" s="1346" t="s">
        <v>1488</v>
      </c>
      <c r="BJ11" s="1346">
        <v>44</v>
      </c>
      <c r="BK11" s="1346">
        <v>4</v>
      </c>
      <c r="BL11" s="1346">
        <v>10.625</v>
      </c>
      <c r="BZ11" s="1805"/>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05"/>
      <c r="DZ11" s="1805"/>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1653</v>
      </c>
      <c r="AB12" s="1366"/>
      <c r="AC12" s="1366"/>
      <c r="AD12" s="1366"/>
      <c r="AE12" s="1366"/>
      <c r="AF12" s="1366"/>
      <c r="AG12" s="1346">
        <v>1</v>
      </c>
      <c r="AZ12" s="1805"/>
      <c r="BZ12" s="1805"/>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05"/>
      <c r="DZ12" s="1805"/>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1655</v>
      </c>
      <c r="AG13" s="1346">
        <v>1</v>
      </c>
      <c r="AZ13" s="1805"/>
      <c r="BZ13" s="1805"/>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05"/>
      <c r="DZ13" s="1805"/>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1656</v>
      </c>
      <c r="AG14" s="1346">
        <v>1</v>
      </c>
      <c r="AZ14" s="1805"/>
      <c r="BZ14" s="1805"/>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05"/>
      <c r="DZ14" s="1805"/>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1657</v>
      </c>
      <c r="AG15" s="1346">
        <v>1</v>
      </c>
      <c r="AZ15" s="1805"/>
      <c r="BZ15" s="1805"/>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05"/>
      <c r="DZ15" s="1805"/>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1658</v>
      </c>
      <c r="AG16" s="1346">
        <v>1</v>
      </c>
      <c r="AZ16" s="1805"/>
      <c r="BZ16" s="1805"/>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05"/>
      <c r="DZ16" s="1805"/>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1659</v>
      </c>
      <c r="AG17" s="1346">
        <v>1</v>
      </c>
      <c r="AZ17" s="1805"/>
      <c r="BZ17" s="1805"/>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05"/>
      <c r="DZ17" s="1805"/>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1652</v>
      </c>
      <c r="AG18" s="1346">
        <v>1</v>
      </c>
      <c r="AZ18" s="1805"/>
      <c r="BZ18" s="1805"/>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05"/>
      <c r="DZ18" s="1805"/>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1661</v>
      </c>
      <c r="AG19" s="1346">
        <v>1</v>
      </c>
      <c r="AZ19" s="1805"/>
      <c r="BZ19" s="1805"/>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05"/>
      <c r="DZ19" s="1805"/>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1651</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1662</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1663</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1664</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1665</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1666</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1667</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1667</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1668</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1669</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1670</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1671</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1671</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1672</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1673</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1674</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1675</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1676</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1677</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1678</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1673</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1674</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1675</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1676</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1667</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1667</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1669</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1670</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1646</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1647</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1648</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1649</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1650</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1651</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1653</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1653</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1654</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1655</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1680</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1681</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1682</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1682</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1683</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1684</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1684</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1685</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1686</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1687</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1689</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1690</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1691</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1692</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1693</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1694</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1691</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6">
        <f>IF(ISBLANK('Job Info.'!D8),"",'Job Info.'!D8)</f>
        <v>45048</v>
      </c>
      <c r="G1" s="1806"/>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07" t="s">
        <v>15</v>
      </c>
      <c r="C7" s="1807"/>
      <c r="D7" s="1807"/>
      <c r="E7" s="1807"/>
      <c r="F7" s="1807"/>
      <c r="G7" s="1807"/>
      <c r="H7" s="1807"/>
    </row>
    <row r="8" spans="1:8" ht="15" customHeight="1" x14ac:dyDescent="0.2">
      <c r="A8" s="1051"/>
      <c r="B8" s="1812"/>
      <c r="C8" s="1812"/>
      <c r="D8" s="1812"/>
      <c r="E8" s="1812"/>
      <c r="F8" s="1812"/>
      <c r="G8" s="1812"/>
      <c r="H8" s="1812"/>
    </row>
    <row r="9" spans="1:8" ht="15" customHeight="1" x14ac:dyDescent="0.2">
      <c r="A9" s="1052"/>
      <c r="B9" s="1811"/>
      <c r="C9" s="1811"/>
      <c r="D9" s="1811"/>
      <c r="E9" s="1811"/>
      <c r="F9" s="1811"/>
      <c r="G9" s="1811"/>
      <c r="H9" s="1811"/>
    </row>
    <row r="10" spans="1:8" ht="15" customHeight="1" x14ac:dyDescent="0.2">
      <c r="A10" s="1052"/>
      <c r="B10" s="1811"/>
      <c r="C10" s="1811"/>
      <c r="D10" s="1811"/>
      <c r="E10" s="1811"/>
      <c r="F10" s="1811"/>
      <c r="G10" s="1811"/>
      <c r="H10" s="1811"/>
    </row>
    <row r="11" spans="1:8" ht="15" customHeight="1" x14ac:dyDescent="0.2">
      <c r="A11" s="1052"/>
      <c r="B11" s="1811"/>
      <c r="C11" s="1811"/>
      <c r="D11" s="1811"/>
      <c r="E11" s="1811"/>
      <c r="F11" s="1811"/>
      <c r="G11" s="1811"/>
      <c r="H11" s="1811"/>
    </row>
    <row r="12" spans="1:8" ht="15" customHeight="1" x14ac:dyDescent="0.2">
      <c r="A12" s="1052"/>
      <c r="B12" s="1811"/>
      <c r="C12" s="1811"/>
      <c r="D12" s="1811"/>
      <c r="E12" s="1811"/>
      <c r="F12" s="1811"/>
      <c r="G12" s="1811"/>
      <c r="H12" s="1811"/>
    </row>
    <row r="13" spans="1:8" ht="15" customHeight="1" x14ac:dyDescent="0.2">
      <c r="A13" s="1052"/>
      <c r="B13" s="1811"/>
      <c r="C13" s="1811"/>
      <c r="D13" s="1811"/>
      <c r="E13" s="1811"/>
      <c r="F13" s="1811"/>
      <c r="G13" s="1811"/>
      <c r="H13" s="1811"/>
    </row>
    <row r="14" spans="1:8" ht="15" customHeight="1" x14ac:dyDescent="0.2">
      <c r="A14" s="1052"/>
      <c r="B14" s="1811"/>
      <c r="C14" s="1811"/>
      <c r="D14" s="1811"/>
      <c r="E14" s="1811"/>
      <c r="F14" s="1811"/>
      <c r="G14" s="1811"/>
      <c r="H14" s="1811"/>
    </row>
    <row r="15" spans="1:8" ht="15" customHeight="1" x14ac:dyDescent="0.2">
      <c r="A15" s="1052"/>
      <c r="B15" s="1811"/>
      <c r="C15" s="1811"/>
      <c r="D15" s="1811"/>
      <c r="E15" s="1811"/>
      <c r="F15" s="1811"/>
      <c r="G15" s="1811"/>
      <c r="H15" s="1811"/>
    </row>
    <row r="16" spans="1:8" ht="15" customHeight="1" x14ac:dyDescent="0.2">
      <c r="A16" s="1052"/>
      <c r="B16" s="1811"/>
      <c r="C16" s="1811"/>
      <c r="D16" s="1811"/>
      <c r="E16" s="1811"/>
      <c r="F16" s="1811"/>
      <c r="G16" s="1811"/>
      <c r="H16" s="1811"/>
    </row>
    <row r="17" spans="1:8" ht="15" customHeight="1" x14ac:dyDescent="0.2">
      <c r="A17" s="1052"/>
      <c r="B17" s="1811"/>
      <c r="C17" s="1811"/>
      <c r="D17" s="1811"/>
      <c r="E17" s="1811"/>
      <c r="F17" s="1811"/>
      <c r="G17" s="1811"/>
      <c r="H17" s="1811"/>
    </row>
    <row r="18" spans="1:8" ht="15" customHeight="1" x14ac:dyDescent="0.2">
      <c r="A18" s="1052"/>
      <c r="B18" s="1811"/>
      <c r="C18" s="1811"/>
      <c r="D18" s="1811"/>
      <c r="E18" s="1811"/>
      <c r="F18" s="1811"/>
      <c r="G18" s="1811"/>
      <c r="H18" s="1811"/>
    </row>
    <row r="19" spans="1:8" ht="15" customHeight="1" x14ac:dyDescent="0.2">
      <c r="A19" s="1052"/>
      <c r="B19" s="1811"/>
      <c r="C19" s="1811"/>
      <c r="D19" s="1811"/>
      <c r="E19" s="1811"/>
      <c r="F19" s="1811"/>
      <c r="G19" s="1811"/>
      <c r="H19" s="1811"/>
    </row>
    <row r="20" spans="1:8" ht="15" customHeight="1" x14ac:dyDescent="0.2">
      <c r="A20" s="1052"/>
      <c r="B20" s="1811"/>
      <c r="C20" s="1811"/>
      <c r="D20" s="1811"/>
      <c r="E20" s="1811"/>
      <c r="F20" s="1811"/>
      <c r="G20" s="1811"/>
      <c r="H20" s="1811"/>
    </row>
    <row r="21" spans="1:8" ht="15" customHeight="1" x14ac:dyDescent="0.2">
      <c r="A21" s="1052"/>
      <c r="B21" s="1811"/>
      <c r="C21" s="1811"/>
      <c r="D21" s="1811"/>
      <c r="E21" s="1811"/>
      <c r="F21" s="1811"/>
      <c r="G21" s="1811"/>
      <c r="H21" s="1811"/>
    </row>
    <row r="22" spans="1:8" ht="15" customHeight="1" x14ac:dyDescent="0.2">
      <c r="A22" s="1052"/>
      <c r="B22" s="1811"/>
      <c r="C22" s="1811"/>
      <c r="D22" s="1811"/>
      <c r="E22" s="1811"/>
      <c r="F22" s="1811"/>
      <c r="G22" s="1811"/>
      <c r="H22" s="1811"/>
    </row>
    <row r="23" spans="1:8" ht="15" customHeight="1" x14ac:dyDescent="0.2">
      <c r="A23" s="1052"/>
      <c r="B23" s="1811"/>
      <c r="C23" s="1811"/>
      <c r="D23" s="1811"/>
      <c r="E23" s="1811"/>
      <c r="F23" s="1811"/>
      <c r="G23" s="1811"/>
      <c r="H23" s="1811"/>
    </row>
    <row r="24" spans="1:8" ht="15" customHeight="1" x14ac:dyDescent="0.2">
      <c r="A24" s="1052"/>
      <c r="B24" s="1811"/>
      <c r="C24" s="1811"/>
      <c r="D24" s="1811"/>
      <c r="E24" s="1811"/>
      <c r="F24" s="1811"/>
      <c r="G24" s="1811"/>
      <c r="H24" s="1811"/>
    </row>
    <row r="25" spans="1:8" ht="15" customHeight="1" x14ac:dyDescent="0.2">
      <c r="A25" s="1052"/>
      <c r="B25" s="1811"/>
      <c r="C25" s="1811"/>
      <c r="D25" s="1811"/>
      <c r="E25" s="1811"/>
      <c r="F25" s="1811"/>
      <c r="G25" s="1811"/>
      <c r="H25" s="1811"/>
    </row>
    <row r="26" spans="1:8" ht="15" customHeight="1" x14ac:dyDescent="0.2">
      <c r="A26" s="1052"/>
      <c r="B26" s="1811"/>
      <c r="C26" s="1811"/>
      <c r="D26" s="1811"/>
      <c r="E26" s="1811"/>
      <c r="F26" s="1811"/>
      <c r="G26" s="1811"/>
      <c r="H26" s="1811"/>
    </row>
    <row r="27" spans="1:8" ht="15" customHeight="1" x14ac:dyDescent="0.2">
      <c r="A27" s="1052"/>
      <c r="B27" s="1811"/>
      <c r="C27" s="1811"/>
      <c r="D27" s="1811"/>
      <c r="E27" s="1811"/>
      <c r="F27" s="1811"/>
      <c r="G27" s="1811"/>
      <c r="H27" s="1811"/>
    </row>
    <row r="28" spans="1:8" ht="15" customHeight="1" x14ac:dyDescent="0.2">
      <c r="A28" s="1052"/>
      <c r="B28" s="1811"/>
      <c r="C28" s="1811"/>
      <c r="D28" s="1811"/>
      <c r="E28" s="1811"/>
      <c r="F28" s="1811"/>
      <c r="G28" s="1811"/>
      <c r="H28" s="1811"/>
    </row>
    <row r="29" spans="1:8" ht="15" customHeight="1" x14ac:dyDescent="0.2">
      <c r="A29" s="1052"/>
      <c r="B29" s="1811"/>
      <c r="C29" s="1811"/>
      <c r="D29" s="1811"/>
      <c r="E29" s="1811"/>
      <c r="F29" s="1811"/>
      <c r="G29" s="1811"/>
      <c r="H29" s="1811"/>
    </row>
    <row r="30" spans="1:8" ht="15" customHeight="1" x14ac:dyDescent="0.2">
      <c r="A30" s="1052"/>
      <c r="B30" s="1811"/>
      <c r="C30" s="1811"/>
      <c r="D30" s="1811"/>
      <c r="E30" s="1811"/>
      <c r="F30" s="1811"/>
      <c r="G30" s="1811"/>
      <c r="H30" s="1811"/>
    </row>
    <row r="31" spans="1:8" ht="15" customHeight="1" x14ac:dyDescent="0.2">
      <c r="A31" s="1052"/>
      <c r="B31" s="1811"/>
      <c r="C31" s="1811"/>
      <c r="D31" s="1811"/>
      <c r="E31" s="1811"/>
      <c r="F31" s="1811"/>
      <c r="G31" s="1811"/>
      <c r="H31" s="1811"/>
    </row>
    <row r="32" spans="1:8" ht="15" customHeight="1" x14ac:dyDescent="0.2">
      <c r="A32" s="1052"/>
      <c r="B32" s="1811"/>
      <c r="C32" s="1811"/>
      <c r="D32" s="1811"/>
      <c r="E32" s="1811"/>
      <c r="F32" s="1811"/>
      <c r="G32" s="1811"/>
      <c r="H32" s="1811"/>
    </row>
    <row r="33" spans="1:8" ht="15" customHeight="1" x14ac:dyDescent="0.2">
      <c r="A33" s="1052"/>
      <c r="B33" s="1811"/>
      <c r="C33" s="1811"/>
      <c r="D33" s="1811"/>
      <c r="E33" s="1811"/>
      <c r="F33" s="1811"/>
      <c r="G33" s="1811"/>
      <c r="H33" s="1811"/>
    </row>
    <row r="34" spans="1:8" ht="15" customHeight="1" x14ac:dyDescent="0.2">
      <c r="A34" s="1052"/>
      <c r="B34" s="1811"/>
      <c r="C34" s="1811"/>
      <c r="D34" s="1811"/>
      <c r="E34" s="1811"/>
      <c r="F34" s="1811"/>
      <c r="G34" s="1811"/>
      <c r="H34" s="1811"/>
    </row>
    <row r="35" spans="1:8" ht="15" customHeight="1" x14ac:dyDescent="0.2">
      <c r="A35" s="1052"/>
      <c r="B35" s="1811"/>
      <c r="C35" s="1811"/>
      <c r="D35" s="1811"/>
      <c r="E35" s="1811"/>
      <c r="F35" s="1811"/>
      <c r="G35" s="1811"/>
      <c r="H35" s="1811"/>
    </row>
    <row r="36" spans="1:8" ht="15" customHeight="1" x14ac:dyDescent="0.2">
      <c r="A36" s="1052"/>
      <c r="B36" s="1811"/>
      <c r="C36" s="1811"/>
      <c r="D36" s="1811"/>
      <c r="E36" s="1811"/>
      <c r="F36" s="1811"/>
      <c r="G36" s="1811"/>
      <c r="H36" s="1811"/>
    </row>
    <row r="37" spans="1:8" ht="15" customHeight="1" x14ac:dyDescent="0.2">
      <c r="A37" s="1052"/>
      <c r="B37" s="1811"/>
      <c r="C37" s="1811"/>
      <c r="D37" s="1811"/>
      <c r="E37" s="1811"/>
      <c r="F37" s="1811"/>
      <c r="G37" s="1811"/>
      <c r="H37" s="1811"/>
    </row>
    <row r="38" spans="1:8" ht="15" customHeight="1" x14ac:dyDescent="0.2">
      <c r="A38" s="1052"/>
      <c r="B38" s="1811"/>
      <c r="C38" s="1811"/>
      <c r="D38" s="1811"/>
      <c r="E38" s="1811"/>
      <c r="F38" s="1811"/>
      <c r="G38" s="1811"/>
      <c r="H38" s="1811"/>
    </row>
    <row r="39" spans="1:8" ht="15" customHeight="1" x14ac:dyDescent="0.2">
      <c r="A39" s="1052"/>
      <c r="B39" s="1811"/>
      <c r="C39" s="1811"/>
      <c r="D39" s="1811"/>
      <c r="E39" s="1811"/>
      <c r="F39" s="1811"/>
      <c r="G39" s="1811"/>
      <c r="H39" s="1811"/>
    </row>
    <row r="40" spans="1:8" ht="15" customHeight="1" x14ac:dyDescent="0.2">
      <c r="A40" s="1052"/>
      <c r="B40" s="1811"/>
      <c r="C40" s="1811"/>
      <c r="D40" s="1811"/>
      <c r="E40" s="1811"/>
      <c r="F40" s="1811"/>
      <c r="G40" s="1811"/>
      <c r="H40" s="1811"/>
    </row>
    <row r="41" spans="1:8" ht="15" customHeight="1" x14ac:dyDescent="0.2">
      <c r="A41" s="1052"/>
      <c r="B41" s="1811"/>
      <c r="C41" s="1811"/>
      <c r="D41" s="1811"/>
      <c r="E41" s="1811"/>
      <c r="F41" s="1811"/>
      <c r="G41" s="1811"/>
      <c r="H41" s="1811"/>
    </row>
    <row r="42" spans="1:8" ht="15" customHeight="1" x14ac:dyDescent="0.2">
      <c r="A42" s="1052"/>
      <c r="B42" s="1811"/>
      <c r="C42" s="1811"/>
      <c r="D42" s="1811"/>
      <c r="E42" s="1811"/>
      <c r="F42" s="1811"/>
      <c r="G42" s="1811"/>
      <c r="H42" s="1811"/>
    </row>
    <row r="43" spans="1:8" ht="15" customHeight="1" x14ac:dyDescent="0.2">
      <c r="A43" s="1052"/>
      <c r="B43" s="1811"/>
      <c r="C43" s="1811"/>
      <c r="D43" s="1811"/>
      <c r="E43" s="1811"/>
      <c r="F43" s="1811"/>
      <c r="G43" s="1811"/>
      <c r="H43" s="1811"/>
    </row>
    <row r="44" spans="1:8" ht="15" customHeight="1" x14ac:dyDescent="0.2">
      <c r="A44" s="1052"/>
      <c r="B44" s="1811"/>
      <c r="C44" s="1811"/>
      <c r="D44" s="1811"/>
      <c r="E44" s="1811"/>
      <c r="F44" s="1811"/>
      <c r="G44" s="1811"/>
      <c r="H44" s="1811"/>
    </row>
    <row r="45" spans="1:8" ht="15" customHeight="1" x14ac:dyDescent="0.2">
      <c r="A45" s="1052"/>
      <c r="B45" s="1811"/>
      <c r="C45" s="1811"/>
      <c r="D45" s="1811"/>
      <c r="E45" s="1811"/>
      <c r="F45" s="1811"/>
      <c r="G45" s="1811"/>
      <c r="H45" s="1811"/>
    </row>
    <row r="46" spans="1:8" ht="15" customHeight="1" x14ac:dyDescent="0.2">
      <c r="A46" s="1052"/>
      <c r="B46" s="1811"/>
      <c r="C46" s="1811"/>
      <c r="D46" s="1811"/>
      <c r="E46" s="1811"/>
      <c r="F46" s="1811"/>
      <c r="G46" s="1811"/>
      <c r="H46" s="1811"/>
    </row>
    <row r="47" spans="1:8" ht="15" customHeight="1" x14ac:dyDescent="0.2">
      <c r="A47" s="1053"/>
      <c r="B47" s="1810"/>
      <c r="C47" s="1810"/>
      <c r="D47" s="1810"/>
      <c r="E47" s="1810"/>
      <c r="F47" s="1810"/>
      <c r="G47" s="1810"/>
      <c r="H47" s="1810"/>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16">
        <f>IF(ISBLANK('Job Info.'!D8),"",'Job Info.'!D8)</f>
        <v>45048</v>
      </c>
      <c r="G1" s="1816"/>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07" t="s">
        <v>15</v>
      </c>
      <c r="C7" s="1807"/>
      <c r="D7" s="1807"/>
      <c r="E7" s="1807"/>
      <c r="F7" s="1807"/>
      <c r="G7" s="1807"/>
      <c r="H7" s="1807"/>
    </row>
    <row r="8" spans="1:8" ht="15" customHeight="1" x14ac:dyDescent="0.2">
      <c r="A8" s="1508"/>
      <c r="B8" s="1815"/>
      <c r="C8" s="1815"/>
      <c r="D8" s="1815"/>
      <c r="E8" s="1815"/>
      <c r="F8" s="1815"/>
      <c r="G8" s="1815"/>
      <c r="H8" s="1815"/>
    </row>
    <row r="9" spans="1:8" ht="15" customHeight="1" x14ac:dyDescent="0.2">
      <c r="A9" s="1516"/>
      <c r="B9" s="1813"/>
      <c r="C9" s="1813"/>
      <c r="D9" s="1813"/>
      <c r="E9" s="1813"/>
      <c r="F9" s="1813"/>
      <c r="G9" s="1813"/>
      <c r="H9" s="1813"/>
    </row>
    <row r="10" spans="1:8" ht="15" customHeight="1" x14ac:dyDescent="0.2">
      <c r="A10" s="1516"/>
      <c r="B10" s="1813"/>
      <c r="C10" s="1813"/>
      <c r="D10" s="1813"/>
      <c r="E10" s="1813"/>
      <c r="F10" s="1813"/>
      <c r="G10" s="1813"/>
      <c r="H10" s="1813"/>
    </row>
    <row r="11" spans="1:8" ht="15" customHeight="1" x14ac:dyDescent="0.2">
      <c r="A11" s="1516"/>
      <c r="B11" s="1813"/>
      <c r="C11" s="1813"/>
      <c r="D11" s="1813"/>
      <c r="E11" s="1813"/>
      <c r="F11" s="1813"/>
      <c r="G11" s="1813"/>
      <c r="H11" s="1813"/>
    </row>
    <row r="12" spans="1:8" ht="15" customHeight="1" x14ac:dyDescent="0.2">
      <c r="A12" s="1516"/>
      <c r="B12" s="1813"/>
      <c r="C12" s="1813"/>
      <c r="D12" s="1813"/>
      <c r="E12" s="1813"/>
      <c r="F12" s="1813"/>
      <c r="G12" s="1813"/>
      <c r="H12" s="1813"/>
    </row>
    <row r="13" spans="1:8" ht="15" customHeight="1" x14ac:dyDescent="0.2">
      <c r="A13" s="1516"/>
      <c r="B13" s="1813"/>
      <c r="C13" s="1813"/>
      <c r="D13" s="1813"/>
      <c r="E13" s="1813"/>
      <c r="F13" s="1813"/>
      <c r="G13" s="1813"/>
      <c r="H13" s="1813"/>
    </row>
    <row r="14" spans="1:8" ht="15" customHeight="1" x14ac:dyDescent="0.2">
      <c r="A14" s="1516"/>
      <c r="B14" s="1813"/>
      <c r="C14" s="1813"/>
      <c r="D14" s="1813"/>
      <c r="E14" s="1813"/>
      <c r="F14" s="1813"/>
      <c r="G14" s="1813"/>
      <c r="H14" s="1813"/>
    </row>
    <row r="15" spans="1:8" ht="15" customHeight="1" x14ac:dyDescent="0.2">
      <c r="A15" s="1516"/>
      <c r="B15" s="1813"/>
      <c r="C15" s="1813"/>
      <c r="D15" s="1813"/>
      <c r="E15" s="1813"/>
      <c r="F15" s="1813"/>
      <c r="G15" s="1813"/>
      <c r="H15" s="1813"/>
    </row>
    <row r="16" spans="1:8" ht="15" customHeight="1" x14ac:dyDescent="0.2">
      <c r="A16" s="1516"/>
      <c r="B16" s="1813"/>
      <c r="C16" s="1813"/>
      <c r="D16" s="1813"/>
      <c r="E16" s="1813"/>
      <c r="F16" s="1813"/>
      <c r="G16" s="1813"/>
      <c r="H16" s="1813"/>
    </row>
    <row r="17" spans="1:8" ht="15" customHeight="1" x14ac:dyDescent="0.2">
      <c r="A17" s="1516"/>
      <c r="B17" s="1813"/>
      <c r="C17" s="1813"/>
      <c r="D17" s="1813"/>
      <c r="E17" s="1813"/>
      <c r="F17" s="1813"/>
      <c r="G17" s="1813"/>
      <c r="H17" s="1813"/>
    </row>
    <row r="18" spans="1:8" ht="15" customHeight="1" x14ac:dyDescent="0.2">
      <c r="A18" s="1516"/>
      <c r="B18" s="1813"/>
      <c r="C18" s="1813"/>
      <c r="D18" s="1813"/>
      <c r="E18" s="1813"/>
      <c r="F18" s="1813"/>
      <c r="G18" s="1813"/>
      <c r="H18" s="1813"/>
    </row>
    <row r="19" spans="1:8" ht="15" customHeight="1" x14ac:dyDescent="0.2">
      <c r="A19" s="1516"/>
      <c r="B19" s="1813"/>
      <c r="C19" s="1813"/>
      <c r="D19" s="1813"/>
      <c r="E19" s="1813"/>
      <c r="F19" s="1813"/>
      <c r="G19" s="1813"/>
      <c r="H19" s="1813"/>
    </row>
    <row r="20" spans="1:8" ht="15" customHeight="1" x14ac:dyDescent="0.2">
      <c r="A20" s="1516"/>
      <c r="B20" s="1813"/>
      <c r="C20" s="1813"/>
      <c r="D20" s="1813"/>
      <c r="E20" s="1813"/>
      <c r="F20" s="1813"/>
      <c r="G20" s="1813"/>
      <c r="H20" s="1813"/>
    </row>
    <row r="21" spans="1:8" ht="15" customHeight="1" x14ac:dyDescent="0.2">
      <c r="A21" s="1516"/>
      <c r="B21" s="1813"/>
      <c r="C21" s="1813"/>
      <c r="D21" s="1813"/>
      <c r="E21" s="1813"/>
      <c r="F21" s="1813"/>
      <c r="G21" s="1813"/>
      <c r="H21" s="1813"/>
    </row>
    <row r="22" spans="1:8" ht="15" customHeight="1" x14ac:dyDescent="0.2">
      <c r="A22" s="1516"/>
      <c r="B22" s="1813"/>
      <c r="C22" s="1813"/>
      <c r="D22" s="1813"/>
      <c r="E22" s="1813"/>
      <c r="F22" s="1813"/>
      <c r="G22" s="1813"/>
      <c r="H22" s="1813"/>
    </row>
    <row r="23" spans="1:8" ht="15" customHeight="1" x14ac:dyDescent="0.2">
      <c r="A23" s="1516"/>
      <c r="B23" s="1813"/>
      <c r="C23" s="1813"/>
      <c r="D23" s="1813"/>
      <c r="E23" s="1813"/>
      <c r="F23" s="1813"/>
      <c r="G23" s="1813"/>
      <c r="H23" s="1813"/>
    </row>
    <row r="24" spans="1:8" ht="15" customHeight="1" x14ac:dyDescent="0.2">
      <c r="A24" s="1516"/>
      <c r="B24" s="1813"/>
      <c r="C24" s="1813"/>
      <c r="D24" s="1813"/>
      <c r="E24" s="1813"/>
      <c r="F24" s="1813"/>
      <c r="G24" s="1813"/>
      <c r="H24" s="1813"/>
    </row>
    <row r="25" spans="1:8" ht="15" customHeight="1" x14ac:dyDescent="0.2">
      <c r="A25" s="1516"/>
      <c r="B25" s="1813"/>
      <c r="C25" s="1813"/>
      <c r="D25" s="1813"/>
      <c r="E25" s="1813"/>
      <c r="F25" s="1813"/>
      <c r="G25" s="1813"/>
      <c r="H25" s="1813"/>
    </row>
    <row r="26" spans="1:8" ht="15" customHeight="1" x14ac:dyDescent="0.2">
      <c r="A26" s="1516"/>
      <c r="B26" s="1813"/>
      <c r="C26" s="1813"/>
      <c r="D26" s="1813"/>
      <c r="E26" s="1813"/>
      <c r="F26" s="1813"/>
      <c r="G26" s="1813"/>
      <c r="H26" s="1813"/>
    </row>
    <row r="27" spans="1:8" ht="15" customHeight="1" x14ac:dyDescent="0.2">
      <c r="A27" s="1516"/>
      <c r="B27" s="1813"/>
      <c r="C27" s="1813"/>
      <c r="D27" s="1813"/>
      <c r="E27" s="1813"/>
      <c r="F27" s="1813"/>
      <c r="G27" s="1813"/>
      <c r="H27" s="1813"/>
    </row>
    <row r="28" spans="1:8" ht="15" customHeight="1" x14ac:dyDescent="0.2">
      <c r="A28" s="1516"/>
      <c r="B28" s="1813"/>
      <c r="C28" s="1813"/>
      <c r="D28" s="1813"/>
      <c r="E28" s="1813"/>
      <c r="F28" s="1813"/>
      <c r="G28" s="1813"/>
      <c r="H28" s="1813"/>
    </row>
    <row r="29" spans="1:8" ht="15" customHeight="1" x14ac:dyDescent="0.2">
      <c r="A29" s="1516"/>
      <c r="B29" s="1813"/>
      <c r="C29" s="1813"/>
      <c r="D29" s="1813"/>
      <c r="E29" s="1813"/>
      <c r="F29" s="1813"/>
      <c r="G29" s="1813"/>
      <c r="H29" s="1813"/>
    </row>
    <row r="30" spans="1:8" ht="15" customHeight="1" x14ac:dyDescent="0.2">
      <c r="A30" s="1516"/>
      <c r="B30" s="1813"/>
      <c r="C30" s="1813"/>
      <c r="D30" s="1813"/>
      <c r="E30" s="1813"/>
      <c r="F30" s="1813"/>
      <c r="G30" s="1813"/>
      <c r="H30" s="1813"/>
    </row>
    <row r="31" spans="1:8" ht="15" customHeight="1" x14ac:dyDescent="0.2">
      <c r="A31" s="1516"/>
      <c r="B31" s="1813"/>
      <c r="C31" s="1813"/>
      <c r="D31" s="1813"/>
      <c r="E31" s="1813"/>
      <c r="F31" s="1813"/>
      <c r="G31" s="1813"/>
      <c r="H31" s="1813"/>
    </row>
    <row r="32" spans="1:8" ht="15" customHeight="1" x14ac:dyDescent="0.2">
      <c r="A32" s="1516"/>
      <c r="B32" s="1813"/>
      <c r="C32" s="1813"/>
      <c r="D32" s="1813"/>
      <c r="E32" s="1813"/>
      <c r="F32" s="1813"/>
      <c r="G32" s="1813"/>
      <c r="H32" s="1813"/>
    </row>
    <row r="33" spans="1:8" ht="15" customHeight="1" x14ac:dyDescent="0.2">
      <c r="A33" s="1516"/>
      <c r="B33" s="1813"/>
      <c r="C33" s="1813"/>
      <c r="D33" s="1813"/>
      <c r="E33" s="1813"/>
      <c r="F33" s="1813"/>
      <c r="G33" s="1813"/>
      <c r="H33" s="1813"/>
    </row>
    <row r="34" spans="1:8" ht="15" customHeight="1" x14ac:dyDescent="0.2">
      <c r="A34" s="1516"/>
      <c r="B34" s="1813"/>
      <c r="C34" s="1813"/>
      <c r="D34" s="1813"/>
      <c r="E34" s="1813"/>
      <c r="F34" s="1813"/>
      <c r="G34" s="1813"/>
      <c r="H34" s="1813"/>
    </row>
    <row r="35" spans="1:8" ht="15" customHeight="1" x14ac:dyDescent="0.2">
      <c r="A35" s="1516"/>
      <c r="B35" s="1813"/>
      <c r="C35" s="1813"/>
      <c r="D35" s="1813"/>
      <c r="E35" s="1813"/>
      <c r="F35" s="1813"/>
      <c r="G35" s="1813"/>
      <c r="H35" s="1813"/>
    </row>
    <row r="36" spans="1:8" ht="15" customHeight="1" x14ac:dyDescent="0.2">
      <c r="A36" s="1516"/>
      <c r="B36" s="1813"/>
      <c r="C36" s="1813"/>
      <c r="D36" s="1813"/>
      <c r="E36" s="1813"/>
      <c r="F36" s="1813"/>
      <c r="G36" s="1813"/>
      <c r="H36" s="1813"/>
    </row>
    <row r="37" spans="1:8" ht="15" customHeight="1" x14ac:dyDescent="0.2">
      <c r="A37" s="1516"/>
      <c r="B37" s="1813"/>
      <c r="C37" s="1813"/>
      <c r="D37" s="1813"/>
      <c r="E37" s="1813"/>
      <c r="F37" s="1813"/>
      <c r="G37" s="1813"/>
      <c r="H37" s="1813"/>
    </row>
    <row r="38" spans="1:8" ht="15" customHeight="1" x14ac:dyDescent="0.2">
      <c r="A38" s="1516"/>
      <c r="B38" s="1813"/>
      <c r="C38" s="1813"/>
      <c r="D38" s="1813"/>
      <c r="E38" s="1813"/>
      <c r="F38" s="1813"/>
      <c r="G38" s="1813"/>
      <c r="H38" s="1813"/>
    </row>
    <row r="39" spans="1:8" ht="15" customHeight="1" x14ac:dyDescent="0.2">
      <c r="A39" s="1516"/>
      <c r="B39" s="1813"/>
      <c r="C39" s="1813"/>
      <c r="D39" s="1813"/>
      <c r="E39" s="1813"/>
      <c r="F39" s="1813"/>
      <c r="G39" s="1813"/>
      <c r="H39" s="1813"/>
    </row>
    <row r="40" spans="1:8" ht="15" customHeight="1" x14ac:dyDescent="0.2">
      <c r="A40" s="1516"/>
      <c r="B40" s="1813"/>
      <c r="C40" s="1813"/>
      <c r="D40" s="1813"/>
      <c r="E40" s="1813"/>
      <c r="F40" s="1813"/>
      <c r="G40" s="1813"/>
      <c r="H40" s="1813"/>
    </row>
    <row r="41" spans="1:8" ht="15" customHeight="1" x14ac:dyDescent="0.2">
      <c r="A41" s="1516"/>
      <c r="B41" s="1813"/>
      <c r="C41" s="1813"/>
      <c r="D41" s="1813"/>
      <c r="E41" s="1813"/>
      <c r="F41" s="1813"/>
      <c r="G41" s="1813"/>
      <c r="H41" s="1813"/>
    </row>
    <row r="42" spans="1:8" ht="15" customHeight="1" x14ac:dyDescent="0.2">
      <c r="A42" s="1516"/>
      <c r="B42" s="1813"/>
      <c r="C42" s="1813"/>
      <c r="D42" s="1813"/>
      <c r="E42" s="1813"/>
      <c r="F42" s="1813"/>
      <c r="G42" s="1813"/>
      <c r="H42" s="1813"/>
    </row>
    <row r="43" spans="1:8" ht="15" customHeight="1" x14ac:dyDescent="0.2">
      <c r="A43" s="1516"/>
      <c r="B43" s="1813"/>
      <c r="C43" s="1813"/>
      <c r="D43" s="1813"/>
      <c r="E43" s="1813"/>
      <c r="F43" s="1813"/>
      <c r="G43" s="1813"/>
      <c r="H43" s="1813"/>
    </row>
    <row r="44" spans="1:8" ht="15" customHeight="1" x14ac:dyDescent="0.2">
      <c r="A44" s="1516"/>
      <c r="B44" s="1813"/>
      <c r="C44" s="1813"/>
      <c r="D44" s="1813"/>
      <c r="E44" s="1813"/>
      <c r="F44" s="1813"/>
      <c r="G44" s="1813"/>
      <c r="H44" s="1813"/>
    </row>
    <row r="45" spans="1:8" ht="15" customHeight="1" x14ac:dyDescent="0.2">
      <c r="A45" s="1516"/>
      <c r="B45" s="1813"/>
      <c r="C45" s="1813"/>
      <c r="D45" s="1813"/>
      <c r="E45" s="1813"/>
      <c r="F45" s="1813"/>
      <c r="G45" s="1813"/>
      <c r="H45" s="1813"/>
    </row>
    <row r="46" spans="1:8" ht="15" customHeight="1" x14ac:dyDescent="0.2">
      <c r="A46" s="1516"/>
      <c r="B46" s="1813"/>
      <c r="C46" s="1813"/>
      <c r="D46" s="1813"/>
      <c r="E46" s="1813"/>
      <c r="F46" s="1813"/>
      <c r="G46" s="1813"/>
      <c r="H46" s="1813"/>
    </row>
    <row r="47" spans="1:8" ht="15" customHeight="1" x14ac:dyDescent="0.2">
      <c r="A47" s="1525"/>
      <c r="B47" s="1814"/>
      <c r="C47" s="1814"/>
      <c r="D47" s="1814"/>
      <c r="E47" s="1814"/>
      <c r="F47" s="1814"/>
      <c r="G47" s="1814"/>
      <c r="H47" s="1814"/>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1488"/>
      <c r="B13" s="1823"/>
      <c r="C13" s="1824"/>
      <c r="D13" s="1824"/>
      <c r="E13" s="1824"/>
      <c r="F13" s="1824"/>
      <c r="G13" s="1824"/>
      <c r="H13" s="1824"/>
      <c r="I13" s="1824"/>
      <c r="J13" s="1825"/>
      <c r="L13" s="946" t="str">
        <f>IF(ISBLANK(A13),"",SUBSTITUTE(A13,"*",""))</f>
        <v/>
      </c>
      <c r="M13" s="1537"/>
      <c r="N13" s="1539"/>
      <c r="O13" s="1528"/>
      <c r="P13" s="792"/>
      <c r="Q13" s="793" t="s">
        <v>1022</v>
      </c>
      <c r="R13" s="787" t="str">
        <f>CONCATENATE("[",P13, "] - ", Q13)</f>
        <v>[] - SHAPES</v>
      </c>
    </row>
    <row r="14" spans="1:22" ht="15.4" customHeight="1" x14ac:dyDescent="0.2">
      <c r="A14" s="1492"/>
      <c r="B14" s="1817"/>
      <c r="C14" s="1818"/>
      <c r="D14" s="1818"/>
      <c r="E14" s="1818"/>
      <c r="F14" s="1818"/>
      <c r="G14" s="1818"/>
      <c r="H14" s="1818"/>
      <c r="I14" s="1818"/>
      <c r="J14" s="1819"/>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17"/>
      <c r="C15" s="1818"/>
      <c r="D15" s="1818"/>
      <c r="E15" s="1818"/>
      <c r="F15" s="1818"/>
      <c r="G15" s="1818"/>
      <c r="H15" s="1818"/>
      <c r="I15" s="1818"/>
      <c r="J15" s="1819"/>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17"/>
      <c r="C16" s="1818"/>
      <c r="D16" s="1818"/>
      <c r="E16" s="1818"/>
      <c r="F16" s="1818"/>
      <c r="G16" s="1818"/>
      <c r="H16" s="1818"/>
      <c r="I16" s="1818"/>
      <c r="J16" s="1819"/>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17"/>
      <c r="C17" s="1818"/>
      <c r="D17" s="1818"/>
      <c r="E17" s="1818"/>
      <c r="F17" s="1818"/>
      <c r="G17" s="1818"/>
      <c r="H17" s="1818"/>
      <c r="I17" s="1818"/>
      <c r="J17" s="1819"/>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17"/>
      <c r="C18" s="1818"/>
      <c r="D18" s="1818"/>
      <c r="E18" s="1818"/>
      <c r="F18" s="1818"/>
      <c r="G18" s="1818"/>
      <c r="H18" s="1818"/>
      <c r="I18" s="1818"/>
      <c r="J18" s="1819"/>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17"/>
      <c r="C19" s="1818"/>
      <c r="D19" s="1818"/>
      <c r="E19" s="1818"/>
      <c r="F19" s="1818"/>
      <c r="G19" s="1818"/>
      <c r="H19" s="1818"/>
      <c r="I19" s="1818"/>
      <c r="J19" s="1819"/>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17"/>
      <c r="C20" s="1818"/>
      <c r="D20" s="1818"/>
      <c r="E20" s="1818"/>
      <c r="F20" s="1818"/>
      <c r="G20" s="1818"/>
      <c r="H20" s="1818"/>
      <c r="I20" s="1818"/>
      <c r="J20" s="1819"/>
      <c r="L20" s="946" t="str">
        <f t="shared" si="1"/>
        <v/>
      </c>
      <c r="M20" s="1537"/>
      <c r="N20" s="1539"/>
      <c r="O20" s="1528"/>
      <c r="P20" s="794"/>
      <c r="Q20" s="795" t="s">
        <v>1028</v>
      </c>
      <c r="R20" s="788" t="str">
        <f t="shared" si="0"/>
        <v>[] - DEFLECTION</v>
      </c>
    </row>
    <row r="21" spans="1:18" ht="15.4" customHeight="1" x14ac:dyDescent="0.2">
      <c r="A21" s="1492"/>
      <c r="B21" s="1829"/>
      <c r="C21" s="1830"/>
      <c r="D21" s="1830"/>
      <c r="E21" s="1830"/>
      <c r="F21" s="1830"/>
      <c r="G21" s="1830"/>
      <c r="H21" s="1830"/>
      <c r="I21" s="1830"/>
      <c r="J21" s="1831"/>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17"/>
      <c r="C22" s="1818"/>
      <c r="D22" s="1818"/>
      <c r="E22" s="1818"/>
      <c r="F22" s="1818"/>
      <c r="G22" s="1818"/>
      <c r="H22" s="1818"/>
      <c r="I22" s="1818"/>
      <c r="J22" s="1819"/>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23"/>
      <c r="C23" s="1824"/>
      <c r="D23" s="1824"/>
      <c r="E23" s="1824"/>
      <c r="F23" s="1824"/>
      <c r="G23" s="1824"/>
      <c r="H23" s="1824"/>
      <c r="I23" s="1824"/>
      <c r="J23" s="1825"/>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17"/>
      <c r="C24" s="1818"/>
      <c r="D24" s="1818"/>
      <c r="E24" s="1818"/>
      <c r="F24" s="1818"/>
      <c r="G24" s="1818"/>
      <c r="H24" s="1818"/>
      <c r="I24" s="1818"/>
      <c r="J24" s="1819"/>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17"/>
      <c r="C25" s="1818"/>
      <c r="D25" s="1818"/>
      <c r="E25" s="1818"/>
      <c r="F25" s="1818"/>
      <c r="G25" s="1818"/>
      <c r="H25" s="1818"/>
      <c r="I25" s="1818"/>
      <c r="J25" s="1819"/>
      <c r="L25" s="946" t="str">
        <f t="shared" si="1"/>
        <v/>
      </c>
      <c r="M25" s="1537"/>
      <c r="N25" s="1539"/>
      <c r="O25" s="1528"/>
      <c r="P25" s="794"/>
      <c r="Q25" s="795" t="s">
        <v>1033</v>
      </c>
      <c r="R25" s="788" t="str">
        <f t="shared" si="0"/>
        <v>[] - BEARING SEATS</v>
      </c>
    </row>
    <row r="26" spans="1:18" ht="15.4" customHeight="1" x14ac:dyDescent="0.2">
      <c r="A26" s="1492"/>
      <c r="B26" s="1817"/>
      <c r="C26" s="1818"/>
      <c r="D26" s="1818"/>
      <c r="E26" s="1818"/>
      <c r="F26" s="1818"/>
      <c r="G26" s="1818"/>
      <c r="H26" s="1818"/>
      <c r="I26" s="1818"/>
      <c r="J26" s="1819"/>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17"/>
      <c r="C27" s="1818"/>
      <c r="D27" s="1818"/>
      <c r="E27" s="1818"/>
      <c r="F27" s="1818"/>
      <c r="G27" s="1818"/>
      <c r="H27" s="1818"/>
      <c r="I27" s="1818"/>
      <c r="J27" s="1819"/>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17"/>
      <c r="C28" s="1818"/>
      <c r="D28" s="1818"/>
      <c r="E28" s="1818"/>
      <c r="F28" s="1818"/>
      <c r="G28" s="1818"/>
      <c r="H28" s="1818"/>
      <c r="I28" s="1818"/>
      <c r="J28" s="1819"/>
      <c r="L28" s="946" t="str">
        <f t="shared" si="1"/>
        <v/>
      </c>
      <c r="M28" s="1537"/>
      <c r="N28" s="1528"/>
      <c r="O28" s="1528"/>
      <c r="P28" s="794" t="s">
        <v>981</v>
      </c>
      <c r="Q28" s="795" t="s">
        <v>1043</v>
      </c>
      <c r="R28" s="788" t="str">
        <f t="shared" si="0"/>
        <v>[BCBrg] - Bottom Chord Bearing @ LE|RE|BE</v>
      </c>
    </row>
    <row r="29" spans="1:18" ht="15.4" customHeight="1" x14ac:dyDescent="0.2">
      <c r="A29" s="1492"/>
      <c r="B29" s="1817"/>
      <c r="C29" s="1818"/>
      <c r="D29" s="1818"/>
      <c r="E29" s="1818"/>
      <c r="F29" s="1818"/>
      <c r="G29" s="1818"/>
      <c r="H29" s="1818"/>
      <c r="I29" s="1818"/>
      <c r="J29" s="1819"/>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17"/>
      <c r="C30" s="1818"/>
      <c r="D30" s="1818"/>
      <c r="E30" s="1818"/>
      <c r="F30" s="1818"/>
      <c r="G30" s="1818"/>
      <c r="H30" s="1818"/>
      <c r="I30" s="1818"/>
      <c r="J30" s="1819"/>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17"/>
      <c r="C31" s="1818"/>
      <c r="D31" s="1818"/>
      <c r="E31" s="1818"/>
      <c r="F31" s="1818"/>
      <c r="G31" s="1818"/>
      <c r="H31" s="1818"/>
      <c r="I31" s="1818"/>
      <c r="J31" s="1819"/>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17"/>
      <c r="C32" s="1818"/>
      <c r="D32" s="1818"/>
      <c r="E32" s="1818"/>
      <c r="F32" s="1818"/>
      <c r="G32" s="1818"/>
      <c r="H32" s="1818"/>
      <c r="I32" s="1818"/>
      <c r="J32" s="1819"/>
      <c r="L32" s="946" t="str">
        <f t="shared" si="1"/>
        <v/>
      </c>
      <c r="M32" s="1537"/>
      <c r="N32" s="1528"/>
      <c r="O32" s="1528"/>
      <c r="P32" s="794" t="s">
        <v>1001</v>
      </c>
      <c r="Q32" s="795" t="s">
        <v>1002</v>
      </c>
      <c r="R32" s="788" t="str">
        <f t="shared" si="0"/>
        <v>[ClrBrg] - Min Clear Bearing = #" @ LE(RE)(BE)</v>
      </c>
    </row>
    <row r="33" spans="1:18" ht="15.4" customHeight="1" x14ac:dyDescent="0.2">
      <c r="A33" s="1492"/>
      <c r="B33" s="1817"/>
      <c r="C33" s="1818"/>
      <c r="D33" s="1818"/>
      <c r="E33" s="1818"/>
      <c r="F33" s="1818"/>
      <c r="G33" s="1818"/>
      <c r="H33" s="1818"/>
      <c r="I33" s="1818"/>
      <c r="J33" s="1819"/>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17"/>
      <c r="C34" s="1818"/>
      <c r="D34" s="1818"/>
      <c r="E34" s="1818"/>
      <c r="F34" s="1818"/>
      <c r="G34" s="1818"/>
      <c r="H34" s="1818"/>
      <c r="I34" s="1818"/>
      <c r="J34" s="1819"/>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17"/>
      <c r="C35" s="1818"/>
      <c r="D35" s="1818"/>
      <c r="E35" s="1818"/>
      <c r="F35" s="1818"/>
      <c r="G35" s="1818"/>
      <c r="H35" s="1818"/>
      <c r="I35" s="1818"/>
      <c r="J35" s="1819"/>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17"/>
      <c r="C36" s="1818"/>
      <c r="D36" s="1818"/>
      <c r="E36" s="1818"/>
      <c r="F36" s="1818"/>
      <c r="G36" s="1818"/>
      <c r="H36" s="1818"/>
      <c r="I36" s="1818"/>
      <c r="J36" s="1819"/>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17"/>
      <c r="C37" s="1818"/>
      <c r="D37" s="1818"/>
      <c r="E37" s="1818"/>
      <c r="F37" s="1818"/>
      <c r="G37" s="1818"/>
      <c r="H37" s="1818"/>
      <c r="I37" s="1818"/>
      <c r="J37" s="1819"/>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17"/>
      <c r="C38" s="1818"/>
      <c r="D38" s="1818"/>
      <c r="E38" s="1818"/>
      <c r="F38" s="1818"/>
      <c r="G38" s="1818"/>
      <c r="H38" s="1818"/>
      <c r="I38" s="1818"/>
      <c r="J38" s="1819"/>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17"/>
      <c r="C39" s="1818"/>
      <c r="D39" s="1818"/>
      <c r="E39" s="1818"/>
      <c r="F39" s="1818"/>
      <c r="G39" s="1818"/>
      <c r="H39" s="1818"/>
      <c r="I39" s="1818"/>
      <c r="J39" s="1819"/>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17"/>
      <c r="C40" s="1818"/>
      <c r="D40" s="1818"/>
      <c r="E40" s="1818"/>
      <c r="F40" s="1818"/>
      <c r="G40" s="1818"/>
      <c r="H40" s="1818"/>
      <c r="I40" s="1818"/>
      <c r="J40" s="1819"/>
      <c r="L40" s="946" t="str">
        <f t="shared" si="1"/>
        <v/>
      </c>
      <c r="M40" s="1537"/>
      <c r="N40" s="1528"/>
      <c r="O40" s="1528"/>
      <c r="P40" s="794" t="s">
        <v>1041</v>
      </c>
      <c r="Q40" s="795" t="s">
        <v>1042</v>
      </c>
      <c r="R40" s="788" t="str">
        <f t="shared" si="0"/>
        <v>[Roll] - Seat Rollover Force = ##Kips @ LE|RE|BE</v>
      </c>
    </row>
    <row r="41" spans="1:18" ht="15.4" customHeight="1" x14ac:dyDescent="0.2">
      <c r="A41" s="1492"/>
      <c r="B41" s="1817"/>
      <c r="C41" s="1818"/>
      <c r="D41" s="1818"/>
      <c r="E41" s="1818"/>
      <c r="F41" s="1818"/>
      <c r="G41" s="1818"/>
      <c r="H41" s="1818"/>
      <c r="I41" s="1818"/>
      <c r="J41" s="1819"/>
      <c r="L41" s="946" t="str">
        <f t="shared" si="1"/>
        <v/>
      </c>
      <c r="M41" s="1537"/>
      <c r="N41" s="1528"/>
      <c r="O41" s="1528"/>
      <c r="P41" s="794" t="s">
        <v>1074</v>
      </c>
      <c r="Q41" s="795" t="s">
        <v>1075</v>
      </c>
      <c r="R41" s="788" t="str">
        <f t="shared" si="0"/>
        <v>[ShrtBrg] - Short Bearing = #” @ LE|RE|BE</v>
      </c>
    </row>
    <row r="42" spans="1:18" ht="15.4" customHeight="1" x14ac:dyDescent="0.2">
      <c r="A42" s="1492"/>
      <c r="B42" s="1817"/>
      <c r="C42" s="1818"/>
      <c r="D42" s="1818"/>
      <c r="E42" s="1818"/>
      <c r="F42" s="1818"/>
      <c r="G42" s="1818"/>
      <c r="H42" s="1818"/>
      <c r="I42" s="1818"/>
      <c r="J42" s="1819"/>
      <c r="L42" s="946" t="str">
        <f t="shared" si="1"/>
        <v/>
      </c>
      <c r="M42" s="1537"/>
      <c r="N42" s="1528"/>
      <c r="O42" s="1528"/>
      <c r="P42" s="794" t="s">
        <v>1078</v>
      </c>
      <c r="Q42" s="795" t="s">
        <v>990</v>
      </c>
      <c r="R42" s="788" t="str">
        <f t="shared" si="0"/>
        <v>[Skew] - ##º Half(Full)-Skew, NS(FS), LE(RE)</v>
      </c>
    </row>
    <row r="43" spans="1:18" ht="15.4" customHeight="1" x14ac:dyDescent="0.2">
      <c r="A43" s="1492"/>
      <c r="B43" s="1817"/>
      <c r="C43" s="1818"/>
      <c r="D43" s="1818"/>
      <c r="E43" s="1818"/>
      <c r="F43" s="1818"/>
      <c r="G43" s="1818"/>
      <c r="H43" s="1818"/>
      <c r="I43" s="1818"/>
      <c r="J43" s="1819"/>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17"/>
      <c r="C44" s="1818"/>
      <c r="D44" s="1818"/>
      <c r="E44" s="1818"/>
      <c r="F44" s="1818"/>
      <c r="G44" s="1818"/>
      <c r="H44" s="1818"/>
      <c r="I44" s="1818"/>
      <c r="J44" s="1819"/>
      <c r="L44" s="946" t="str">
        <f t="shared" si="1"/>
        <v/>
      </c>
      <c r="M44" s="1537"/>
      <c r="N44" s="1528"/>
      <c r="O44" s="1528"/>
      <c r="P44" s="794" t="s">
        <v>975</v>
      </c>
      <c r="Q44" s="795" t="s">
        <v>1044</v>
      </c>
      <c r="R44" s="788" t="str">
        <f t="shared" si="0"/>
        <v>[StgSlt] - Stagger Seat Slots LE|RE: ##" NS, ##" FS</v>
      </c>
    </row>
    <row r="45" spans="1:18" ht="15.4" customHeight="1" x14ac:dyDescent="0.2">
      <c r="A45" s="1492"/>
      <c r="B45" s="1817"/>
      <c r="C45" s="1818"/>
      <c r="D45" s="1818"/>
      <c r="E45" s="1818"/>
      <c r="F45" s="1818"/>
      <c r="G45" s="1818"/>
      <c r="H45" s="1818"/>
      <c r="I45" s="1818"/>
      <c r="J45" s="1819"/>
      <c r="L45" s="946" t="str">
        <f t="shared" si="1"/>
        <v/>
      </c>
      <c r="M45" s="1537"/>
      <c r="N45" s="1528"/>
      <c r="O45" s="1528"/>
      <c r="P45" s="794" t="s">
        <v>980</v>
      </c>
      <c r="Q45" s="795" t="s">
        <v>1034</v>
      </c>
      <c r="R45" s="788" t="str">
        <f t="shared" si="0"/>
        <v>[TCXMax] - Max Depth of TCXL|TCXR = ##"</v>
      </c>
    </row>
    <row r="46" spans="1:18" ht="15.4" customHeight="1" x14ac:dyDescent="0.2">
      <c r="A46" s="1492"/>
      <c r="B46" s="1817"/>
      <c r="C46" s="1818"/>
      <c r="D46" s="1818"/>
      <c r="E46" s="1818"/>
      <c r="F46" s="1818"/>
      <c r="G46" s="1818"/>
      <c r="H46" s="1818"/>
      <c r="I46" s="1818"/>
      <c r="J46" s="1819"/>
      <c r="L46" s="946" t="str">
        <f t="shared" si="1"/>
        <v/>
      </c>
      <c r="M46" s="1537"/>
      <c r="N46" s="1528"/>
      <c r="O46" s="1528"/>
      <c r="P46" s="794" t="s">
        <v>974</v>
      </c>
      <c r="Q46" s="795" t="s">
        <v>1076</v>
      </c>
      <c r="R46" s="788" t="str">
        <f t="shared" si="0"/>
        <v>[TCXSup] - TCXL|TCXR Supported @ End</v>
      </c>
    </row>
    <row r="47" spans="1:18" ht="15.4" customHeight="1" x14ac:dyDescent="0.2">
      <c r="A47" s="1492"/>
      <c r="B47" s="1817"/>
      <c r="C47" s="1818"/>
      <c r="D47" s="1818"/>
      <c r="E47" s="1818"/>
      <c r="F47" s="1818"/>
      <c r="G47" s="1818"/>
      <c r="H47" s="1818"/>
      <c r="I47" s="1818"/>
      <c r="J47" s="1819"/>
      <c r="L47" s="946" t="str">
        <f t="shared" si="1"/>
        <v/>
      </c>
      <c r="M47" s="1537"/>
      <c r="N47" s="1528"/>
      <c r="O47" s="1528"/>
      <c r="P47" s="794"/>
      <c r="Q47" s="795" t="s">
        <v>1050</v>
      </c>
      <c r="R47" s="788" t="str">
        <f t="shared" si="0"/>
        <v>[] - MISCELLANEOUS</v>
      </c>
    </row>
    <row r="48" spans="1:18" ht="15.4" customHeight="1" x14ac:dyDescent="0.2">
      <c r="A48" s="1492"/>
      <c r="B48" s="1817"/>
      <c r="C48" s="1818"/>
      <c r="D48" s="1818"/>
      <c r="E48" s="1818"/>
      <c r="F48" s="1818"/>
      <c r="G48" s="1818"/>
      <c r="H48" s="1818"/>
      <c r="I48" s="1818"/>
      <c r="J48" s="1819"/>
      <c r="L48" s="946" t="str">
        <f t="shared" si="1"/>
        <v/>
      </c>
      <c r="M48" s="1537"/>
      <c r="N48" s="1528"/>
      <c r="O48" s="1528"/>
      <c r="P48" s="794" t="s">
        <v>982</v>
      </c>
      <c r="Q48" s="795" t="s">
        <v>1053</v>
      </c>
      <c r="R48" s="788" t="str">
        <f t="shared" si="0"/>
        <v>[BClip] - Bridging Clip(s) Required per Plan</v>
      </c>
    </row>
    <row r="49" spans="1:18" ht="15.4" customHeight="1" x14ac:dyDescent="0.2">
      <c r="A49" s="1492"/>
      <c r="B49" s="1817"/>
      <c r="C49" s="1818"/>
      <c r="D49" s="1818"/>
      <c r="E49" s="1818"/>
      <c r="F49" s="1818"/>
      <c r="G49" s="1818"/>
      <c r="H49" s="1818"/>
      <c r="I49" s="1818"/>
      <c r="J49" s="1819"/>
      <c r="L49" s="946" t="str">
        <f t="shared" si="1"/>
        <v/>
      </c>
      <c r="M49" s="1537"/>
      <c r="N49" s="1528"/>
      <c r="O49" s="1528"/>
      <c r="P49" s="794" t="s">
        <v>978</v>
      </c>
      <c r="Q49" s="795" t="s">
        <v>970</v>
      </c>
      <c r="R49" s="788" t="str">
        <f t="shared" si="0"/>
        <v>[BCThk] - Min Thickness of BC = 0.xxx"</v>
      </c>
    </row>
    <row r="50" spans="1:18" ht="15.4" customHeight="1" x14ac:dyDescent="0.2">
      <c r="A50" s="1492"/>
      <c r="B50" s="1817"/>
      <c r="C50" s="1818"/>
      <c r="D50" s="1818"/>
      <c r="E50" s="1818"/>
      <c r="F50" s="1818"/>
      <c r="G50" s="1818"/>
      <c r="H50" s="1818"/>
      <c r="I50" s="1818"/>
      <c r="J50" s="1819"/>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20"/>
      <c r="C51" s="1821"/>
      <c r="D51" s="1821"/>
      <c r="E51" s="1821"/>
      <c r="F51" s="1821"/>
      <c r="G51" s="1821"/>
      <c r="H51" s="1821"/>
      <c r="I51" s="1821"/>
      <c r="J51" s="1822"/>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169"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168" priority="14" stopIfTrue="1">
      <formula>AND($B14="NU",F14&lt;0)</formula>
    </cfRule>
  </conditionalFormatting>
  <conditionalFormatting sqref="B14:B55">
    <cfRule type="expression" dxfId="1167" priority="15" stopIfTrue="1">
      <formula>OR(AND($B14="NU",F14&lt;0),AND($B14="NU",I14&lt;0))</formula>
    </cfRule>
  </conditionalFormatting>
  <conditionalFormatting sqref="G14:H55 J14:L55">
    <cfRule type="expression" dxfId="1166" priority="16" stopIfTrue="1">
      <formula>$R14</formula>
    </cfRule>
  </conditionalFormatting>
  <conditionalFormatting sqref="I2:K4">
    <cfRule type="cellIs" dxfId="1165" priority="18" stopIfTrue="1" operator="equal">
      <formula>""</formula>
    </cfRule>
  </conditionalFormatting>
  <conditionalFormatting sqref="I14:I55">
    <cfRule type="expression" dxfId="1164" priority="272" stopIfTrue="1">
      <formula>OR($R14,$B14="CZ",AND($B14="NU",I14&lt;0))</formula>
    </cfRule>
  </conditionalFormatting>
  <conditionalFormatting sqref="A14:A55">
    <cfRule type="expression" dxfId="1163" priority="7">
      <formula>NOT($P14)</formula>
    </cfRule>
  </conditionalFormatting>
  <conditionalFormatting sqref="B14:D55">
    <cfRule type="expression" dxfId="1162"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161" priority="2001">
      <formula>AND(NOT($P14),$T$1)</formula>
    </cfRule>
    <cfRule type="expression" dxfId="1160" priority="2002">
      <formula>AND($AP14,$S$1="M")</formula>
    </cfRule>
  </conditionalFormatting>
  <conditionalFormatting sqref="L14:L55">
    <cfRule type="expression" dxfId="1159"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t="s">
        <v>114</v>
      </c>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1488"/>
      <c r="B13" s="1823"/>
      <c r="C13" s="1824"/>
      <c r="D13" s="1824"/>
      <c r="E13" s="1824"/>
      <c r="F13" s="1824"/>
      <c r="G13" s="1824"/>
      <c r="H13" s="1824"/>
      <c r="I13" s="1824"/>
      <c r="J13" s="1825"/>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17"/>
      <c r="C14" s="1818"/>
      <c r="D14" s="1818"/>
      <c r="E14" s="1818"/>
      <c r="F14" s="1818"/>
      <c r="G14" s="1818"/>
      <c r="H14" s="1818"/>
      <c r="I14" s="1818"/>
      <c r="J14" s="1819"/>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17"/>
      <c r="C15" s="1818"/>
      <c r="D15" s="1818"/>
      <c r="E15" s="1818"/>
      <c r="F15" s="1818"/>
      <c r="G15" s="1818"/>
      <c r="H15" s="1818"/>
      <c r="I15" s="1818"/>
      <c r="J15" s="1819"/>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17"/>
      <c r="C16" s="1818"/>
      <c r="D16" s="1818"/>
      <c r="E16" s="1818"/>
      <c r="F16" s="1818"/>
      <c r="G16" s="1818"/>
      <c r="H16" s="1818"/>
      <c r="I16" s="1818"/>
      <c r="J16" s="1819"/>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17"/>
      <c r="C17" s="1818"/>
      <c r="D17" s="1818"/>
      <c r="E17" s="1818"/>
      <c r="F17" s="1818"/>
      <c r="G17" s="1818"/>
      <c r="H17" s="1818"/>
      <c r="I17" s="1818"/>
      <c r="J17" s="1819"/>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17"/>
      <c r="C18" s="1818"/>
      <c r="D18" s="1818"/>
      <c r="E18" s="1818"/>
      <c r="F18" s="1818"/>
      <c r="G18" s="1818"/>
      <c r="H18" s="1818"/>
      <c r="I18" s="1818"/>
      <c r="J18" s="1819"/>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17"/>
      <c r="C19" s="1818"/>
      <c r="D19" s="1818"/>
      <c r="E19" s="1818"/>
      <c r="F19" s="1818"/>
      <c r="G19" s="1818"/>
      <c r="H19" s="1818"/>
      <c r="I19" s="1818"/>
      <c r="J19" s="1819"/>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17"/>
      <c r="C20" s="1818"/>
      <c r="D20" s="1818"/>
      <c r="E20" s="1818"/>
      <c r="F20" s="1818"/>
      <c r="G20" s="1818"/>
      <c r="H20" s="1818"/>
      <c r="I20" s="1818"/>
      <c r="J20" s="1819"/>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29"/>
      <c r="C21" s="1830"/>
      <c r="D21" s="1830"/>
      <c r="E21" s="1830"/>
      <c r="F21" s="1830"/>
      <c r="G21" s="1830"/>
      <c r="H21" s="1830"/>
      <c r="I21" s="1830"/>
      <c r="J21" s="1831"/>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17"/>
      <c r="C22" s="1818"/>
      <c r="D22" s="1818"/>
      <c r="E22" s="1818"/>
      <c r="F22" s="1818"/>
      <c r="G22" s="1818"/>
      <c r="H22" s="1818"/>
      <c r="I22" s="1818"/>
      <c r="J22" s="1819"/>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23"/>
      <c r="C23" s="1824"/>
      <c r="D23" s="1824"/>
      <c r="E23" s="1824"/>
      <c r="F23" s="1824"/>
      <c r="G23" s="1824"/>
      <c r="H23" s="1824"/>
      <c r="I23" s="1824"/>
      <c r="J23" s="1825"/>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17"/>
      <c r="C24" s="1818"/>
      <c r="D24" s="1818"/>
      <c r="E24" s="1818"/>
      <c r="F24" s="1818"/>
      <c r="G24" s="1818"/>
      <c r="H24" s="1818"/>
      <c r="I24" s="1818"/>
      <c r="J24" s="1819"/>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17"/>
      <c r="C25" s="1818"/>
      <c r="D25" s="1818"/>
      <c r="E25" s="1818"/>
      <c r="F25" s="1818"/>
      <c r="G25" s="1818"/>
      <c r="H25" s="1818"/>
      <c r="I25" s="1818"/>
      <c r="J25" s="1819"/>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17"/>
      <c r="C26" s="1818"/>
      <c r="D26" s="1818"/>
      <c r="E26" s="1818"/>
      <c r="F26" s="1818"/>
      <c r="G26" s="1818"/>
      <c r="H26" s="1818"/>
      <c r="I26" s="1818"/>
      <c r="J26" s="1819"/>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17"/>
      <c r="C27" s="1818"/>
      <c r="D27" s="1818"/>
      <c r="E27" s="1818"/>
      <c r="F27" s="1818"/>
      <c r="G27" s="1818"/>
      <c r="H27" s="1818"/>
      <c r="I27" s="1818"/>
      <c r="J27" s="1819"/>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17"/>
      <c r="C28" s="1818"/>
      <c r="D28" s="1818"/>
      <c r="E28" s="1818"/>
      <c r="F28" s="1818"/>
      <c r="G28" s="1818"/>
      <c r="H28" s="1818"/>
      <c r="I28" s="1818"/>
      <c r="J28" s="1819"/>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17"/>
      <c r="C29" s="1818"/>
      <c r="D29" s="1818"/>
      <c r="E29" s="1818"/>
      <c r="F29" s="1818"/>
      <c r="G29" s="1818"/>
      <c r="H29" s="1818"/>
      <c r="I29" s="1818"/>
      <c r="J29" s="1819"/>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17"/>
      <c r="C30" s="1818"/>
      <c r="D30" s="1818"/>
      <c r="E30" s="1818"/>
      <c r="F30" s="1818"/>
      <c r="G30" s="1818"/>
      <c r="H30" s="1818"/>
      <c r="I30" s="1818"/>
      <c r="J30" s="1819"/>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17"/>
      <c r="C31" s="1818"/>
      <c r="D31" s="1818"/>
      <c r="E31" s="1818"/>
      <c r="F31" s="1818"/>
      <c r="G31" s="1818"/>
      <c r="H31" s="1818"/>
      <c r="I31" s="1818"/>
      <c r="J31" s="1819"/>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17"/>
      <c r="C32" s="1818"/>
      <c r="D32" s="1818"/>
      <c r="E32" s="1818"/>
      <c r="F32" s="1818"/>
      <c r="G32" s="1818"/>
      <c r="H32" s="1818"/>
      <c r="I32" s="1818"/>
      <c r="J32" s="1819"/>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17"/>
      <c r="C33" s="1818"/>
      <c r="D33" s="1818"/>
      <c r="E33" s="1818"/>
      <c r="F33" s="1818"/>
      <c r="G33" s="1818"/>
      <c r="H33" s="1818"/>
      <c r="I33" s="1818"/>
      <c r="J33" s="1819"/>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17"/>
      <c r="C34" s="1818"/>
      <c r="D34" s="1818"/>
      <c r="E34" s="1818"/>
      <c r="F34" s="1818"/>
      <c r="G34" s="1818"/>
      <c r="H34" s="1818"/>
      <c r="I34" s="1818"/>
      <c r="J34" s="1819"/>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17"/>
      <c r="C35" s="1818"/>
      <c r="D35" s="1818"/>
      <c r="E35" s="1818"/>
      <c r="F35" s="1818"/>
      <c r="G35" s="1818"/>
      <c r="H35" s="1818"/>
      <c r="I35" s="1818"/>
      <c r="J35" s="1819"/>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17"/>
      <c r="C36" s="1818"/>
      <c r="D36" s="1818"/>
      <c r="E36" s="1818"/>
      <c r="F36" s="1818"/>
      <c r="G36" s="1818"/>
      <c r="H36" s="1818"/>
      <c r="I36" s="1818"/>
      <c r="J36" s="1819"/>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17"/>
      <c r="C37" s="1818"/>
      <c r="D37" s="1818"/>
      <c r="E37" s="1818"/>
      <c r="F37" s="1818"/>
      <c r="G37" s="1818"/>
      <c r="H37" s="1818"/>
      <c r="I37" s="1818"/>
      <c r="J37" s="1819"/>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17"/>
      <c r="C38" s="1818"/>
      <c r="D38" s="1818"/>
      <c r="E38" s="1818"/>
      <c r="F38" s="1818"/>
      <c r="G38" s="1818"/>
      <c r="H38" s="1818"/>
      <c r="I38" s="1818"/>
      <c r="J38" s="1819"/>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17"/>
      <c r="C39" s="1818"/>
      <c r="D39" s="1818"/>
      <c r="E39" s="1818"/>
      <c r="F39" s="1818"/>
      <c r="G39" s="1818"/>
      <c r="H39" s="1818"/>
      <c r="I39" s="1818"/>
      <c r="J39" s="1819"/>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17"/>
      <c r="C40" s="1818"/>
      <c r="D40" s="1818"/>
      <c r="E40" s="1818"/>
      <c r="F40" s="1818"/>
      <c r="G40" s="1818"/>
      <c r="H40" s="1818"/>
      <c r="I40" s="1818"/>
      <c r="J40" s="1819"/>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17"/>
      <c r="C41" s="1818"/>
      <c r="D41" s="1818"/>
      <c r="E41" s="1818"/>
      <c r="F41" s="1818"/>
      <c r="G41" s="1818"/>
      <c r="H41" s="1818"/>
      <c r="I41" s="1818"/>
      <c r="J41" s="1819"/>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17"/>
      <c r="C42" s="1818"/>
      <c r="D42" s="1818"/>
      <c r="E42" s="1818"/>
      <c r="F42" s="1818"/>
      <c r="G42" s="1818"/>
      <c r="H42" s="1818"/>
      <c r="I42" s="1818"/>
      <c r="J42" s="1819"/>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17"/>
      <c r="C43" s="1818"/>
      <c r="D43" s="1818"/>
      <c r="E43" s="1818"/>
      <c r="F43" s="1818"/>
      <c r="G43" s="1818"/>
      <c r="H43" s="1818"/>
      <c r="I43" s="1818"/>
      <c r="J43" s="1819"/>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17"/>
      <c r="C44" s="1818"/>
      <c r="D44" s="1818"/>
      <c r="E44" s="1818"/>
      <c r="F44" s="1818"/>
      <c r="G44" s="1818"/>
      <c r="H44" s="1818"/>
      <c r="I44" s="1818"/>
      <c r="J44" s="1819"/>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17"/>
      <c r="C45" s="1818"/>
      <c r="D45" s="1818"/>
      <c r="E45" s="1818"/>
      <c r="F45" s="1818"/>
      <c r="G45" s="1818"/>
      <c r="H45" s="1818"/>
      <c r="I45" s="1818"/>
      <c r="J45" s="1819"/>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17"/>
      <c r="C46" s="1818"/>
      <c r="D46" s="1818"/>
      <c r="E46" s="1818"/>
      <c r="F46" s="1818"/>
      <c r="G46" s="1818"/>
      <c r="H46" s="1818"/>
      <c r="I46" s="1818"/>
      <c r="J46" s="1819"/>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17"/>
      <c r="C47" s="1818"/>
      <c r="D47" s="1818"/>
      <c r="E47" s="1818"/>
      <c r="F47" s="1818"/>
      <c r="G47" s="1818"/>
      <c r="H47" s="1818"/>
      <c r="I47" s="1818"/>
      <c r="J47" s="1819"/>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17"/>
      <c r="C48" s="1818"/>
      <c r="D48" s="1818"/>
      <c r="E48" s="1818"/>
      <c r="F48" s="1818"/>
      <c r="G48" s="1818"/>
      <c r="H48" s="1818"/>
      <c r="I48" s="1818"/>
      <c r="J48" s="1819"/>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17"/>
      <c r="C49" s="1818"/>
      <c r="D49" s="1818"/>
      <c r="E49" s="1818"/>
      <c r="F49" s="1818"/>
      <c r="G49" s="1818"/>
      <c r="H49" s="1818"/>
      <c r="I49" s="1818"/>
      <c r="J49" s="1819"/>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17"/>
      <c r="C50" s="1818"/>
      <c r="D50" s="1818"/>
      <c r="E50" s="1818"/>
      <c r="F50" s="1818"/>
      <c r="G50" s="1818"/>
      <c r="H50" s="1818"/>
      <c r="I50" s="1818"/>
      <c r="J50" s="1819"/>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20"/>
      <c r="C51" s="1821"/>
      <c r="D51" s="1821"/>
      <c r="E51" s="1821"/>
      <c r="F51" s="1821"/>
      <c r="G51" s="1821"/>
      <c r="H51" s="1821"/>
      <c r="I51" s="1821"/>
      <c r="J51" s="1822"/>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158" priority="5" stopIfTrue="1" operator="equal">
      <formula>""</formula>
    </cfRule>
  </conditionalFormatting>
  <conditionalFormatting sqref="A13:J51">
    <cfRule type="expression" dxfId="1157" priority="2">
      <formula>AND(NOT($N13),NOT($O13),$M$1)</formula>
    </cfRule>
    <cfRule type="expression" dxfId="1156" priority="4">
      <formula>AND($M13,$L$1="M")</formula>
    </cfRule>
  </conditionalFormatting>
  <conditionalFormatting sqref="A13:A51">
    <cfRule type="expression" dxfId="1155" priority="3">
      <formula>NOT(OR($N13,$O13))</formula>
    </cfRule>
  </conditionalFormatting>
  <conditionalFormatting sqref="B13:J51">
    <cfRule type="expression" dxfId="1154"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32" t="str">
        <f>IF(P1="","",VLOOKUP(P1,'Job Info.'!$X:$AA,4,FALSE))</f>
        <v>Master</v>
      </c>
      <c r="I1" s="1832"/>
      <c r="J1" s="1832"/>
      <c r="K1" s="1833" t="s">
        <v>95</v>
      </c>
      <c r="L1" s="1834"/>
      <c r="M1" s="1835" t="str">
        <f ca="1">'Job Info.'!D12</f>
        <v>775-428-0600</v>
      </c>
      <c r="N1" s="183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37" t="str">
        <f>IF(P1="","",IF(VLOOKUP(P1,'Job Info.'!$X:$Z,2,FALSE),"Released for Fabrication",""))</f>
        <v/>
      </c>
      <c r="I2" s="1838"/>
      <c r="J2" s="1839"/>
      <c r="K2" s="1833" t="s">
        <v>96</v>
      </c>
      <c r="L2" s="1833"/>
      <c r="M2" s="1835" t="str">
        <f ca="1">'Job Info.'!D13</f>
        <v>775-867-2140</v>
      </c>
      <c r="N2" s="1836"/>
      <c r="R2" s="245" t="s">
        <v>122</v>
      </c>
      <c r="S2" s="245" t="s">
        <v>134</v>
      </c>
      <c r="T2" s="378"/>
    </row>
    <row r="3" spans="1:39" ht="12.95" customHeight="1" x14ac:dyDescent="0.2">
      <c r="A3" s="374"/>
      <c r="B3" s="462"/>
      <c r="C3" s="374"/>
      <c r="D3" s="474"/>
      <c r="E3" s="393"/>
      <c r="F3" s="393"/>
      <c r="G3" s="393"/>
      <c r="H3" s="1840"/>
      <c r="I3" s="1841"/>
      <c r="J3" s="1842"/>
      <c r="K3" s="1833" t="s">
        <v>98</v>
      </c>
      <c r="L3" s="1833"/>
      <c r="M3" s="1835" t="str">
        <f ca="1">'Job Info.'!D14</f>
        <v>775-867-2169</v>
      </c>
      <c r="N3" s="1836"/>
      <c r="R3" s="245" t="s">
        <v>123</v>
      </c>
      <c r="S3" s="245" t="s">
        <v>135</v>
      </c>
    </row>
    <row r="4" spans="1:39" ht="12.95" customHeight="1" thickBot="1" x14ac:dyDescent="0.25">
      <c r="A4" s="374"/>
      <c r="B4" s="462"/>
      <c r="C4" s="374"/>
      <c r="D4" s="474"/>
      <c r="E4" s="393"/>
      <c r="F4" s="393"/>
      <c r="G4" s="393"/>
      <c r="H4" s="1843" t="str">
        <f>IF(P1="","",IF(VLOOKUP(P1,'Job Info.'!$X:$Z,2,FALSE),VLOOKUP(P1,'Job Info.'!$X:$Z,3,FALSE),""))</f>
        <v/>
      </c>
      <c r="I4" s="1844"/>
      <c r="J4" s="1845"/>
      <c r="K4" s="1833" t="s">
        <v>97</v>
      </c>
      <c r="L4" s="1833"/>
      <c r="M4" s="1835" t="str">
        <f ca="1">'Job Info.'!D15</f>
        <v>775-867-2060</v>
      </c>
      <c r="N4" s="1836"/>
      <c r="R4" s="245" t="s">
        <v>124</v>
      </c>
      <c r="S4" s="245" t="s">
        <v>136</v>
      </c>
    </row>
    <row r="5" spans="1:39" ht="12.95" customHeight="1" thickTop="1" x14ac:dyDescent="0.2">
      <c r="A5" s="1846" t="str">
        <f ca="1">'Job Info.'!D11</f>
        <v>8200 Woolery Way | Fallon, NV 89406 | www.newmill.com</v>
      </c>
      <c r="B5" s="1882"/>
      <c r="C5" s="1882"/>
      <c r="D5" s="1882"/>
      <c r="E5" s="1882"/>
      <c r="F5" s="1882"/>
      <c r="G5" s="1882"/>
      <c r="H5" s="1882"/>
      <c r="I5" s="1882"/>
      <c r="J5" s="1882"/>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6">
        <f>IF(ISBLANK('Job Info.'!D8),"",'Job Info.'!D8)</f>
        <v>45048</v>
      </c>
      <c r="M6" s="1816"/>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08" t="str">
        <f>IF(ISBLANK('Job Info.'!D3),"",'Job Info.'!D3)</f>
        <v>MINDEN UPS BLDG 1</v>
      </c>
      <c r="C9" s="1886"/>
      <c r="D9" s="1886"/>
      <c r="E9" s="1886"/>
      <c r="F9" s="1886"/>
      <c r="G9" s="1886"/>
      <c r="H9" s="1886"/>
      <c r="I9" s="1886"/>
      <c r="J9" s="1887"/>
      <c r="K9" s="480" t="s">
        <v>2</v>
      </c>
      <c r="L9" s="659" t="str">
        <f>IF(ISBLANK('Job Info.'!D5),"",'Job Info.'!D5)</f>
        <v>NN22-0071</v>
      </c>
      <c r="M9" s="402"/>
      <c r="N9" s="477"/>
      <c r="R9" s="245" t="s">
        <v>129</v>
      </c>
      <c r="S9" s="245" t="s">
        <v>141</v>
      </c>
    </row>
    <row r="10" spans="1:39" ht="12.6" customHeight="1" x14ac:dyDescent="0.2">
      <c r="A10" s="480" t="s">
        <v>3</v>
      </c>
      <c r="B10" s="1808" t="str">
        <f>IF(ISBLANK('Job Info.'!D4),"",'Job Info.'!D4)</f>
        <v>MINDEN, NV</v>
      </c>
      <c r="C10" s="1886"/>
      <c r="D10" s="1886"/>
      <c r="E10" s="1886"/>
      <c r="F10" s="1886"/>
      <c r="G10" s="1886"/>
      <c r="H10" s="1886"/>
      <c r="I10" s="1886"/>
      <c r="J10" s="1887"/>
      <c r="K10" s="480" t="s">
        <v>22</v>
      </c>
      <c r="L10" s="660" t="str">
        <f>IF(ISBLANK('Job Info.'!D6),"",'Job Info.'!D6)</f>
        <v>JMM</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85" t="s">
        <v>120</v>
      </c>
      <c r="C12" s="1827"/>
      <c r="D12" s="1828"/>
      <c r="E12" s="1826" t="s">
        <v>1183</v>
      </c>
      <c r="F12" s="1827"/>
      <c r="G12" s="1827"/>
      <c r="H12" s="1827"/>
      <c r="I12" s="1827"/>
      <c r="J12" s="1827"/>
      <c r="K12" s="1883"/>
      <c r="L12" s="1883"/>
      <c r="M12" s="1883"/>
      <c r="N12" s="1884"/>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1078"/>
      <c r="B13" s="1079"/>
      <c r="C13" s="1057"/>
      <c r="D13" s="1080"/>
      <c r="E13" s="1879"/>
      <c r="F13" s="1880"/>
      <c r="G13" s="1880"/>
      <c r="H13" s="1880"/>
      <c r="I13" s="1880"/>
      <c r="J13" s="1880"/>
      <c r="K13" s="1880"/>
      <c r="L13" s="1880"/>
      <c r="M13" s="1880"/>
      <c r="N13" s="1881"/>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70"/>
      <c r="F14" s="1871"/>
      <c r="G14" s="1871"/>
      <c r="H14" s="1871"/>
      <c r="I14" s="1871"/>
      <c r="J14" s="1871"/>
      <c r="K14" s="1871"/>
      <c r="L14" s="1871"/>
      <c r="M14" s="1871"/>
      <c r="N14" s="1872"/>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70"/>
      <c r="F15" s="1871"/>
      <c r="G15" s="1871"/>
      <c r="H15" s="1871"/>
      <c r="I15" s="1871"/>
      <c r="J15" s="1871"/>
      <c r="K15" s="1871"/>
      <c r="L15" s="1871"/>
      <c r="M15" s="1871"/>
      <c r="N15" s="1872"/>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70"/>
      <c r="F16" s="1871"/>
      <c r="G16" s="1871"/>
      <c r="H16" s="1871"/>
      <c r="I16" s="1871"/>
      <c r="J16" s="1871"/>
      <c r="K16" s="1871"/>
      <c r="L16" s="1871"/>
      <c r="M16" s="1871"/>
      <c r="N16" s="1872"/>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70"/>
      <c r="F17" s="1871"/>
      <c r="G17" s="1871"/>
      <c r="H17" s="1871"/>
      <c r="I17" s="1871"/>
      <c r="J17" s="1871"/>
      <c r="K17" s="1871"/>
      <c r="L17" s="1871"/>
      <c r="M17" s="1871"/>
      <c r="N17" s="1872"/>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70"/>
      <c r="F18" s="1871"/>
      <c r="G18" s="1871"/>
      <c r="H18" s="1871"/>
      <c r="I18" s="1871"/>
      <c r="J18" s="1871"/>
      <c r="K18" s="1871"/>
      <c r="L18" s="1871"/>
      <c r="M18" s="1871"/>
      <c r="N18" s="1872"/>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70"/>
      <c r="F19" s="1871"/>
      <c r="G19" s="1871"/>
      <c r="H19" s="1871"/>
      <c r="I19" s="1871"/>
      <c r="J19" s="1871"/>
      <c r="K19" s="1871"/>
      <c r="L19" s="1871"/>
      <c r="M19" s="1871"/>
      <c r="N19" s="1872"/>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70"/>
      <c r="F20" s="1871"/>
      <c r="G20" s="1871"/>
      <c r="H20" s="1871"/>
      <c r="I20" s="1871"/>
      <c r="J20" s="1871"/>
      <c r="K20" s="1871"/>
      <c r="L20" s="1871"/>
      <c r="M20" s="1871"/>
      <c r="N20" s="1872"/>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70"/>
      <c r="F21" s="1871"/>
      <c r="G21" s="1871"/>
      <c r="H21" s="1871"/>
      <c r="I21" s="1871"/>
      <c r="J21" s="1871"/>
      <c r="K21" s="1871"/>
      <c r="L21" s="1871"/>
      <c r="M21" s="1871"/>
      <c r="N21" s="1872"/>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70"/>
      <c r="F22" s="1871"/>
      <c r="G22" s="1871"/>
      <c r="H22" s="1871"/>
      <c r="I22" s="1871"/>
      <c r="J22" s="1871"/>
      <c r="K22" s="1871"/>
      <c r="L22" s="1871"/>
      <c r="M22" s="1871"/>
      <c r="N22" s="1872"/>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70"/>
      <c r="F23" s="1871"/>
      <c r="G23" s="1871"/>
      <c r="H23" s="1871"/>
      <c r="I23" s="1871"/>
      <c r="J23" s="1871"/>
      <c r="K23" s="1871"/>
      <c r="L23" s="1871"/>
      <c r="M23" s="1871"/>
      <c r="N23" s="1872"/>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70"/>
      <c r="F24" s="1871"/>
      <c r="G24" s="1871"/>
      <c r="H24" s="1871"/>
      <c r="I24" s="1871"/>
      <c r="J24" s="1871"/>
      <c r="K24" s="1871"/>
      <c r="L24" s="1871"/>
      <c r="M24" s="1871"/>
      <c r="N24" s="1872"/>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70"/>
      <c r="F25" s="1871"/>
      <c r="G25" s="1871"/>
      <c r="H25" s="1871"/>
      <c r="I25" s="1871"/>
      <c r="J25" s="1871"/>
      <c r="K25" s="1871"/>
      <c r="L25" s="1871"/>
      <c r="M25" s="1871"/>
      <c r="N25" s="1872"/>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70"/>
      <c r="F26" s="1871"/>
      <c r="G26" s="1871"/>
      <c r="H26" s="1871"/>
      <c r="I26" s="1871"/>
      <c r="J26" s="1871"/>
      <c r="K26" s="1871"/>
      <c r="L26" s="1871"/>
      <c r="M26" s="1871"/>
      <c r="N26" s="1872"/>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70"/>
      <c r="F27" s="1871"/>
      <c r="G27" s="1871"/>
      <c r="H27" s="1871"/>
      <c r="I27" s="1871"/>
      <c r="J27" s="1871"/>
      <c r="K27" s="1871"/>
      <c r="L27" s="1871"/>
      <c r="M27" s="1871"/>
      <c r="N27" s="1872"/>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73"/>
      <c r="F28" s="1874"/>
      <c r="G28" s="1874"/>
      <c r="H28" s="1874"/>
      <c r="I28" s="1874"/>
      <c r="J28" s="1874"/>
      <c r="K28" s="1874"/>
      <c r="L28" s="1874"/>
      <c r="M28" s="1874"/>
      <c r="N28" s="1875"/>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73"/>
      <c r="F29" s="1874"/>
      <c r="G29" s="1874"/>
      <c r="H29" s="1874"/>
      <c r="I29" s="1874"/>
      <c r="J29" s="1874"/>
      <c r="K29" s="1874"/>
      <c r="L29" s="1874"/>
      <c r="M29" s="1874"/>
      <c r="N29" s="1875"/>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73"/>
      <c r="F30" s="1874"/>
      <c r="G30" s="1874"/>
      <c r="H30" s="1874"/>
      <c r="I30" s="1874"/>
      <c r="J30" s="1874"/>
      <c r="K30" s="1874"/>
      <c r="L30" s="1874"/>
      <c r="M30" s="1874"/>
      <c r="N30" s="1875"/>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73"/>
      <c r="F31" s="1874"/>
      <c r="G31" s="1874"/>
      <c r="H31" s="1874"/>
      <c r="I31" s="1874"/>
      <c r="J31" s="1874"/>
      <c r="K31" s="1874"/>
      <c r="L31" s="1874"/>
      <c r="M31" s="1874"/>
      <c r="N31" s="1875"/>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73"/>
      <c r="F32" s="1874"/>
      <c r="G32" s="1874"/>
      <c r="H32" s="1874"/>
      <c r="I32" s="1874"/>
      <c r="J32" s="1874"/>
      <c r="K32" s="1874"/>
      <c r="L32" s="1874"/>
      <c r="M32" s="1874"/>
      <c r="N32" s="1875"/>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73"/>
      <c r="F33" s="1874"/>
      <c r="G33" s="1874"/>
      <c r="H33" s="1874"/>
      <c r="I33" s="1874"/>
      <c r="J33" s="1874"/>
      <c r="K33" s="1874"/>
      <c r="L33" s="1874"/>
      <c r="M33" s="1874"/>
      <c r="N33" s="1875"/>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73"/>
      <c r="F34" s="1874"/>
      <c r="G34" s="1874"/>
      <c r="H34" s="1874"/>
      <c r="I34" s="1874"/>
      <c r="J34" s="1874"/>
      <c r="K34" s="1874"/>
      <c r="L34" s="1874"/>
      <c r="M34" s="1874"/>
      <c r="N34" s="1875"/>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70"/>
      <c r="F35" s="1871"/>
      <c r="G35" s="1871"/>
      <c r="H35" s="1871"/>
      <c r="I35" s="1871"/>
      <c r="J35" s="1871"/>
      <c r="K35" s="1871"/>
      <c r="L35" s="1871"/>
      <c r="M35" s="1871"/>
      <c r="N35" s="1872"/>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70"/>
      <c r="F36" s="1871"/>
      <c r="G36" s="1871"/>
      <c r="H36" s="1871"/>
      <c r="I36" s="1871"/>
      <c r="J36" s="1871"/>
      <c r="K36" s="1871"/>
      <c r="L36" s="1871"/>
      <c r="M36" s="1871"/>
      <c r="N36" s="1872"/>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70"/>
      <c r="F37" s="1871"/>
      <c r="G37" s="1871"/>
      <c r="H37" s="1871"/>
      <c r="I37" s="1871"/>
      <c r="J37" s="1871"/>
      <c r="K37" s="1871"/>
      <c r="L37" s="1871"/>
      <c r="M37" s="1871"/>
      <c r="N37" s="1872"/>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70"/>
      <c r="F38" s="1871"/>
      <c r="G38" s="1871"/>
      <c r="H38" s="1871"/>
      <c r="I38" s="1871"/>
      <c r="J38" s="1871"/>
      <c r="K38" s="1871"/>
      <c r="L38" s="1871"/>
      <c r="M38" s="1871"/>
      <c r="N38" s="1872"/>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70"/>
      <c r="F39" s="1871"/>
      <c r="G39" s="1871"/>
      <c r="H39" s="1871"/>
      <c r="I39" s="1871"/>
      <c r="J39" s="1871"/>
      <c r="K39" s="1871"/>
      <c r="L39" s="1871"/>
      <c r="M39" s="1871"/>
      <c r="N39" s="1872"/>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70"/>
      <c r="F40" s="1871"/>
      <c r="G40" s="1871"/>
      <c r="H40" s="1871"/>
      <c r="I40" s="1871"/>
      <c r="J40" s="1871"/>
      <c r="K40" s="1871"/>
      <c r="L40" s="1871"/>
      <c r="M40" s="1871"/>
      <c r="N40" s="1872"/>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70"/>
      <c r="F41" s="1871"/>
      <c r="G41" s="1871"/>
      <c r="H41" s="1871"/>
      <c r="I41" s="1871"/>
      <c r="J41" s="1871"/>
      <c r="K41" s="1871"/>
      <c r="L41" s="1871"/>
      <c r="M41" s="1871"/>
      <c r="N41" s="1872"/>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70"/>
      <c r="F42" s="1871"/>
      <c r="G42" s="1871"/>
      <c r="H42" s="1871"/>
      <c r="I42" s="1871"/>
      <c r="J42" s="1871"/>
      <c r="K42" s="1871"/>
      <c r="L42" s="1871"/>
      <c r="M42" s="1871"/>
      <c r="N42" s="1872"/>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70"/>
      <c r="F43" s="1871"/>
      <c r="G43" s="1871"/>
      <c r="H43" s="1871"/>
      <c r="I43" s="1871"/>
      <c r="J43" s="1871"/>
      <c r="K43" s="1871"/>
      <c r="L43" s="1871"/>
      <c r="M43" s="1871"/>
      <c r="N43" s="1872"/>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70"/>
      <c r="F44" s="1871"/>
      <c r="G44" s="1871"/>
      <c r="H44" s="1871"/>
      <c r="I44" s="1871"/>
      <c r="J44" s="1871"/>
      <c r="K44" s="1871"/>
      <c r="L44" s="1871"/>
      <c r="M44" s="1871"/>
      <c r="N44" s="1872"/>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70"/>
      <c r="F45" s="1871"/>
      <c r="G45" s="1871"/>
      <c r="H45" s="1871"/>
      <c r="I45" s="1871"/>
      <c r="J45" s="1871"/>
      <c r="K45" s="1871"/>
      <c r="L45" s="1871"/>
      <c r="M45" s="1871"/>
      <c r="N45" s="1872"/>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70"/>
      <c r="F46" s="1871"/>
      <c r="G46" s="1871"/>
      <c r="H46" s="1871"/>
      <c r="I46" s="1871"/>
      <c r="J46" s="1871"/>
      <c r="K46" s="1871"/>
      <c r="L46" s="1871"/>
      <c r="M46" s="1871"/>
      <c r="N46" s="1872"/>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70"/>
      <c r="F47" s="1871"/>
      <c r="G47" s="1871"/>
      <c r="H47" s="1871"/>
      <c r="I47" s="1871"/>
      <c r="J47" s="1871"/>
      <c r="K47" s="1871"/>
      <c r="L47" s="1871"/>
      <c r="M47" s="1871"/>
      <c r="N47" s="1872"/>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70"/>
      <c r="F48" s="1871"/>
      <c r="G48" s="1871"/>
      <c r="H48" s="1871"/>
      <c r="I48" s="1871"/>
      <c r="J48" s="1871"/>
      <c r="K48" s="1871"/>
      <c r="L48" s="1871"/>
      <c r="M48" s="1871"/>
      <c r="N48" s="1872"/>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76"/>
      <c r="F49" s="1877"/>
      <c r="G49" s="1877"/>
      <c r="H49" s="1877"/>
      <c r="I49" s="1877"/>
      <c r="J49" s="1877"/>
      <c r="K49" s="1877"/>
      <c r="L49" s="1877"/>
      <c r="M49" s="1877"/>
      <c r="N49" s="1878"/>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153" priority="1" stopIfTrue="1" operator="equal">
      <formula>""</formula>
    </cfRule>
  </conditionalFormatting>
  <conditionalFormatting sqref="E13:N49">
    <cfRule type="expression" dxfId="1152"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1500"/>
      <c r="C13" s="1501"/>
      <c r="D13" s="1501"/>
      <c r="E13" s="1501"/>
      <c r="F13" s="1501"/>
      <c r="G13" s="1501"/>
      <c r="H13" s="1501"/>
      <c r="I13" s="1501"/>
      <c r="J13" s="1501"/>
      <c r="K13" s="1501"/>
      <c r="L13" s="1501"/>
      <c r="M13" s="1501"/>
      <c r="N13" s="1501"/>
      <c r="O13" s="1502"/>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151" priority="2">
      <formula>OR(A14="Girder",A14="Girders",A14="Joist",A14="Joists",A14="Bridging")</formula>
    </cfRule>
    <cfRule type="expression" dxfId="1150" priority="3">
      <formula>AND(P14&gt;0,ISBLANK(AF14),OR($R$1="",$R$1="M"))</formula>
    </cfRule>
    <cfRule type="expression" dxfId="1149" priority="11">
      <formula>$AH14</formula>
    </cfRule>
  </conditionalFormatting>
  <conditionalFormatting sqref="H2:J4">
    <cfRule type="cellIs" dxfId="1148" priority="9" stopIfTrue="1" operator="equal">
      <formula>""</formula>
    </cfRule>
  </conditionalFormatting>
  <conditionalFormatting sqref="B14:O49">
    <cfRule type="expression" dxfId="1147" priority="4">
      <formula>IF($R$1="M",AND(B14&gt;R14,R14&gt;0),B14&lt;R14)</formula>
    </cfRule>
    <cfRule type="expression" dxfId="1146" priority="7">
      <formula>OR(AND($R$1="M",NOT($S$1),B14=R14),B14="-")</formula>
    </cfRule>
    <cfRule type="expression" dxfId="1145" priority="8">
      <formula>IF(NOT(ISBLANK($R$1)),IF($R$1="M",IF(ISTEXT(B14),0,B14)&lt;R14,IF(ISTEXT(B14),0,B14)&gt;R14))</formula>
    </cfRule>
    <cfRule type="expression" dxfId="1144" priority="10">
      <formula>OR($AH14,B$63)</formula>
    </cfRule>
  </conditionalFormatting>
  <conditionalFormatting sqref="B13:O13">
    <cfRule type="expression" dxfId="1143" priority="1">
      <formula>AND(NOT(ISBLANK(B$13)),ISERROR(MATCH(B$13,$AK:$AK,0)))</formula>
    </cfRule>
    <cfRule type="expression" dxfId="1142"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080" t="str">
        <f>Q1</f>
        <v>Master</v>
      </c>
      <c r="AV1" s="2080"/>
      <c r="AW1" s="2080"/>
      <c r="AX1" s="2080"/>
      <c r="AY1" s="382"/>
      <c r="AZ1" s="382"/>
      <c r="BA1" s="2067" t="s">
        <v>95</v>
      </c>
      <c r="BB1" s="2067"/>
      <c r="BC1" s="2067"/>
      <c r="BD1" s="1835" t="str">
        <f ca="1">'Job Info.'!D12</f>
        <v>775-428-0600</v>
      </c>
      <c r="BE1" s="1835"/>
      <c r="BF1" s="1835"/>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68" t="s">
        <v>40</v>
      </c>
      <c r="HB2" s="2069" t="s">
        <v>130</v>
      </c>
      <c r="HC2" s="2069" t="s">
        <v>31</v>
      </c>
      <c r="HD2" s="2069" t="s">
        <v>25</v>
      </c>
      <c r="HE2" s="2073"/>
      <c r="HF2" s="2079" t="s">
        <v>88</v>
      </c>
      <c r="HG2" s="1969" t="s">
        <v>9</v>
      </c>
      <c r="HH2" s="2077"/>
      <c r="HI2" s="2077"/>
      <c r="HJ2" s="2077" t="s">
        <v>10</v>
      </c>
      <c r="HK2" s="2077"/>
      <c r="HL2" s="1967"/>
      <c r="HM2" s="2071" t="s">
        <v>11</v>
      </c>
      <c r="HN2" s="2072"/>
      <c r="HO2" s="2074" t="s">
        <v>12</v>
      </c>
      <c r="HP2" s="2075"/>
      <c r="HQ2" s="2075" t="s">
        <v>13</v>
      </c>
      <c r="HR2" s="2086"/>
      <c r="HS2" s="2076" t="s">
        <v>14</v>
      </c>
      <c r="HT2" s="2077"/>
      <c r="HU2" s="2077"/>
      <c r="HV2" s="2077"/>
      <c r="HW2" s="2078"/>
      <c r="HX2" s="1969" t="s">
        <v>111</v>
      </c>
      <c r="HY2" s="1967"/>
      <c r="HZ2" s="1116" t="s">
        <v>15</v>
      </c>
      <c r="IA2" s="2116" t="s">
        <v>939</v>
      </c>
      <c r="IB2" s="243"/>
      <c r="IC2" s="243"/>
      <c r="ID2" s="243"/>
      <c r="IE2" s="243"/>
      <c r="IF2" s="1961" t="s">
        <v>62</v>
      </c>
      <c r="IG2" s="1963" t="s">
        <v>32</v>
      </c>
      <c r="IH2" s="1964"/>
      <c r="II2" s="1967" t="s">
        <v>34</v>
      </c>
      <c r="IJ2" s="1968"/>
      <c r="IK2" s="1969"/>
      <c r="IL2" s="1963" t="s">
        <v>35</v>
      </c>
      <c r="IM2" s="1964"/>
      <c r="IN2" s="1970" t="s">
        <v>63</v>
      </c>
      <c r="IO2" s="1972" t="s">
        <v>737</v>
      </c>
      <c r="IP2" s="1973"/>
      <c r="IQ2" s="1973"/>
      <c r="IR2" s="1973"/>
      <c r="IS2" s="1973"/>
      <c r="IT2" s="1974"/>
      <c r="IU2" s="1968" t="s">
        <v>82</v>
      </c>
      <c r="IV2" s="1968"/>
      <c r="IW2" s="1968"/>
      <c r="IX2" s="1968"/>
      <c r="IY2" s="1968"/>
      <c r="IZ2" s="1968"/>
      <c r="JA2" s="1968"/>
      <c r="JB2" s="1968"/>
      <c r="JC2" s="1968"/>
      <c r="JD2" s="1968"/>
      <c r="JE2" s="1968"/>
      <c r="JF2" s="1968"/>
      <c r="JG2" s="1968"/>
      <c r="JH2" s="1968"/>
      <c r="JI2" s="1968"/>
      <c r="JJ2" s="1975"/>
      <c r="JK2" s="195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1998" t="s">
        <v>1107</v>
      </c>
      <c r="FH3" s="1999"/>
      <c r="FI3" s="2000"/>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68"/>
      <c r="HB3" s="2069"/>
      <c r="HC3" s="2069"/>
      <c r="HD3" s="2069"/>
      <c r="HE3" s="2073"/>
      <c r="HF3" s="2079"/>
      <c r="HG3" s="1977" t="s">
        <v>16</v>
      </c>
      <c r="HH3" s="2070"/>
      <c r="HI3" s="1102" t="s">
        <v>732</v>
      </c>
      <c r="HJ3" s="2070" t="s">
        <v>16</v>
      </c>
      <c r="HK3" s="2070"/>
      <c r="HL3" s="1065" t="s">
        <v>732</v>
      </c>
      <c r="HM3" s="1106" t="s">
        <v>18</v>
      </c>
      <c r="HN3" s="461" t="s">
        <v>19</v>
      </c>
      <c r="HO3" s="2074"/>
      <c r="HP3" s="2075"/>
      <c r="HQ3" s="2075"/>
      <c r="HR3" s="2086"/>
      <c r="HS3" s="1980" t="s">
        <v>80</v>
      </c>
      <c r="HT3" s="2070"/>
      <c r="HU3" s="2070" t="s">
        <v>81</v>
      </c>
      <c r="HV3" s="2070"/>
      <c r="HW3" s="461" t="s">
        <v>27</v>
      </c>
      <c r="HX3" s="1101" t="s">
        <v>112</v>
      </c>
      <c r="HY3" s="1065" t="s">
        <v>113</v>
      </c>
      <c r="HZ3" s="1117" t="s">
        <v>57</v>
      </c>
      <c r="IA3" s="2117"/>
      <c r="IB3" s="243"/>
      <c r="IC3" s="243"/>
      <c r="ID3" s="243"/>
      <c r="IE3" s="243"/>
      <c r="IF3" s="1962"/>
      <c r="IG3" s="1965"/>
      <c r="IH3" s="1966"/>
      <c r="II3" s="1102" t="s">
        <v>33</v>
      </c>
      <c r="IJ3" s="1976" t="s">
        <v>16</v>
      </c>
      <c r="IK3" s="1977"/>
      <c r="IL3" s="1965"/>
      <c r="IM3" s="1966"/>
      <c r="IN3" s="1971"/>
      <c r="IO3" s="1118" t="s">
        <v>738</v>
      </c>
      <c r="IP3" s="1103" t="s">
        <v>735</v>
      </c>
      <c r="IQ3" s="1103" t="s">
        <v>736</v>
      </c>
      <c r="IR3" s="1107" t="s">
        <v>60</v>
      </c>
      <c r="IS3" s="1105" t="s">
        <v>739</v>
      </c>
      <c r="IT3" s="1119" t="s">
        <v>740</v>
      </c>
      <c r="IU3" s="1978" t="s">
        <v>58</v>
      </c>
      <c r="IV3" s="1977"/>
      <c r="IW3" s="1120" t="s">
        <v>63</v>
      </c>
      <c r="IX3" s="1121" t="s">
        <v>59</v>
      </c>
      <c r="IY3" s="1979" t="s">
        <v>58</v>
      </c>
      <c r="IZ3" s="1980"/>
      <c r="JA3" s="1120" t="s">
        <v>63</v>
      </c>
      <c r="JB3" s="1121" t="s">
        <v>59</v>
      </c>
      <c r="JC3" s="1979" t="s">
        <v>58</v>
      </c>
      <c r="JD3" s="1980"/>
      <c r="JE3" s="1120" t="s">
        <v>63</v>
      </c>
      <c r="JF3" s="1121" t="s">
        <v>59</v>
      </c>
      <c r="JG3" s="1979" t="s">
        <v>58</v>
      </c>
      <c r="JH3" s="1980"/>
      <c r="JI3" s="1120" t="s">
        <v>63</v>
      </c>
      <c r="JJ3" s="1121" t="s">
        <v>59</v>
      </c>
      <c r="JK3" s="195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81" t="str">
        <f>Q4</f>
        <v/>
      </c>
      <c r="AV4" s="2082"/>
      <c r="AW4" s="2082"/>
      <c r="AX4" s="2083"/>
      <c r="AY4" s="382"/>
      <c r="AZ4" s="382"/>
      <c r="BA4" s="2067" t="s">
        <v>97</v>
      </c>
      <c r="BB4" s="2067"/>
      <c r="BC4" s="2067"/>
      <c r="BD4" s="1835" t="str">
        <f ca="1">'Job Info.'!D15</f>
        <v>775-867-2060</v>
      </c>
      <c r="BE4" s="1835"/>
      <c r="BF4" s="1835"/>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94" t="s">
        <v>597</v>
      </c>
      <c r="HB4" s="2114" t="s">
        <v>130</v>
      </c>
      <c r="HC4" s="2186" t="s">
        <v>478</v>
      </c>
      <c r="HD4" s="2188" t="s">
        <v>479</v>
      </c>
      <c r="HE4" s="2189"/>
      <c r="HF4" s="2112" t="s">
        <v>611</v>
      </c>
      <c r="HG4" s="2088" t="s">
        <v>595</v>
      </c>
      <c r="HH4" s="2089"/>
      <c r="HI4" s="2088" t="s">
        <v>596</v>
      </c>
      <c r="HJ4" s="2089"/>
      <c r="HK4" s="2092" t="s">
        <v>488</v>
      </c>
      <c r="HL4" s="2096" t="s">
        <v>612</v>
      </c>
      <c r="HM4" s="2112" t="s">
        <v>611</v>
      </c>
      <c r="HN4" s="2088" t="s">
        <v>595</v>
      </c>
      <c r="HO4" s="2089"/>
      <c r="HP4" s="2088" t="s">
        <v>596</v>
      </c>
      <c r="HQ4" s="2089"/>
      <c r="HR4" s="2092" t="s">
        <v>488</v>
      </c>
      <c r="HS4" s="2096" t="s">
        <v>612</v>
      </c>
      <c r="HT4" s="2253" t="s">
        <v>552</v>
      </c>
      <c r="HU4" s="2100" t="s">
        <v>480</v>
      </c>
      <c r="HV4" s="2101"/>
      <c r="HW4" s="2102" t="s">
        <v>1155</v>
      </c>
      <c r="HX4" s="2102" t="s">
        <v>481</v>
      </c>
      <c r="HY4" s="2248" t="s">
        <v>636</v>
      </c>
      <c r="HZ4" s="2250" t="s">
        <v>637</v>
      </c>
      <c r="IA4" s="2252" t="s">
        <v>805</v>
      </c>
      <c r="IB4" s="2252"/>
      <c r="IC4" s="2111" t="s">
        <v>1021</v>
      </c>
      <c r="ID4" s="2111"/>
      <c r="IE4" s="243"/>
      <c r="IF4" s="1981" t="s">
        <v>1062</v>
      </c>
      <c r="IG4" s="1983" t="s">
        <v>32</v>
      </c>
      <c r="IH4" s="1984"/>
      <c r="II4" s="1987" t="s">
        <v>34</v>
      </c>
      <c r="IJ4" s="1989" t="s">
        <v>489</v>
      </c>
      <c r="IK4" s="1990"/>
      <c r="IL4" s="1959" t="s">
        <v>600</v>
      </c>
      <c r="IM4" s="1959" t="s">
        <v>601</v>
      </c>
      <c r="IN4" s="1990" t="s">
        <v>602</v>
      </c>
      <c r="IO4" s="1990" t="s">
        <v>603</v>
      </c>
      <c r="IP4" s="1990" t="s">
        <v>604</v>
      </c>
      <c r="IQ4" s="1993" t="s">
        <v>605</v>
      </c>
      <c r="IR4" s="1994"/>
      <c r="IS4" s="1995" t="s">
        <v>598</v>
      </c>
      <c r="IT4" s="1996"/>
      <c r="IU4" s="1987" t="s">
        <v>609</v>
      </c>
      <c r="IV4" s="1997" t="s">
        <v>599</v>
      </c>
      <c r="IW4" s="1995" t="s">
        <v>598</v>
      </c>
      <c r="IX4" s="1996"/>
      <c r="IY4" s="1987" t="s">
        <v>609</v>
      </c>
      <c r="IZ4" s="1997" t="s">
        <v>599</v>
      </c>
      <c r="JA4" s="1995" t="s">
        <v>598</v>
      </c>
      <c r="JB4" s="1996"/>
      <c r="JC4" s="1987" t="s">
        <v>609</v>
      </c>
      <c r="JD4" s="1997" t="s">
        <v>599</v>
      </c>
      <c r="JE4" s="1995" t="s">
        <v>598</v>
      </c>
      <c r="JF4" s="1996"/>
      <c r="JG4" s="1987" t="s">
        <v>609</v>
      </c>
      <c r="JH4" s="1957" t="s">
        <v>599</v>
      </c>
      <c r="JK4" s="1957" t="s">
        <v>1160</v>
      </c>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084"/>
      <c r="AD5" s="2084"/>
      <c r="AE5" s="2084"/>
      <c r="AF5" s="2084"/>
      <c r="AG5" s="2084"/>
      <c r="AH5" s="2084"/>
      <c r="AI5" s="2084"/>
      <c r="AJ5" s="2084"/>
      <c r="AK5" s="2084"/>
      <c r="AL5" s="2084"/>
      <c r="AM5" s="2084"/>
      <c r="AN5" s="2084"/>
      <c r="AO5" s="2084"/>
      <c r="AP5" s="2084"/>
      <c r="AQ5" s="2084"/>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95"/>
      <c r="HB5" s="2115"/>
      <c r="HC5" s="2187"/>
      <c r="HD5" s="2190"/>
      <c r="HE5" s="2191"/>
      <c r="HF5" s="2113"/>
      <c r="HG5" s="2090"/>
      <c r="HH5" s="2091"/>
      <c r="HI5" s="2090"/>
      <c r="HJ5" s="2091"/>
      <c r="HK5" s="2093"/>
      <c r="HL5" s="2097"/>
      <c r="HM5" s="2113"/>
      <c r="HN5" s="2090"/>
      <c r="HO5" s="2091"/>
      <c r="HP5" s="2090"/>
      <c r="HQ5" s="2091"/>
      <c r="HR5" s="2093"/>
      <c r="HS5" s="2097"/>
      <c r="HT5" s="2191"/>
      <c r="HU5" s="128" t="s">
        <v>418</v>
      </c>
      <c r="HV5" s="129" t="s">
        <v>553</v>
      </c>
      <c r="HW5" s="2103"/>
      <c r="HX5" s="2103"/>
      <c r="HY5" s="2249"/>
      <c r="HZ5" s="2251"/>
      <c r="IA5" s="810" t="s">
        <v>606</v>
      </c>
      <c r="IB5" s="811" t="s">
        <v>607</v>
      </c>
      <c r="IC5" s="496" t="s">
        <v>606</v>
      </c>
      <c r="ID5" s="497" t="s">
        <v>607</v>
      </c>
      <c r="IE5" s="243"/>
      <c r="IF5" s="1982"/>
      <c r="IG5" s="1985"/>
      <c r="IH5" s="1986"/>
      <c r="II5" s="1988"/>
      <c r="IJ5" s="1991"/>
      <c r="IK5" s="1992"/>
      <c r="IL5" s="1960"/>
      <c r="IM5" s="1960"/>
      <c r="IN5" s="1992"/>
      <c r="IO5" s="1992"/>
      <c r="IP5" s="1992"/>
      <c r="IQ5" s="520" t="s">
        <v>606</v>
      </c>
      <c r="IR5" s="521" t="s">
        <v>607</v>
      </c>
      <c r="IS5" s="545" t="s">
        <v>633</v>
      </c>
      <c r="IT5" s="546" t="s">
        <v>608</v>
      </c>
      <c r="IU5" s="1988"/>
      <c r="IV5" s="1989"/>
      <c r="IW5" s="545" t="s">
        <v>633</v>
      </c>
      <c r="IX5" s="546" t="s">
        <v>608</v>
      </c>
      <c r="IY5" s="1988"/>
      <c r="IZ5" s="1989"/>
      <c r="JA5" s="545" t="s">
        <v>633</v>
      </c>
      <c r="JB5" s="546" t="s">
        <v>608</v>
      </c>
      <c r="JC5" s="1988"/>
      <c r="JD5" s="1989"/>
      <c r="JE5" s="545" t="s">
        <v>633</v>
      </c>
      <c r="JF5" s="546" t="s">
        <v>608</v>
      </c>
      <c r="JG5" s="1988"/>
      <c r="JH5" s="1958"/>
      <c r="JK5" s="195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18" t="s">
        <v>639</v>
      </c>
      <c r="DI6" s="2019"/>
      <c r="DJ6" s="2019"/>
      <c r="DK6" s="2019"/>
      <c r="DL6" s="2019"/>
      <c r="DM6" s="2019"/>
      <c r="DN6" s="2019"/>
      <c r="DO6" s="2019"/>
      <c r="DP6" s="2019"/>
      <c r="DQ6" s="2019"/>
      <c r="DR6" s="2019"/>
      <c r="DS6" s="2019"/>
      <c r="DT6" s="2019"/>
      <c r="DU6" s="2019"/>
      <c r="DV6" s="2019"/>
      <c r="DW6" s="2019"/>
      <c r="DX6" s="2019"/>
      <c r="DY6" s="2019"/>
      <c r="DZ6" s="2019"/>
      <c r="EA6" s="2019"/>
      <c r="EB6" s="2019"/>
      <c r="EC6" s="2019"/>
      <c r="ED6" s="2019"/>
      <c r="EE6" s="2019"/>
      <c r="EF6" s="2019"/>
      <c r="EG6" s="2019"/>
      <c r="EH6" s="2019"/>
      <c r="EI6" s="2019"/>
      <c r="EJ6" s="2019"/>
      <c r="EK6" s="2020"/>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60" t="s">
        <v>26</v>
      </c>
      <c r="L7" s="2061"/>
      <c r="M7" s="2065" t="str">
        <f>IF(ISBLANK(DA20),"",DA20)</f>
        <v/>
      </c>
      <c r="N7" s="1924"/>
      <c r="O7" s="1924"/>
      <c r="P7" s="1924"/>
      <c r="Q7" s="1924"/>
      <c r="R7" s="1924"/>
      <c r="S7" s="1924"/>
      <c r="T7"/>
      <c r="U7"/>
      <c r="V7" s="2060" t="s">
        <v>21</v>
      </c>
      <c r="W7" s="206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21"/>
      <c r="DI7" s="2022"/>
      <c r="DJ7" s="2022"/>
      <c r="DK7" s="2022"/>
      <c r="DL7" s="2022"/>
      <c r="DM7" s="2022"/>
      <c r="DN7" s="2022"/>
      <c r="DO7" s="2022"/>
      <c r="DP7" s="2022"/>
      <c r="DQ7" s="2022"/>
      <c r="DR7" s="2022"/>
      <c r="DS7" s="2022"/>
      <c r="DT7" s="2022"/>
      <c r="DU7" s="2022"/>
      <c r="DV7" s="2022"/>
      <c r="DW7" s="2022"/>
      <c r="DX7" s="2022"/>
      <c r="DY7" s="2022"/>
      <c r="DZ7" s="2022"/>
      <c r="EA7" s="2022"/>
      <c r="EB7" s="2022"/>
      <c r="EC7" s="2022"/>
      <c r="ED7" s="2022"/>
      <c r="EE7" s="2022"/>
      <c r="EF7" s="2022"/>
      <c r="EG7" s="2022"/>
      <c r="EH7" s="2022"/>
      <c r="EI7" s="2022"/>
      <c r="EJ7" s="2022"/>
      <c r="EK7" s="2023"/>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064"/>
      <c r="B8" s="2064"/>
      <c r="C8" s="2064"/>
      <c r="D8" s="2064"/>
      <c r="E8" s="2064"/>
      <c r="F8" s="2064"/>
      <c r="G8" s="2064"/>
      <c r="H8" s="2064"/>
      <c r="I8" s="2064"/>
      <c r="J8" s="2064"/>
      <c r="K8" s="2064"/>
      <c r="L8" s="2064"/>
      <c r="M8" s="2064"/>
      <c r="N8" s="2064"/>
      <c r="O8" s="2064"/>
      <c r="P8" s="2064"/>
      <c r="Q8" s="2064"/>
      <c r="R8" s="2064"/>
      <c r="S8" s="2064"/>
      <c r="T8" s="2064"/>
      <c r="U8" s="2064"/>
      <c r="V8" s="2064"/>
      <c r="W8" s="2064"/>
      <c r="X8" s="2064"/>
      <c r="Y8" s="2064"/>
      <c r="Z8" s="2064"/>
      <c r="AA8" s="2064"/>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24"/>
      <c r="DI8" s="2025"/>
      <c r="DJ8" s="2025"/>
      <c r="DK8" s="2025"/>
      <c r="DL8" s="2025"/>
      <c r="DM8" s="2025"/>
      <c r="DN8" s="2025"/>
      <c r="DO8" s="2025"/>
      <c r="DP8" s="2025"/>
      <c r="DQ8" s="2025"/>
      <c r="DR8" s="2025"/>
      <c r="DS8" s="2025"/>
      <c r="DT8" s="2025"/>
      <c r="DU8" s="2025"/>
      <c r="DV8" s="2025"/>
      <c r="DW8" s="2025"/>
      <c r="DX8" s="2025"/>
      <c r="DY8" s="2025"/>
      <c r="DZ8" s="2025"/>
      <c r="EA8" s="2025"/>
      <c r="EB8" s="2025"/>
      <c r="EC8" s="2025"/>
      <c r="ED8" s="2025"/>
      <c r="EE8" s="2025"/>
      <c r="EF8" s="2025"/>
      <c r="EG8" s="2025"/>
      <c r="EH8" s="2025"/>
      <c r="EI8" s="2025"/>
      <c r="EJ8" s="2025"/>
      <c r="EK8" s="2026"/>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059"/>
      <c r="AD9" s="1901"/>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8" t="str">
        <f>T9</f>
        <v>NN22-0071</v>
      </c>
      <c r="AY9" s="1808"/>
      <c r="AZ9" s="1808"/>
      <c r="BA9" s="1808"/>
      <c r="BB9" s="1808"/>
      <c r="BC9" s="1808"/>
      <c r="BD9" s="1808"/>
      <c r="BE9" s="1808"/>
      <c r="BF9" s="1808"/>
      <c r="BG9" s="1809"/>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059"/>
      <c r="AD10" s="1901"/>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8" t="str">
        <f>Z10</f>
        <v>NR</v>
      </c>
      <c r="BF10" s="1808"/>
      <c r="BG10" s="1809"/>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005"/>
      <c r="DI11" s="1955"/>
      <c r="DJ11" s="1931"/>
      <c r="DK11" s="1931"/>
      <c r="DL11" s="1931"/>
      <c r="DM11" s="1931"/>
      <c r="DN11" s="1956"/>
      <c r="DO11" s="2002"/>
      <c r="DP11" s="191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1968" t="s">
        <v>82</v>
      </c>
      <c r="AS12" s="1968"/>
      <c r="AT12" s="1968"/>
      <c r="AU12" s="1968"/>
      <c r="AV12" s="1968"/>
      <c r="AW12" s="1968"/>
      <c r="AX12" s="1968"/>
      <c r="AY12" s="1968"/>
      <c r="AZ12" s="1968"/>
      <c r="BA12" s="1968"/>
      <c r="BB12" s="1968"/>
      <c r="BC12" s="1968"/>
      <c r="BD12" s="1968"/>
      <c r="BE12" s="1968"/>
      <c r="BF12" s="1968"/>
      <c r="BG12" s="1975"/>
      <c r="BH12" s="261"/>
      <c r="BJ12" s="117"/>
      <c r="BK12" s="117"/>
      <c r="BL12" s="117"/>
      <c r="BM12" s="117"/>
      <c r="BN12" s="117"/>
      <c r="BO12" s="117"/>
      <c r="BW12" s="2039" t="s">
        <v>630</v>
      </c>
      <c r="BX12" s="2040"/>
      <c r="BY12" s="2040"/>
      <c r="BZ12" s="2041"/>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005"/>
      <c r="DI12" s="2011" t="s">
        <v>1289</v>
      </c>
      <c r="DJ12" s="1983" t="s">
        <v>32</v>
      </c>
      <c r="DK12" s="1984"/>
      <c r="DL12" s="1987" t="s">
        <v>34</v>
      </c>
      <c r="DM12" s="1989" t="s">
        <v>489</v>
      </c>
      <c r="DN12" s="1990"/>
      <c r="DO12" s="2002"/>
      <c r="DP12" s="1919"/>
      <c r="DQ12" s="2013" t="s">
        <v>602</v>
      </c>
      <c r="DR12" s="1921"/>
      <c r="DS12" s="2013" t="s">
        <v>604</v>
      </c>
      <c r="DT12" s="2015" t="s">
        <v>605</v>
      </c>
      <c r="DU12" s="2016"/>
      <c r="DV12" s="1995" t="s">
        <v>598</v>
      </c>
      <c r="DW12" s="1996"/>
      <c r="DX12" s="2007" t="s">
        <v>1287</v>
      </c>
      <c r="DY12" s="2009" t="s">
        <v>1288</v>
      </c>
      <c r="DZ12" s="1995" t="s">
        <v>598</v>
      </c>
      <c r="EA12" s="1996"/>
      <c r="EB12" s="2007" t="s">
        <v>1287</v>
      </c>
      <c r="EC12" s="2009" t="s">
        <v>1288</v>
      </c>
      <c r="ED12" s="1995" t="s">
        <v>598</v>
      </c>
      <c r="EE12" s="1996"/>
      <c r="EF12" s="2007" t="s">
        <v>1287</v>
      </c>
      <c r="EG12" s="2009" t="s">
        <v>1288</v>
      </c>
      <c r="EH12" s="1995" t="s">
        <v>598</v>
      </c>
      <c r="EI12" s="1996"/>
      <c r="EJ12" s="2007" t="s">
        <v>1287</v>
      </c>
      <c r="EK12" s="2194" t="s">
        <v>1288</v>
      </c>
      <c r="EL12" s="141"/>
      <c r="EM12" s="2017"/>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68"/>
      <c r="AC13" s="1962"/>
      <c r="AD13" s="1965"/>
      <c r="AE13" s="1966"/>
      <c r="AF13" s="1102" t="s">
        <v>33</v>
      </c>
      <c r="AG13" s="1976" t="s">
        <v>16</v>
      </c>
      <c r="AH13" s="1977"/>
      <c r="AI13" s="1965"/>
      <c r="AJ13" s="1966"/>
      <c r="AK13" s="1971"/>
      <c r="AL13" s="1118" t="s">
        <v>738</v>
      </c>
      <c r="AM13" s="1103" t="s">
        <v>735</v>
      </c>
      <c r="AN13" s="1103" t="s">
        <v>736</v>
      </c>
      <c r="AO13" s="1107"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006"/>
      <c r="DI13" s="2012"/>
      <c r="DJ13" s="1985"/>
      <c r="DK13" s="1986"/>
      <c r="DL13" s="1988"/>
      <c r="DM13" s="1991"/>
      <c r="DN13" s="1992"/>
      <c r="DO13" s="2003"/>
      <c r="DP13" s="192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141"/>
      <c r="EM13" s="2017"/>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170" t="s">
        <v>622</v>
      </c>
      <c r="HB15" s="1915"/>
      <c r="HC15" s="1915"/>
      <c r="HD15" s="1915"/>
      <c r="HE15" s="1915"/>
      <c r="HF15" s="1915"/>
      <c r="HG15" s="1915"/>
      <c r="HH15" s="1915"/>
      <c r="HI15" s="1915"/>
      <c r="HJ15" s="1915"/>
      <c r="HK15" s="1915"/>
      <c r="HL15" s="1915"/>
      <c r="HM15" s="1915"/>
      <c r="HN15" s="1915"/>
      <c r="HO15" s="1915"/>
      <c r="HP15" s="1915"/>
      <c r="HQ15" s="1915"/>
      <c r="HR15" s="1915"/>
      <c r="HS15" s="1915"/>
      <c r="HT15" s="1915"/>
      <c r="HU15" s="1915"/>
      <c r="HV15" s="1915"/>
      <c r="HW15" s="1915"/>
      <c r="HX15" s="1916"/>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171"/>
      <c r="HB16" s="1868"/>
      <c r="HC16" s="1868"/>
      <c r="HD16" s="1868"/>
      <c r="HE16" s="1868"/>
      <c r="HF16" s="1868"/>
      <c r="HG16" s="1868"/>
      <c r="HH16" s="1868"/>
      <c r="HI16" s="1868"/>
      <c r="HJ16" s="1868"/>
      <c r="HK16" s="1868"/>
      <c r="HL16" s="1868"/>
      <c r="HM16" s="1868"/>
      <c r="HN16" s="1868"/>
      <c r="HO16" s="1868"/>
      <c r="HP16" s="1868"/>
      <c r="HQ16" s="1868"/>
      <c r="HR16" s="1868"/>
      <c r="HS16" s="1868"/>
      <c r="HT16" s="1868"/>
      <c r="HU16" s="1868"/>
      <c r="HV16" s="1868"/>
      <c r="HW16" s="1868"/>
      <c r="HX16" s="1918"/>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172"/>
      <c r="HB17" s="2173"/>
      <c r="HC17" s="2173"/>
      <c r="HD17" s="2173"/>
      <c r="HE17" s="2173"/>
      <c r="HF17" s="2173"/>
      <c r="HG17" s="2173"/>
      <c r="HH17" s="2173"/>
      <c r="HI17" s="2173"/>
      <c r="HJ17" s="2173"/>
      <c r="HK17" s="2173"/>
      <c r="HL17" s="2173"/>
      <c r="HM17" s="2173"/>
      <c r="HN17" s="2173"/>
      <c r="HO17" s="2173"/>
      <c r="HP17" s="2173"/>
      <c r="HQ17" s="2173"/>
      <c r="HR17" s="2173"/>
      <c r="HS17" s="2173"/>
      <c r="HT17" s="2173"/>
      <c r="HU17" s="2173"/>
      <c r="HV17" s="2173"/>
      <c r="HW17" s="2173"/>
      <c r="HX17" s="2174"/>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1923"/>
      <c r="DB20" s="192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018" t="s">
        <v>638</v>
      </c>
      <c r="CC22" s="2033"/>
      <c r="CD22" s="2033"/>
      <c r="CE22" s="2033"/>
      <c r="CF22" s="2033"/>
      <c r="CG22" s="2033"/>
      <c r="CH22" s="2033"/>
      <c r="CI22" s="2033"/>
      <c r="CJ22" s="2033"/>
      <c r="CK22" s="2033"/>
      <c r="CL22" s="2033"/>
      <c r="CM22" s="2033"/>
      <c r="CN22" s="2033"/>
      <c r="CO22" s="2033"/>
      <c r="CP22" s="2033"/>
      <c r="CQ22" s="2033"/>
      <c r="CR22" s="2033"/>
      <c r="CS22" s="2033"/>
      <c r="CT22" s="2033"/>
      <c r="CU22" s="2033"/>
      <c r="CV22" s="2033"/>
      <c r="CW22" s="2033"/>
      <c r="CX22" s="2033"/>
      <c r="CY22" s="2033"/>
      <c r="CZ22" s="1927"/>
      <c r="DA22" s="1927"/>
      <c r="DB22" s="1927"/>
      <c r="DC22" s="1927"/>
      <c r="DD22" s="1927"/>
      <c r="DE22" s="1928"/>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034"/>
      <c r="CC23" s="2035"/>
      <c r="CD23" s="2035"/>
      <c r="CE23" s="2035"/>
      <c r="CF23" s="2035"/>
      <c r="CG23" s="2035"/>
      <c r="CH23" s="2035"/>
      <c r="CI23" s="2035"/>
      <c r="CJ23" s="2035"/>
      <c r="CK23" s="2035"/>
      <c r="CL23" s="2035"/>
      <c r="CM23" s="2035"/>
      <c r="CN23" s="2035"/>
      <c r="CO23" s="2035"/>
      <c r="CP23" s="2035"/>
      <c r="CQ23" s="2035"/>
      <c r="CR23" s="2035"/>
      <c r="CS23" s="2035"/>
      <c r="CT23" s="2035"/>
      <c r="CU23" s="2035"/>
      <c r="CV23" s="2035"/>
      <c r="CW23" s="2035"/>
      <c r="CX23" s="2035"/>
      <c r="CY23" s="2035"/>
      <c r="CZ23" s="1931"/>
      <c r="DA23" s="1931"/>
      <c r="DB23" s="1931"/>
      <c r="DC23" s="1931"/>
      <c r="DD23" s="1931"/>
      <c r="DE23" s="1932"/>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87">
        <f>B48+B49</f>
        <v>0</v>
      </c>
      <c r="Y24" s="2087"/>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1933"/>
      <c r="CC24" s="1931"/>
      <c r="CD24" s="1931"/>
      <c r="CE24" s="1931"/>
      <c r="CF24" s="1932"/>
      <c r="CG24" s="1925" t="s">
        <v>469</v>
      </c>
      <c r="CH24" s="1926"/>
      <c r="CI24" s="1926"/>
      <c r="CJ24" s="1926"/>
      <c r="CK24" s="1926"/>
      <c r="CL24" s="1926"/>
      <c r="CM24" s="1926"/>
      <c r="CN24" s="1927"/>
      <c r="CO24" s="1927"/>
      <c r="CP24" s="1928"/>
      <c r="CQ24" s="1925" t="s">
        <v>470</v>
      </c>
      <c r="CR24" s="1926"/>
      <c r="CS24" s="1926"/>
      <c r="CT24" s="1926"/>
      <c r="CU24" s="1926"/>
      <c r="CV24" s="1926"/>
      <c r="CW24" s="1926"/>
      <c r="CX24" s="1927"/>
      <c r="CY24" s="1927"/>
      <c r="CZ24" s="1928"/>
      <c r="DA24" s="1576"/>
      <c r="DB24" s="1951"/>
      <c r="DC24" s="1952"/>
      <c r="DD24" s="1952"/>
      <c r="DE24" s="1953"/>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04" t="s">
        <v>615</v>
      </c>
      <c r="EU24" s="2105"/>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1934"/>
      <c r="CC25" s="1935"/>
      <c r="CD25" s="1935"/>
      <c r="CE25" s="1935"/>
      <c r="CF25" s="1936"/>
      <c r="CG25" s="1929"/>
      <c r="CH25" s="1930"/>
      <c r="CI25" s="1930"/>
      <c r="CJ25" s="1930"/>
      <c r="CK25" s="1930"/>
      <c r="CL25" s="1930"/>
      <c r="CM25" s="1930"/>
      <c r="CN25" s="1931"/>
      <c r="CO25" s="1931"/>
      <c r="CP25" s="1932"/>
      <c r="CQ25" s="1943"/>
      <c r="CR25" s="1944"/>
      <c r="CS25" s="1944"/>
      <c r="CT25" s="1944"/>
      <c r="CU25" s="1944"/>
      <c r="CV25" s="1944"/>
      <c r="CW25" s="1944"/>
      <c r="CX25" s="1945"/>
      <c r="CY25" s="1945"/>
      <c r="CZ25" s="1946"/>
      <c r="DA25" s="1576"/>
      <c r="DB25" s="1947"/>
      <c r="DC25" s="1928"/>
      <c r="DD25" s="1949"/>
      <c r="DE25" s="1950"/>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06"/>
      <c r="EU25" s="2107"/>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2245" t="s">
        <v>1140</v>
      </c>
      <c r="GB25" s="2245"/>
      <c r="GC25" s="2245"/>
      <c r="GD25" s="2245"/>
      <c r="GE25" s="2245"/>
      <c r="GF25" s="2245"/>
      <c r="GG25" s="1931"/>
      <c r="GH25" s="1931"/>
      <c r="GI25" s="1931"/>
      <c r="GJ25" s="1931"/>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2068" t="s">
        <v>40</v>
      </c>
      <c r="B26" s="2069" t="s">
        <v>130</v>
      </c>
      <c r="C26" s="2069" t="s">
        <v>31</v>
      </c>
      <c r="D26" s="2069" t="s">
        <v>25</v>
      </c>
      <c r="E26" s="2073"/>
      <c r="F26" s="2079" t="s">
        <v>88</v>
      </c>
      <c r="G26" s="1969" t="s">
        <v>9</v>
      </c>
      <c r="H26" s="2077"/>
      <c r="I26" s="2077"/>
      <c r="J26" s="2077" t="s">
        <v>10</v>
      </c>
      <c r="K26" s="2077"/>
      <c r="L26" s="1967"/>
      <c r="M26" s="2071" t="s">
        <v>11</v>
      </c>
      <c r="N26" s="2072"/>
      <c r="O26" s="2074" t="s">
        <v>12</v>
      </c>
      <c r="P26" s="2075"/>
      <c r="Q26" s="2075" t="s">
        <v>13</v>
      </c>
      <c r="R26" s="2086"/>
      <c r="S26" s="2076" t="s">
        <v>14</v>
      </c>
      <c r="T26" s="2077"/>
      <c r="U26" s="2077"/>
      <c r="V26" s="2077"/>
      <c r="W26" s="2078"/>
      <c r="X26" s="1969" t="s">
        <v>111</v>
      </c>
      <c r="Y26" s="1967"/>
      <c r="Z26" s="1116" t="s">
        <v>15</v>
      </c>
      <c r="AA26" s="2116"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127" t="s">
        <v>613</v>
      </c>
      <c r="CC26" s="2058" t="s">
        <v>130</v>
      </c>
      <c r="CD26" s="2129" t="s">
        <v>478</v>
      </c>
      <c r="CE26" s="2052" t="s">
        <v>1291</v>
      </c>
      <c r="CF26" s="2053"/>
      <c r="CG26" s="2220" t="s">
        <v>1282</v>
      </c>
      <c r="CH26" s="2222" t="s">
        <v>595</v>
      </c>
      <c r="CI26" s="2223"/>
      <c r="CJ26" s="2222" t="s">
        <v>596</v>
      </c>
      <c r="CK26" s="2223"/>
      <c r="CL26" s="2238" t="s">
        <v>488</v>
      </c>
      <c r="CM26" s="2240" t="s">
        <v>790</v>
      </c>
      <c r="CN26" s="1937" t="s">
        <v>1276</v>
      </c>
      <c r="CO26" s="1938"/>
      <c r="CP26" s="1939"/>
      <c r="CQ26" s="2226" t="s">
        <v>1282</v>
      </c>
      <c r="CR26" s="2228" t="s">
        <v>595</v>
      </c>
      <c r="CS26" s="2229"/>
      <c r="CT26" s="2228" t="s">
        <v>596</v>
      </c>
      <c r="CU26" s="2229"/>
      <c r="CV26" s="2056" t="s">
        <v>488</v>
      </c>
      <c r="CW26" s="2236" t="s">
        <v>790</v>
      </c>
      <c r="CX26" s="1940" t="s">
        <v>1276</v>
      </c>
      <c r="CY26" s="1941"/>
      <c r="CZ26" s="1942"/>
      <c r="DA26" s="2218" t="s">
        <v>806</v>
      </c>
      <c r="DB26" s="1948"/>
      <c r="DC26" s="1932"/>
      <c r="DD26" s="2233" t="s">
        <v>1284</v>
      </c>
      <c r="DE26" s="2235"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2196" t="s">
        <v>613</v>
      </c>
      <c r="EN26" s="2243" t="s">
        <v>588</v>
      </c>
      <c r="EO26" s="2244"/>
      <c r="EP26" s="2244"/>
      <c r="EQ26" s="2196" t="s">
        <v>589</v>
      </c>
      <c r="ER26" s="2231" t="s">
        <v>1286</v>
      </c>
      <c r="ES26" s="2232"/>
      <c r="ET26" s="2108"/>
      <c r="EU26" s="2109"/>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118" t="s">
        <v>708</v>
      </c>
      <c r="GB26" s="2119"/>
      <c r="GC26" s="2118" t="s">
        <v>558</v>
      </c>
      <c r="GD26" s="2119"/>
      <c r="GE26" s="2120" t="s">
        <v>711</v>
      </c>
      <c r="GF26" s="2122" t="s">
        <v>632</v>
      </c>
      <c r="GG26" s="2118" t="s">
        <v>1142</v>
      </c>
      <c r="GH26" s="2119"/>
      <c r="GI26" s="2118" t="s">
        <v>1141</v>
      </c>
      <c r="GJ26" s="2119"/>
      <c r="GK26" s="2123" t="s">
        <v>712</v>
      </c>
      <c r="GL26" s="2123" t="s">
        <v>713</v>
      </c>
      <c r="GM26" s="2123" t="s">
        <v>714</v>
      </c>
      <c r="GZ26" s="145"/>
      <c r="HA26" s="2175" t="s">
        <v>632</v>
      </c>
      <c r="HB26" s="2177" t="s">
        <v>1134</v>
      </c>
      <c r="HC26" s="2177" t="s">
        <v>1159</v>
      </c>
      <c r="HD26" s="2177" t="str">
        <f>IF($HA$1,"Bay Length","Overall Length")</f>
        <v>Overall Length</v>
      </c>
      <c r="HE26" s="2192"/>
      <c r="HF26" s="2177" t="str">
        <f>IF($HA$1,"L Sect #","TC Width")</f>
        <v>TC Width</v>
      </c>
      <c r="HG26" s="2185" t="str">
        <f>IF($HA$1,"L Min Sup Wid","TCXL Feet")</f>
        <v>TCXL Feet</v>
      </c>
      <c r="HH26" s="2185" t="str">
        <f>IF($HA$1,"L Max Sup Wid","TCXL Inch")</f>
        <v>TCXL Inch</v>
      </c>
      <c r="HI26" s="2185" t="str">
        <f>IF($HA$1,"L Min Flg Ga","TCXL Type")</f>
        <v>TCXL Type</v>
      </c>
      <c r="HJ26" s="2185" t="str">
        <f>IF($HA$1,"L Max Flg Ga","TCXR Feet")</f>
        <v>TCXR Feet</v>
      </c>
      <c r="HK26" s="2185" t="str">
        <f>IF($HA$1,"L Skew","TCXR Inch")</f>
        <v>TCXR Inch</v>
      </c>
      <c r="HL26" s="2185" t="str">
        <f>IF($HA$1,"L Brg Slp","TCXR Type")</f>
        <v>TCXR Type</v>
      </c>
      <c r="HM26" s="2177" t="str">
        <f>IF($HA$1,"R Sect #","BDL")</f>
        <v>BDL</v>
      </c>
      <c r="HN26" s="2185" t="str">
        <f>IF($HA$1,"R Min Sup Wid","BDR")</f>
        <v>BDR</v>
      </c>
      <c r="HO26" s="2185" t="str">
        <f>IF($HA$1,"R Max Sup Wid","BCXL Feet")</f>
        <v>BCXL Feet</v>
      </c>
      <c r="HP26" s="2185" t="str">
        <f>IF($HA$1,"R Min Flg Ga","BCXL Inch")</f>
        <v>BCXL Inch</v>
      </c>
      <c r="HQ26" s="2185" t="str">
        <f>IF($HA$1,"R Max Flg Ga","BCXR Feet")</f>
        <v>BCXR Feet</v>
      </c>
      <c r="HR26" s="2185" t="str">
        <f>IF($HA$1,"R Skew","BCXR Inch")</f>
        <v>BCXR Inch</v>
      </c>
      <c r="HS26" s="2185" t="str">
        <f>IF($HA$1,"R Brg Slp","HL Feet")</f>
        <v>HL Feet</v>
      </c>
      <c r="HT26" s="2185" t="str">
        <f>IF($HA$1,"TC Slope","HL Inch")</f>
        <v>HL Inch</v>
      </c>
      <c r="HU26" s="2185" t="str">
        <f>IF($HA$1,"Load Notes","HR Feet")</f>
        <v>HR Feet</v>
      </c>
      <c r="HV26" s="2185" t="str">
        <f>IF($HA$1,"Spcl Notes","HR Inch")</f>
        <v>HR Inch</v>
      </c>
      <c r="HW26" s="2185" t="str">
        <f>IF($HA$1,"# KB","Slot Ga")</f>
        <v>Slot Ga</v>
      </c>
      <c r="HX26" s="2185" t="str">
        <f>IF($HA$1,"TC Width","L Seat Slp")</f>
        <v>L Seat Slp</v>
      </c>
      <c r="HY26" s="2185" t="str">
        <f>IF($HA$1,"TCL Override","R Seat Slp")</f>
        <v>R Seat Slp</v>
      </c>
      <c r="HZ26" s="2185" t="str">
        <f>IF($HA$1,"TCR Override","Load Notes")</f>
        <v>Load Notes</v>
      </c>
      <c r="IA26" s="2185" t="str">
        <f>IF($HA$1,"L-BL Override","Spcl Notes")</f>
        <v>Spcl Notes</v>
      </c>
      <c r="IB26" s="2246" t="str">
        <f>IF($HA$1,"R-BL Override","# KB")</f>
        <v># KB</v>
      </c>
      <c r="IC26" s="2185" t="str">
        <f>IF($HA$1,"BDL Override","-")</f>
        <v>-</v>
      </c>
      <c r="ID26" s="2216"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2068"/>
      <c r="B27" s="2069"/>
      <c r="C27" s="2069"/>
      <c r="D27" s="2069"/>
      <c r="E27" s="2073"/>
      <c r="F27" s="2079"/>
      <c r="G27" s="1977" t="s">
        <v>16</v>
      </c>
      <c r="H27" s="2070"/>
      <c r="I27" s="1102" t="s">
        <v>732</v>
      </c>
      <c r="J27" s="2070" t="s">
        <v>16</v>
      </c>
      <c r="K27" s="2070"/>
      <c r="L27" s="1065" t="s">
        <v>732</v>
      </c>
      <c r="M27" s="1106" t="s">
        <v>18</v>
      </c>
      <c r="N27" s="461" t="s">
        <v>19</v>
      </c>
      <c r="O27" s="2074"/>
      <c r="P27" s="2075"/>
      <c r="Q27" s="2075"/>
      <c r="R27" s="2086"/>
      <c r="S27" s="1980" t="s">
        <v>80</v>
      </c>
      <c r="T27" s="2070"/>
      <c r="U27" s="2070" t="s">
        <v>81</v>
      </c>
      <c r="V27" s="2070"/>
      <c r="W27" s="461" t="s">
        <v>27</v>
      </c>
      <c r="X27" s="1101" t="s">
        <v>112</v>
      </c>
      <c r="Y27" s="1065" t="s">
        <v>113</v>
      </c>
      <c r="Z27" s="1117" t="s">
        <v>57</v>
      </c>
      <c r="AA27" s="2117"/>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128"/>
      <c r="CC27" s="2057"/>
      <c r="CD27" s="2130"/>
      <c r="CE27" s="2054"/>
      <c r="CF27" s="2055"/>
      <c r="CG27" s="2221"/>
      <c r="CH27" s="2224"/>
      <c r="CI27" s="2225"/>
      <c r="CJ27" s="2224"/>
      <c r="CK27" s="2225"/>
      <c r="CL27" s="2239"/>
      <c r="CM27" s="2241"/>
      <c r="CN27" s="1546" t="s">
        <v>1283</v>
      </c>
      <c r="CO27" s="1547" t="s">
        <v>1278</v>
      </c>
      <c r="CP27" s="1548" t="s">
        <v>501</v>
      </c>
      <c r="CQ27" s="2227"/>
      <c r="CR27" s="2130"/>
      <c r="CS27" s="2230"/>
      <c r="CT27" s="2130"/>
      <c r="CU27" s="2230"/>
      <c r="CV27" s="2057"/>
      <c r="CW27" s="2237"/>
      <c r="CX27" s="1546" t="s">
        <v>1283</v>
      </c>
      <c r="CY27" s="1547" t="s">
        <v>1278</v>
      </c>
      <c r="CZ27" s="1548" t="s">
        <v>501</v>
      </c>
      <c r="DA27" s="2219"/>
      <c r="DB27" s="431" t="s">
        <v>418</v>
      </c>
      <c r="DC27" s="432" t="s">
        <v>553</v>
      </c>
      <c r="DD27" s="2234"/>
      <c r="DE27" s="2234"/>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197"/>
      <c r="EN27" s="522" t="s">
        <v>585</v>
      </c>
      <c r="EO27" s="433" t="s">
        <v>586</v>
      </c>
      <c r="EP27" s="434" t="s">
        <v>587</v>
      </c>
      <c r="EQ27" s="2242"/>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121"/>
      <c r="GF27" s="2121"/>
      <c r="GG27" s="542" t="s">
        <v>709</v>
      </c>
      <c r="GH27" s="543" t="s">
        <v>710</v>
      </c>
      <c r="GI27" s="542" t="s">
        <v>709</v>
      </c>
      <c r="GJ27" s="543" t="s">
        <v>710</v>
      </c>
      <c r="GK27" s="2124"/>
      <c r="GL27" s="2124"/>
      <c r="GM27" s="2124"/>
      <c r="GZ27" s="145"/>
      <c r="HA27" s="2176"/>
      <c r="HB27" s="2178"/>
      <c r="HC27" s="2178"/>
      <c r="HD27" s="2178"/>
      <c r="HE27" s="2178"/>
      <c r="HF27" s="2178"/>
      <c r="HG27" s="2178"/>
      <c r="HH27" s="2178"/>
      <c r="HI27" s="2178"/>
      <c r="HJ27" s="2178"/>
      <c r="HK27" s="2178"/>
      <c r="HL27" s="2178"/>
      <c r="HM27" s="2178"/>
      <c r="HN27" s="2178"/>
      <c r="HO27" s="2178"/>
      <c r="HP27" s="2178"/>
      <c r="HQ27" s="2178"/>
      <c r="HR27" s="2178"/>
      <c r="HS27" s="2178"/>
      <c r="HT27" s="2178"/>
      <c r="HU27" s="2178"/>
      <c r="HV27" s="2178"/>
      <c r="HW27" s="2178"/>
      <c r="HX27" s="2178"/>
      <c r="HY27" s="2178"/>
      <c r="HZ27" s="2178"/>
      <c r="IA27" s="2178"/>
      <c r="IB27" s="2247"/>
      <c r="IC27" s="2178"/>
      <c r="ID27" s="2217"/>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117"/>
      <c r="FM50" s="117"/>
      <c r="FN50" s="2210" t="s">
        <v>616</v>
      </c>
      <c r="FO50" s="2211"/>
      <c r="FP50" s="2211"/>
      <c r="FQ50" s="2211"/>
      <c r="FR50" s="2211"/>
      <c r="FS50" s="2212"/>
      <c r="FT50" s="2179" t="s">
        <v>617</v>
      </c>
      <c r="FU50" s="2180"/>
      <c r="FV50" s="2180"/>
      <c r="FW50" s="2180"/>
      <c r="FX50" s="2180"/>
      <c r="FY50" s="2180"/>
      <c r="FZ50" s="2181"/>
      <c r="GA50" s="246"/>
      <c r="GB50" s="246"/>
      <c r="GC50" s="117"/>
      <c r="GD50" s="246"/>
      <c r="GE50" s="246"/>
      <c r="GF50" s="246"/>
      <c r="GG50" s="246"/>
      <c r="GH50" s="246"/>
      <c r="GI50" s="117"/>
      <c r="GJ50" s="243"/>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48"/>
      <c r="EQ51" s="2028"/>
      <c r="ER51" s="2028"/>
      <c r="ES51" s="2028"/>
      <c r="ET51" s="2028"/>
      <c r="EU51" s="2048"/>
      <c r="EV51" s="293"/>
      <c r="EW51" s="293"/>
      <c r="EX51" s="2200" t="s">
        <v>618</v>
      </c>
      <c r="EY51" s="2198" t="s">
        <v>619</v>
      </c>
      <c r="EZ51" s="293"/>
      <c r="FA51" s="293"/>
      <c r="FB51" s="293"/>
      <c r="FC51" s="293"/>
      <c r="FD51" s="293"/>
      <c r="FF51" s="2166" t="s">
        <v>947</v>
      </c>
      <c r="FG51" s="2167"/>
      <c r="FH51" s="2167"/>
      <c r="FI51" s="2167"/>
      <c r="FN51" s="2213"/>
      <c r="FO51" s="2214"/>
      <c r="FP51" s="2214"/>
      <c r="FQ51" s="2214"/>
      <c r="FR51" s="2214"/>
      <c r="FS51" s="2215"/>
      <c r="FT51" s="2182"/>
      <c r="FU51" s="2183"/>
      <c r="FV51" s="2183"/>
      <c r="FW51" s="2183"/>
      <c r="FX51" s="2183"/>
      <c r="FY51" s="2183"/>
      <c r="FZ51" s="2184"/>
      <c r="GA51" s="102"/>
      <c r="GB51" s="102"/>
      <c r="GC51" s="102"/>
      <c r="GD51" s="102"/>
      <c r="GE51" s="102"/>
      <c r="GF51" s="102"/>
      <c r="GG51" s="104"/>
      <c r="GH51" s="104"/>
      <c r="GJ51" s="140"/>
    </row>
    <row r="52" spans="1:193" ht="24.95"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1015</v>
      </c>
      <c r="DA52" s="2136"/>
      <c r="DB52" s="2027" t="s">
        <v>510</v>
      </c>
      <c r="DC52" s="2031" t="s">
        <v>513</v>
      </c>
      <c r="DD52" s="2031" t="s">
        <v>514</v>
      </c>
      <c r="DE52" s="2027" t="s">
        <v>544</v>
      </c>
      <c r="DF52" s="2135" t="s">
        <v>1016</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48"/>
      <c r="EQ52" s="2028"/>
      <c r="ER52" s="2028"/>
      <c r="ES52" s="2028"/>
      <c r="ET52" s="2028"/>
      <c r="EU52" s="204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164" t="s">
        <v>493</v>
      </c>
      <c r="FP52" s="2153" t="s">
        <v>494</v>
      </c>
      <c r="FQ52" s="2153" t="s">
        <v>495</v>
      </c>
      <c r="FR52" s="2155" t="s">
        <v>496</v>
      </c>
      <c r="FS52" s="2151"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48"/>
      <c r="EQ53" s="2028"/>
      <c r="ER53" s="2028"/>
      <c r="ES53" s="2028"/>
      <c r="ET53" s="2028"/>
      <c r="EU53" s="204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165"/>
      <c r="FP53" s="2154"/>
      <c r="FQ53" s="2154"/>
      <c r="FR53" s="2156"/>
      <c r="FS53" s="2152"/>
      <c r="FT53" s="2144"/>
      <c r="FU53" s="2142"/>
      <c r="FV53" s="2142"/>
      <c r="FW53" s="2142"/>
      <c r="FX53" s="2142"/>
      <c r="FY53" s="2142"/>
      <c r="FZ53" s="2142"/>
      <c r="GA53" s="2142"/>
      <c r="GB53" s="2209"/>
      <c r="GC53" s="2207"/>
      <c r="GD53" s="208" t="s">
        <v>623</v>
      </c>
      <c r="GE53" s="142" t="s">
        <v>624</v>
      </c>
      <c r="GF53" s="135" t="s">
        <v>626</v>
      </c>
      <c r="GG53" s="135" t="s">
        <v>627</v>
      </c>
      <c r="GH53" s="135" t="s">
        <v>628</v>
      </c>
      <c r="GI53" s="136" t="s">
        <v>629</v>
      </c>
      <c r="GJ53" s="2205"/>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141" priority="296">
      <formula>AND(NOT($BK28),NOT($BR28))</formula>
    </cfRule>
  </conditionalFormatting>
  <conditionalFormatting sqref="DM54:DM85 DT54:DT85">
    <cfRule type="cellIs" dxfId="1140" priority="500" stopIfTrue="1" operator="notEqual">
      <formula>DN54</formula>
    </cfRule>
  </conditionalFormatting>
  <conditionalFormatting sqref="DD28:DD45">
    <cfRule type="cellIs" dxfId="1139" priority="513" operator="greaterThan">
      <formula>EY68</formula>
    </cfRule>
    <cfRule type="expression" dxfId="1138" priority="514">
      <formula>AND(ISBLANK(DD28),EY68&gt;0)</formula>
    </cfRule>
  </conditionalFormatting>
  <conditionalFormatting sqref="DE28:DE45">
    <cfRule type="cellIs" dxfId="1137" priority="515" operator="lessThan">
      <formula>EX68</formula>
    </cfRule>
    <cfRule type="expression" dxfId="1136" priority="516">
      <formula>AND(ISBLANK(DE28),EX68&lt;&gt;"")</formula>
    </cfRule>
  </conditionalFormatting>
  <conditionalFormatting sqref="A28:B45">
    <cfRule type="expression" dxfId="1135" priority="518">
      <formula>AND(NOT($BK$1),$B28=0,OR($BJ$1="",$BJ$1="M"))</formula>
    </cfRule>
  </conditionalFormatting>
  <conditionalFormatting sqref="FQ54:FR85">
    <cfRule type="cellIs" dxfId="1134" priority="593" stopIfTrue="1" operator="lessThan">
      <formula>0</formula>
    </cfRule>
  </conditionalFormatting>
  <conditionalFormatting sqref="DI14">
    <cfRule type="expression" dxfId="1133" priority="520">
      <formula>UPPER(#REF!)="X"</formula>
    </cfRule>
  </conditionalFormatting>
  <conditionalFormatting sqref="DJ14">
    <cfRule type="expression" dxfId="1132" priority="521">
      <formula>OR(UPPER(#REF!)="X",UPPER(#REF!="X"))</formula>
    </cfRule>
  </conditionalFormatting>
  <conditionalFormatting sqref="DK14">
    <cfRule type="expression" dxfId="1131" priority="550">
      <formula>OR(UPPER(#REF!)="X",UPPER(#REF!="X"))</formula>
    </cfRule>
  </conditionalFormatting>
  <conditionalFormatting sqref="Q2:T4 AU2:AX4">
    <cfRule type="cellIs" dxfId="1130" priority="597" stopIfTrue="1" operator="equal">
      <formula>""</formula>
    </cfRule>
  </conditionalFormatting>
  <conditionalFormatting sqref="M7">
    <cfRule type="expression" dxfId="1129" priority="598" stopIfTrue="1">
      <formula>OR(ISBLANK($M$7),$M$7="")</formula>
    </cfRule>
    <cfRule type="expression" dxfId="1128" priority="599" stopIfTrue="1">
      <formula>NOT(OR(COUNTIF(masterFinishList, $M$7) &gt; 0, COUNTIF($M$7, "Other:*") &gt; 0))</formula>
    </cfRule>
  </conditionalFormatting>
  <conditionalFormatting sqref="DA20">
    <cfRule type="expression" dxfId="1127" priority="600" stopIfTrue="1">
      <formula>NOT(ISBLANK($DA$20))</formula>
    </cfRule>
  </conditionalFormatting>
  <conditionalFormatting sqref="C28:C45">
    <cfRule type="expression" dxfId="1126" priority="123">
      <formula>AND(NOT($BK28),NOT(BR28))</formula>
    </cfRule>
  </conditionalFormatting>
  <conditionalFormatting sqref="U28:U45">
    <cfRule type="expression" dxfId="1125" priority="143">
      <formula>AND(NOT($BK28),BV28="No")</formula>
    </cfRule>
  </conditionalFormatting>
  <conditionalFormatting sqref="V28:V45">
    <cfRule type="expression" dxfId="1124" priority="293">
      <formula>AND(NOT($BK28),BV28="No")</formula>
    </cfRule>
  </conditionalFormatting>
  <conditionalFormatting sqref="S28:S45">
    <cfRule type="expression" dxfId="1123" priority="119">
      <formula>AND(NOT($BK28),BT28="No")</formula>
    </cfRule>
  </conditionalFormatting>
  <conditionalFormatting sqref="T28:T45">
    <cfRule type="expression" dxfId="1122" priority="120">
      <formula>AND(NOT($BK28),BT28="No")</formula>
    </cfRule>
  </conditionalFormatting>
  <conditionalFormatting sqref="W28:W45">
    <cfRule type="expression" dxfId="1121" priority="36">
      <formula>$W28=0</formula>
    </cfRule>
  </conditionalFormatting>
  <conditionalFormatting sqref="DI15:DI45">
    <cfRule type="expression" dxfId="1120" priority="579">
      <formula>FM54="X"</formula>
    </cfRule>
  </conditionalFormatting>
  <conditionalFormatting sqref="DJ15:DJ45">
    <cfRule type="expression" dxfId="1119" priority="594">
      <formula>FM54="X"</formula>
    </cfRule>
  </conditionalFormatting>
  <conditionalFormatting sqref="DK15:DK45">
    <cfRule type="expression" dxfId="1118" priority="595">
      <formula>FM54="X"</formula>
    </cfRule>
  </conditionalFormatting>
  <conditionalFormatting sqref="DH14:DH45">
    <cfRule type="expression" dxfId="1117" priority="15">
      <formula>NOT($FQ14)</formula>
    </cfRule>
    <cfRule type="expression" dxfId="1116" priority="596">
      <formula>FJ54="G"</formula>
    </cfRule>
  </conditionalFormatting>
  <conditionalFormatting sqref="DT14:DU45">
    <cfRule type="expression" dxfId="1115" priority="977">
      <formula>GD54=0</formula>
    </cfRule>
  </conditionalFormatting>
  <conditionalFormatting sqref="AR87:AS87 AR14:AS45">
    <cfRule type="expression" dxfId="1114" priority="979">
      <formula>AND(NOT($BZ14),$FF54)</formula>
    </cfRule>
  </conditionalFormatting>
  <conditionalFormatting sqref="AV87:AW87 AV14:AW45">
    <cfRule type="expression" dxfId="1113" priority="980">
      <formula>AND(NOT($BZ14),$FG54)</formula>
    </cfRule>
  </conditionalFormatting>
  <conditionalFormatting sqref="AZ87:BA87 AZ14:BA45">
    <cfRule type="expression" dxfId="1112" priority="981">
      <formula>AND(NOT($BZ14),$FH54)</formula>
    </cfRule>
  </conditionalFormatting>
  <conditionalFormatting sqref="BD87:BE87 BD14:BE45">
    <cfRule type="expression" dxfId="1111" priority="982">
      <formula>AND(NOT($BZ14),$FI54)</formula>
    </cfRule>
  </conditionalFormatting>
  <conditionalFormatting sqref="DW14:DW45">
    <cfRule type="expression" dxfId="1110" priority="986">
      <formula>FF54</formula>
    </cfRule>
  </conditionalFormatting>
  <conditionalFormatting sqref="EA14:EA45">
    <cfRule type="expression" dxfId="1109" priority="987">
      <formula>FG54</formula>
    </cfRule>
  </conditionalFormatting>
  <conditionalFormatting sqref="EE14:EE45">
    <cfRule type="expression" dxfId="1108" priority="988">
      <formula>FH54</formula>
    </cfRule>
  </conditionalFormatting>
  <conditionalFormatting sqref="EI14:EI45">
    <cfRule type="expression" dxfId="1107" priority="989">
      <formula>FI54</formula>
    </cfRule>
  </conditionalFormatting>
  <conditionalFormatting sqref="AD87:AE87 DJ14:DK45 AD14:AE45">
    <cfRule type="expression" dxfId="1106" priority="1005">
      <formula>AND(NOT($BZ14),FIND("A",$GK54))</formula>
    </cfRule>
  </conditionalFormatting>
  <conditionalFormatting sqref="AI87:AJ87 DM14:DN45 AI14:AJ45">
    <cfRule type="expression" dxfId="1105" priority="1006">
      <formula>AND(NOT($BZ14),FIND("B",$GK54))</formula>
    </cfRule>
  </conditionalFormatting>
  <conditionalFormatting sqref="DL14:DL45">
    <cfRule type="expression" dxfId="1104" priority="4">
      <formula>AND(NOT(ISBLANK($DH14)),ISBLANK($DL14))</formula>
    </cfRule>
    <cfRule type="expression" dxfId="1103" priority="88">
      <formula>FIND("B",$GK54)</formula>
    </cfRule>
  </conditionalFormatting>
  <conditionalFormatting sqref="DI14:DI45">
    <cfRule type="expression" dxfId="1102" priority="1013">
      <formula>NOT($EY14)</formula>
    </cfRule>
  </conditionalFormatting>
  <conditionalFormatting sqref="AC14:AC45">
    <cfRule type="expression" dxfId="1101" priority="1020">
      <formula>AND(NOT($BZ14),NOT($EY14))</formula>
    </cfRule>
  </conditionalFormatting>
  <conditionalFormatting sqref="AM14:AM45">
    <cfRule type="expression" dxfId="1100" priority="83">
      <formula>AND(NOT($BZ14),AM14&lt;&gt;EZ14)</formula>
    </cfRule>
  </conditionalFormatting>
  <conditionalFormatting sqref="DQ14:DQ45">
    <cfRule type="expression" dxfId="1099" priority="82">
      <formula>DQ14&lt;&gt;EZ14</formula>
    </cfRule>
  </conditionalFormatting>
  <conditionalFormatting sqref="DB28:DC45">
    <cfRule type="expression" dxfId="1098" priority="81">
      <formula>AND(NOT($BK28),LEN($Z28)&gt;27)</formula>
    </cfRule>
  </conditionalFormatting>
  <conditionalFormatting sqref="FF14:FF45">
    <cfRule type="expression" dxfId="1097" priority="89">
      <formula>$FC14=0</formula>
    </cfRule>
  </conditionalFormatting>
  <conditionalFormatting sqref="AD14:AJ45">
    <cfRule type="expression" dxfId="1096" priority="80">
      <formula>AND(NOT($BZ14),NOT($FA14))</formula>
    </cfRule>
  </conditionalFormatting>
  <conditionalFormatting sqref="A87">
    <cfRule type="expression" dxfId="1095" priority="27" stopIfTrue="1">
      <formula>AND(NOT($BK$1),$B87=0,OR($BJ$1="",$BJ$1="M"))</formula>
    </cfRule>
  </conditionalFormatting>
  <conditionalFormatting sqref="C87">
    <cfRule type="expression" dxfId="1094" priority="24" stopIfTrue="1">
      <formula>AND(NOT($BK87),NOT(BR87))</formula>
    </cfRule>
  </conditionalFormatting>
  <conditionalFormatting sqref="U87">
    <cfRule type="expression" dxfId="1093" priority="25" stopIfTrue="1">
      <formula>AND(NOT($BK87),BV87="No")</formula>
    </cfRule>
  </conditionalFormatting>
  <conditionalFormatting sqref="V87">
    <cfRule type="expression" dxfId="1092" priority="26" stopIfTrue="1">
      <formula>AND(NOT($BK87),BV87="No")</formula>
    </cfRule>
  </conditionalFormatting>
  <conditionalFormatting sqref="S87">
    <cfRule type="expression" dxfId="1091" priority="22" stopIfTrue="1">
      <formula>AND(NOT($BK87),BT87="No")</formula>
    </cfRule>
  </conditionalFormatting>
  <conditionalFormatting sqref="T87">
    <cfRule type="expression" dxfId="1090" priority="23" stopIfTrue="1">
      <formula>AND(NOT($BK87),BT87="No")</formula>
    </cfRule>
  </conditionalFormatting>
  <conditionalFormatting sqref="W87">
    <cfRule type="expression" dxfId="1089" priority="16">
      <formula>$W87=0</formula>
    </cfRule>
  </conditionalFormatting>
  <conditionalFormatting sqref="AC87">
    <cfRule type="expression" dxfId="1088" priority="34">
      <formula>AND(NOT($BZ87),NOT($EY87))</formula>
    </cfRule>
  </conditionalFormatting>
  <conditionalFormatting sqref="AM87">
    <cfRule type="expression" dxfId="1087" priority="21">
      <formula>AND(NOT($BZ87),AM87&lt;&gt;EZ87)</formula>
    </cfRule>
  </conditionalFormatting>
  <conditionalFormatting sqref="AD87:AJ87">
    <cfRule type="expression" dxfId="1086" priority="20">
      <formula>AND(NOT($BZ87),NOT($FA87))</formula>
    </cfRule>
  </conditionalFormatting>
  <conditionalFormatting sqref="A87 CB28:DA45 C87:AA87">
    <cfRule type="expression" dxfId="1085" priority="17">
      <formula>$FN28</formula>
    </cfRule>
  </conditionalFormatting>
  <conditionalFormatting sqref="AB87:BG87">
    <cfRule type="expression" dxfId="1084" priority="19">
      <formula>$CA87</formula>
    </cfRule>
  </conditionalFormatting>
  <conditionalFormatting sqref="Z87">
    <cfRule type="expression" dxfId="1083" priority="18">
      <formula>AND(NOT($BK87),LEN($Z87)&gt;27)</formula>
    </cfRule>
  </conditionalFormatting>
  <conditionalFormatting sqref="DH14:EK45 AB14:BG45">
    <cfRule type="expression" dxfId="1082" priority="1208">
      <formula>$FP14</formula>
    </cfRule>
  </conditionalFormatting>
  <conditionalFormatting sqref="A28:Y45 AA28:AA45">
    <cfRule type="expression" dxfId="1081" priority="1215">
      <formula>$FN28</formula>
    </cfRule>
  </conditionalFormatting>
  <conditionalFormatting sqref="CB28:CB45">
    <cfRule type="expression" dxfId="1080" priority="5">
      <formula>NOT($FO28)</formula>
    </cfRule>
  </conditionalFormatting>
  <conditionalFormatting sqref="A28:A45">
    <cfRule type="expression" dxfId="1079" priority="13">
      <formula>NOT($FO28)</formula>
    </cfRule>
  </conditionalFormatting>
  <conditionalFormatting sqref="AB14:AB45">
    <cfRule type="expression" dxfId="1078" priority="12">
      <formula>NOT($FQ14)</formula>
    </cfRule>
  </conditionalFormatting>
  <conditionalFormatting sqref="Z28:Z45">
    <cfRule type="expression" dxfId="1077" priority="7">
      <formula>$FN28</formula>
    </cfRule>
  </conditionalFormatting>
  <conditionalFormatting sqref="Z28:Z45">
    <cfRule type="expression" dxfId="1076" priority="8">
      <formula>AND(NOT($BK28),LEN($Z28)&gt;27)</formula>
    </cfRule>
  </conditionalFormatting>
  <conditionalFormatting sqref="GA28:GB45">
    <cfRule type="expression" dxfId="1075" priority="6" stopIfTrue="1">
      <formula>$GM28&gt;=0.125</formula>
    </cfRule>
  </conditionalFormatting>
  <conditionalFormatting sqref="CB28:CC45">
    <cfRule type="expression" dxfId="1074" priority="14">
      <formula>AND(NOT($BK$1),$B28=0,OR($BJ$1="",$BJ$1="M"))</formula>
    </cfRule>
  </conditionalFormatting>
  <conditionalFormatting sqref="DB28:DE45">
    <cfRule type="expression" dxfId="1073" priority="1621">
      <formula>$FN28</formula>
    </cfRule>
  </conditionalFormatting>
  <conditionalFormatting sqref="CJ28:CJ45">
    <cfRule type="expression" dxfId="1072" priority="1641">
      <formula>AND(NOT($BK28),OR($CC68="M",$CC68="C",$CC68="G"))</formula>
    </cfRule>
    <cfRule type="expression" dxfId="1071" priority="1642">
      <formula>AND(NOT($BK28),AND(OR($CC68="B",$CC68="G"),CJ28="",CK28=""))</formula>
    </cfRule>
    <cfRule type="expression" dxfId="1070" priority="1643">
      <formula>AND(NOT($BK28),EG68="ERR")</formula>
    </cfRule>
  </conditionalFormatting>
  <conditionalFormatting sqref="CK28:CK45">
    <cfRule type="expression" dxfId="1069" priority="1644">
      <formula>AND(NOT($BK28),OR($CC68="M",$CC68="C",$CC68="G"))</formula>
    </cfRule>
    <cfRule type="expression" dxfId="1068" priority="1645">
      <formula>AND(NOT($BK28),AND(OR($CC68="B",$CC68="G"),CJ28="",CK28=""))</formula>
    </cfRule>
    <cfRule type="expression" dxfId="1067" priority="1646">
      <formula>AND(NOT($BK28),EG68="ERR")</formula>
    </cfRule>
  </conditionalFormatting>
  <conditionalFormatting sqref="CH28:CH45">
    <cfRule type="expression" dxfId="1066" priority="1655">
      <formula>AND(NOT($BK28),OR($CC68="M",$CC68="C"))</formula>
    </cfRule>
    <cfRule type="expression" dxfId="1065" priority="1656">
      <formula>AND(NOT($BK28),AND(CH28="",CI28="",OR($CC68="B",$CC68="G")))</formula>
    </cfRule>
    <cfRule type="expression" dxfId="1064" priority="1657">
      <formula>AND(NOT($BK28),(CH28/2)/COS(RADIANS(CL28))+CD68-DC68&lt;$FB$4)</formula>
    </cfRule>
  </conditionalFormatting>
  <conditionalFormatting sqref="CI28:CI45">
    <cfRule type="expression" dxfId="1063" priority="1658">
      <formula>AND(NOT($BK28),OR($CC68="M",$CC68="C"))</formula>
    </cfRule>
    <cfRule type="expression" dxfId="1062" priority="1659">
      <formula>AND(NOT($BK28),AND(CH28="",CI28="",OR($CC68="B",$CC68="G")))</formula>
    </cfRule>
    <cfRule type="expression" dxfId="1061" priority="1660">
      <formula>AND(NOT($BK28),(CI28/2)/COS(RADIANS(CL28))+CD68-DC68&lt;$FB$4)</formula>
    </cfRule>
  </conditionalFormatting>
  <conditionalFormatting sqref="CT28:CT45">
    <cfRule type="expression" dxfId="1060" priority="1679">
      <formula>AND(NOT($BK28),OR($CL68="M",$CL68="C",$CL68="G"))</formula>
    </cfRule>
    <cfRule type="expression" dxfId="1059" priority="1680">
      <formula>AND(NOT($BK28),AND(OR($CL68="B",$CL68="G"),CT28="",CU28=""))</formula>
    </cfRule>
    <cfRule type="expression" dxfId="1058" priority="1681">
      <formula>AND(NOT($BK28),EJ68="ERR")</formula>
    </cfRule>
  </conditionalFormatting>
  <conditionalFormatting sqref="CU28:CU45">
    <cfRule type="expression" dxfId="1057" priority="1682">
      <formula>AND(NOT($BK28),OR($CL68="M",$CL68="C",$CL68="G"))</formula>
    </cfRule>
    <cfRule type="expression" dxfId="1056" priority="1683">
      <formula>AND(NOT($BK28),AND(OR($CL68="B",$CL68="G"),CT28="",CU28=""))</formula>
    </cfRule>
    <cfRule type="expression" dxfId="1055" priority="1684">
      <formula>AND(NOT($BK28),EJ68="ERR")</formula>
    </cfRule>
  </conditionalFormatting>
  <conditionalFormatting sqref="CR28:CR45">
    <cfRule type="expression" dxfId="1054" priority="1687">
      <formula>AND(NOT($BK28),OR($CL68="M",$CL68="C"))</formula>
    </cfRule>
    <cfRule type="expression" dxfId="1053" priority="1688">
      <formula>AND(NOT($BK28),AND(CR28="",CS28="",OR($CL68="B",$CL68="G")))</formula>
    </cfRule>
    <cfRule type="expression" dxfId="1052" priority="1689">
      <formula>AND(NOT($BK28),(CR28/2)/COS(RADIANS(CV28))+CM68-DI68&lt;$FB$4)</formula>
    </cfRule>
  </conditionalFormatting>
  <conditionalFormatting sqref="CS28:CS45">
    <cfRule type="expression" dxfId="1051" priority="1690">
      <formula>AND(NOT($BK28),OR($CL68="M",$CL68="C"))</formula>
    </cfRule>
    <cfRule type="expression" dxfId="1050" priority="1691">
      <formula>AND(NOT($BK28),AND(CR28="",CS28="",OR($CL68="B",$CL68="G")))</formula>
    </cfRule>
    <cfRule type="expression" dxfId="1049" priority="1692">
      <formula>AND(NOT($BK28),(CS28/2)/COS(RADIANS(CV28))+CM68-DI68&lt;$FB$4)</formula>
    </cfRule>
  </conditionalFormatting>
  <conditionalFormatting sqref="CW28:CW45 CM28:CM45">
    <cfRule type="expression" dxfId="1048" priority="1716">
      <formula>AND(NOT($BK28),AND(ISBLANK(CM28),AND(NOT(ISBLANK(CL28)),$DA28&lt;&gt;0)))</formula>
    </cfRule>
  </conditionalFormatting>
  <conditionalFormatting sqref="CO28:CO45">
    <cfRule type="expression" dxfId="1047" priority="1896">
      <formula>ET28&lt;&gt;""</formula>
    </cfRule>
  </conditionalFormatting>
  <conditionalFormatting sqref="CY28:CY45">
    <cfRule type="expression" dxfId="1046" priority="1897">
      <formula>EU28&lt;&gt;""</formula>
    </cfRule>
  </conditionalFormatting>
  <conditionalFormatting sqref="DC28:DC45">
    <cfRule type="expression" dxfId="1045" priority="1898">
      <formula>OR(EN28&lt;&gt;"",EO28&lt;&gt;"",EP28&lt;&gt;"",EQ28&lt;&gt;"",ER28&lt;&gt;"",ES28&lt;&gt;"",ET28&lt;&gt;"",EU28&lt;&gt;"")</formula>
    </cfRule>
  </conditionalFormatting>
  <conditionalFormatting sqref="CG28:CG45">
    <cfRule type="expression" dxfId="1044" priority="1899">
      <formula>AND(NOT($BK28),ISERROR(CC68))</formula>
    </cfRule>
    <cfRule type="expression" dxfId="1043" priority="1900">
      <formula>AND(NOT($BK28),OR(ISERROR(CC68),CC68="", ET28&lt;&gt;""))</formula>
    </cfRule>
  </conditionalFormatting>
  <conditionalFormatting sqref="CQ28:CQ45">
    <cfRule type="expression" dxfId="1042" priority="1901">
      <formula>AND(NOT($BK28),ISERROR(CL68))</formula>
    </cfRule>
    <cfRule type="expression" dxfId="1041" priority="1902">
      <formula>AND(NOT($BK28),OR(CL68="", EU28&lt;&gt;""))</formula>
    </cfRule>
  </conditionalFormatting>
  <conditionalFormatting sqref="GA48:GB48">
    <cfRule type="expression" dxfId="1040" priority="3" stopIfTrue="1">
      <formula>$GM48&gt;=0.125</formula>
    </cfRule>
  </conditionalFormatting>
  <conditionalFormatting sqref="B87">
    <cfRule type="expression" dxfId="1039" priority="1">
      <formula>AND(NOT($BK$1),$B87=0,OR($BJ$1="",$BJ$1="M"))</formula>
    </cfRule>
  </conditionalFormatting>
  <conditionalFormatting sqref="B87">
    <cfRule type="expression" dxfId="1038" priority="2">
      <formula>$FN87</formula>
    </cfRule>
  </conditionalFormatting>
  <conditionalFormatting sqref="D28:E45">
    <cfRule type="expression" dxfId="1037"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32" t="str">
        <f>Q1</f>
        <v>Master</v>
      </c>
      <c r="AV1" s="1832"/>
      <c r="AW1" s="1832"/>
      <c r="AX1" s="1832"/>
      <c r="AY1" s="382"/>
      <c r="AZ1" s="382"/>
      <c r="BA1" s="2067" t="s">
        <v>95</v>
      </c>
      <c r="BB1" s="2067"/>
      <c r="BC1" s="2067"/>
      <c r="BD1" s="1835" t="str">
        <f ca="1">'Job Info.'!D12</f>
        <v>775-428-0600</v>
      </c>
      <c r="BE1" s="1835"/>
      <c r="BF1" s="183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98" t="s">
        <v>1107</v>
      </c>
      <c r="FH3" s="1999"/>
      <c r="FI3" s="2000"/>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43" t="str">
        <f>Q4</f>
        <v/>
      </c>
      <c r="AV4" s="2282"/>
      <c r="AW4" s="2282"/>
      <c r="AX4" s="2283"/>
      <c r="AY4" s="382"/>
      <c r="AZ4" s="382"/>
      <c r="BA4" s="2067" t="s">
        <v>97</v>
      </c>
      <c r="BB4" s="2067"/>
      <c r="BC4" s="2067"/>
      <c r="BD4" s="1835" t="str">
        <f ca="1">'Job Info.'!D15</f>
        <v>775-867-2060</v>
      </c>
      <c r="BE4" s="1835"/>
      <c r="BF4" s="183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1923"/>
      <c r="DB4" s="192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284"/>
      <c r="AD5" s="2284"/>
      <c r="AE5" s="2284"/>
      <c r="AF5" s="2284"/>
      <c r="AG5" s="2284"/>
      <c r="AH5" s="2284"/>
      <c r="AI5" s="2284"/>
      <c r="AJ5" s="2284"/>
      <c r="AK5" s="2284"/>
      <c r="AL5" s="2284"/>
      <c r="AM5" s="2284"/>
      <c r="AN5" s="2284"/>
      <c r="AO5" s="2284"/>
      <c r="AP5" s="2284"/>
      <c r="AQ5" s="2284"/>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80" t="s">
        <v>639</v>
      </c>
      <c r="DI6" s="1927"/>
      <c r="DJ6" s="1927"/>
      <c r="DK6" s="1927"/>
      <c r="DL6" s="1927"/>
      <c r="DM6" s="1927"/>
      <c r="DN6" s="1927"/>
      <c r="DO6" s="1927"/>
      <c r="DP6" s="1927"/>
      <c r="DQ6" s="1927"/>
      <c r="DR6" s="1927"/>
      <c r="DS6" s="1927"/>
      <c r="DT6" s="1927"/>
      <c r="DU6" s="1927"/>
      <c r="DV6" s="1927"/>
      <c r="DW6" s="1927"/>
      <c r="DX6" s="1927"/>
      <c r="DY6" s="1927"/>
      <c r="DZ6" s="1927"/>
      <c r="EA6" s="1927"/>
      <c r="EB6" s="1927"/>
      <c r="EC6" s="1927"/>
      <c r="ED6" s="1927"/>
      <c r="EE6" s="1927"/>
      <c r="EF6" s="1927"/>
      <c r="EG6" s="1927"/>
      <c r="EH6" s="1927"/>
      <c r="EI6" s="1927"/>
      <c r="EJ6" s="1927"/>
      <c r="EK6" s="1928"/>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060" t="s">
        <v>26</v>
      </c>
      <c r="L7" s="2061"/>
      <c r="M7" s="2065" t="str">
        <f>IF(ISBLANK(DA4),"",DA4)</f>
        <v/>
      </c>
      <c r="N7" s="1924"/>
      <c r="O7" s="1924"/>
      <c r="P7" s="1924"/>
      <c r="Q7" s="1924"/>
      <c r="R7" s="1924"/>
      <c r="S7" s="1924"/>
      <c r="T7"/>
      <c r="U7" s="1092"/>
      <c r="V7" s="2060" t="s">
        <v>21</v>
      </c>
      <c r="W7" s="206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 xml:space="preserve"> of 19</v>
      </c>
      <c r="BC7" s="658"/>
      <c r="BD7" s="658"/>
      <c r="BE7" s="374"/>
      <c r="BF7" s="374"/>
      <c r="BG7" s="374"/>
      <c r="BH7" s="261"/>
      <c r="BI7" s="1083"/>
      <c r="CA7" s="246"/>
      <c r="CB7" s="2018" t="s">
        <v>638</v>
      </c>
      <c r="CC7" s="2019"/>
      <c r="CD7" s="2019"/>
      <c r="CE7" s="2019"/>
      <c r="CF7" s="2019"/>
      <c r="CG7" s="2019"/>
      <c r="CH7" s="2019"/>
      <c r="CI7" s="2019"/>
      <c r="CJ7" s="2019"/>
      <c r="CK7" s="2019"/>
      <c r="CL7" s="2019"/>
      <c r="CM7" s="2019"/>
      <c r="CN7" s="2019"/>
      <c r="CO7" s="2019"/>
      <c r="CP7" s="2019"/>
      <c r="CQ7" s="2019"/>
      <c r="CR7" s="2019"/>
      <c r="CS7" s="2019"/>
      <c r="CT7" s="2019"/>
      <c r="CU7" s="2019"/>
      <c r="CV7" s="2019"/>
      <c r="CW7" s="2019"/>
      <c r="CX7" s="2019"/>
      <c r="CY7" s="2019"/>
      <c r="CZ7" s="1927"/>
      <c r="DA7" s="1927"/>
      <c r="DB7" s="1927"/>
      <c r="DC7" s="1927"/>
      <c r="DD7" s="1927"/>
      <c r="DE7" s="1928"/>
      <c r="DF7" s="244"/>
      <c r="DG7" s="244"/>
      <c r="DH7" s="1948"/>
      <c r="DI7" s="1931"/>
      <c r="DJ7" s="1931"/>
      <c r="DK7" s="1931"/>
      <c r="DL7" s="1931"/>
      <c r="DM7" s="1931"/>
      <c r="DN7" s="1931"/>
      <c r="DO7" s="1931"/>
      <c r="DP7" s="1931"/>
      <c r="DQ7" s="1931"/>
      <c r="DR7" s="1931"/>
      <c r="DS7" s="1931"/>
      <c r="DT7" s="1931"/>
      <c r="DU7" s="1931"/>
      <c r="DV7" s="1931"/>
      <c r="DW7" s="1931"/>
      <c r="DX7" s="1931"/>
      <c r="DY7" s="1931"/>
      <c r="DZ7" s="1931"/>
      <c r="EA7" s="1931"/>
      <c r="EB7" s="1931"/>
      <c r="EC7" s="1931"/>
      <c r="ED7" s="1931"/>
      <c r="EE7" s="1931"/>
      <c r="EF7" s="1931"/>
      <c r="EG7" s="1931"/>
      <c r="EH7" s="1931"/>
      <c r="EI7" s="1931"/>
      <c r="EJ7" s="1931"/>
      <c r="EK7" s="1932"/>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85"/>
      <c r="B8" s="2285"/>
      <c r="C8" s="2285"/>
      <c r="D8" s="2285"/>
      <c r="E8" s="2285"/>
      <c r="F8" s="2285"/>
      <c r="G8" s="2285"/>
      <c r="H8" s="2285"/>
      <c r="I8" s="2285"/>
      <c r="J8" s="2285"/>
      <c r="K8" s="2285"/>
      <c r="L8" s="2285"/>
      <c r="M8" s="2285"/>
      <c r="N8" s="2285"/>
      <c r="O8" s="2285"/>
      <c r="P8" s="2285"/>
      <c r="Q8" s="2285"/>
      <c r="R8" s="2285"/>
      <c r="S8" s="2285"/>
      <c r="T8" s="2285"/>
      <c r="U8" s="2285"/>
      <c r="V8" s="2285"/>
      <c r="W8" s="2285"/>
      <c r="X8" s="2285"/>
      <c r="Y8" s="2285"/>
      <c r="Z8" s="2285"/>
      <c r="AA8" s="2285"/>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BI8" s="245"/>
      <c r="CA8" s="246"/>
      <c r="CB8" s="2021"/>
      <c r="CC8" s="2022"/>
      <c r="CD8" s="2022"/>
      <c r="CE8" s="2022"/>
      <c r="CF8" s="2022"/>
      <c r="CG8" s="2022"/>
      <c r="CH8" s="2022"/>
      <c r="CI8" s="2022"/>
      <c r="CJ8" s="2022"/>
      <c r="CK8" s="2022"/>
      <c r="CL8" s="2022"/>
      <c r="CM8" s="2022"/>
      <c r="CN8" s="2022"/>
      <c r="CO8" s="2022"/>
      <c r="CP8" s="2022"/>
      <c r="CQ8" s="2022"/>
      <c r="CR8" s="2022"/>
      <c r="CS8" s="2022"/>
      <c r="CT8" s="2022"/>
      <c r="CU8" s="2022"/>
      <c r="CV8" s="2022"/>
      <c r="CW8" s="2022"/>
      <c r="CX8" s="2022"/>
      <c r="CY8" s="2022"/>
      <c r="CZ8" s="1931"/>
      <c r="DA8" s="1931"/>
      <c r="DB8" s="1931"/>
      <c r="DC8" s="1931"/>
      <c r="DD8" s="1931"/>
      <c r="DE8" s="1932"/>
      <c r="DF8" s="141"/>
      <c r="DG8" s="141"/>
      <c r="DH8" s="2281"/>
      <c r="DI8" s="1945"/>
      <c r="DJ8" s="1945"/>
      <c r="DK8" s="1945"/>
      <c r="DL8" s="1945"/>
      <c r="DM8" s="1945"/>
      <c r="DN8" s="1945"/>
      <c r="DO8" s="1945"/>
      <c r="DP8" s="1945"/>
      <c r="DQ8" s="1945"/>
      <c r="DR8" s="1945"/>
      <c r="DS8" s="1945"/>
      <c r="DT8" s="1945"/>
      <c r="DU8" s="1945"/>
      <c r="DV8" s="1945"/>
      <c r="DW8" s="1945"/>
      <c r="DX8" s="1945"/>
      <c r="DY8" s="1945"/>
      <c r="DZ8" s="1945"/>
      <c r="EA8" s="1945"/>
      <c r="EB8" s="1945"/>
      <c r="EC8" s="1945"/>
      <c r="ED8" s="1945"/>
      <c r="EE8" s="1945"/>
      <c r="EF8" s="1945"/>
      <c r="EG8" s="1945"/>
      <c r="EH8" s="1945"/>
      <c r="EI8" s="1945"/>
      <c r="EJ8" s="1945"/>
      <c r="EK8" s="1946"/>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286"/>
      <c r="AD9" s="2287"/>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9" t="str">
        <f>T9</f>
        <v>NN22-0071</v>
      </c>
      <c r="AY9" s="2085"/>
      <c r="AZ9" s="2085"/>
      <c r="BA9" s="2085"/>
      <c r="BB9" s="2085"/>
      <c r="BC9" s="2085"/>
      <c r="BD9" s="2085"/>
      <c r="BE9" s="2085"/>
      <c r="BF9" s="2085"/>
      <c r="BG9" s="2085"/>
      <c r="BH9" s="1416"/>
      <c r="BI9" s="245"/>
      <c r="CA9" s="246"/>
      <c r="CB9" s="2021"/>
      <c r="CC9" s="2022"/>
      <c r="CD9" s="2022"/>
      <c r="CE9" s="2022"/>
      <c r="CF9" s="2022"/>
      <c r="CG9" s="2022"/>
      <c r="CH9" s="2022"/>
      <c r="CI9" s="2022"/>
      <c r="CJ9" s="2022"/>
      <c r="CK9" s="2022"/>
      <c r="CL9" s="2022"/>
      <c r="CM9" s="2022"/>
      <c r="CN9" s="2022"/>
      <c r="CO9" s="2022"/>
      <c r="CP9" s="2022"/>
      <c r="CQ9" s="2022"/>
      <c r="CR9" s="2022"/>
      <c r="CS9" s="2022"/>
      <c r="CT9" s="2022"/>
      <c r="CU9" s="2022"/>
      <c r="CV9" s="2022"/>
      <c r="CW9" s="2022"/>
      <c r="CX9" s="2022"/>
      <c r="CY9" s="2022"/>
      <c r="CZ9" s="1931"/>
      <c r="DA9" s="1931"/>
      <c r="DB9" s="1931"/>
      <c r="DC9" s="1931"/>
      <c r="DD9" s="1931"/>
      <c r="DE9" s="1932"/>
      <c r="DF9" s="141"/>
      <c r="DG9" s="141"/>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924"/>
      <c r="EP9" s="927"/>
      <c r="EQ9" s="241"/>
      <c r="ER9" s="241"/>
      <c r="ES9" s="241"/>
      <c r="ET9" s="2104" t="s">
        <v>615</v>
      </c>
      <c r="EU9" s="2296"/>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286"/>
      <c r="AD10" s="2287"/>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9" t="str">
        <f>Z10</f>
        <v>NR</v>
      </c>
      <c r="BF10" s="2085"/>
      <c r="BG10" s="2085"/>
      <c r="BH10" s="1416"/>
      <c r="BI10" s="245"/>
      <c r="CA10" s="246"/>
      <c r="CB10" s="1933"/>
      <c r="CC10" s="1931"/>
      <c r="CD10" s="1931"/>
      <c r="CE10" s="1931"/>
      <c r="CF10" s="1932"/>
      <c r="CG10" s="1925" t="s">
        <v>469</v>
      </c>
      <c r="CH10" s="1926"/>
      <c r="CI10" s="1926"/>
      <c r="CJ10" s="1926"/>
      <c r="CK10" s="1926"/>
      <c r="CL10" s="1926"/>
      <c r="CM10" s="1926"/>
      <c r="CN10" s="1927"/>
      <c r="CO10" s="1927"/>
      <c r="CP10" s="1928"/>
      <c r="CQ10" s="1925" t="s">
        <v>470</v>
      </c>
      <c r="CR10" s="1926"/>
      <c r="CS10" s="1926"/>
      <c r="CT10" s="1926"/>
      <c r="CU10" s="1926"/>
      <c r="CV10" s="1926"/>
      <c r="CW10" s="1926"/>
      <c r="CX10" s="1927"/>
      <c r="CY10" s="1927"/>
      <c r="CZ10" s="1928"/>
      <c r="DA10" s="2258"/>
      <c r="DB10" s="1952"/>
      <c r="DC10" s="1952"/>
      <c r="DD10" s="1952"/>
      <c r="DE10" s="1953"/>
      <c r="DF10" s="141"/>
      <c r="DG10" s="1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241"/>
      <c r="EO10" s="241"/>
      <c r="EP10" s="241"/>
      <c r="EQ10" s="241"/>
      <c r="ER10" s="241"/>
      <c r="ES10" s="241"/>
      <c r="ET10" s="2297"/>
      <c r="EU10" s="2298"/>
      <c r="FW10" s="245"/>
      <c r="FX10" s="245"/>
      <c r="FY10" s="245"/>
      <c r="FZ10" s="245"/>
      <c r="GA10" s="2245" t="s">
        <v>1140</v>
      </c>
      <c r="GB10" s="2270"/>
      <c r="GC10" s="2270"/>
      <c r="GD10" s="2270"/>
      <c r="GE10" s="2270"/>
      <c r="GF10" s="2270"/>
      <c r="GG10" s="1931"/>
      <c r="GH10" s="1931"/>
      <c r="GI10" s="1931"/>
      <c r="GJ10" s="1931"/>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34"/>
      <c r="CC11" s="1935"/>
      <c r="CD11" s="1935"/>
      <c r="CE11" s="1935"/>
      <c r="CF11" s="1936"/>
      <c r="CG11" s="1929"/>
      <c r="CH11" s="1930"/>
      <c r="CI11" s="1930"/>
      <c r="CJ11" s="1930"/>
      <c r="CK11" s="1930"/>
      <c r="CL11" s="1930"/>
      <c r="CM11" s="1930"/>
      <c r="CN11" s="1931"/>
      <c r="CO11" s="1931"/>
      <c r="CP11" s="1932"/>
      <c r="CQ11" s="1943"/>
      <c r="CR11" s="1944"/>
      <c r="CS11" s="1944"/>
      <c r="CT11" s="1944"/>
      <c r="CU11" s="1944"/>
      <c r="CV11" s="1944"/>
      <c r="CW11" s="1944"/>
      <c r="CX11" s="1945"/>
      <c r="CY11" s="1945"/>
      <c r="CZ11" s="1946"/>
      <c r="DA11" s="1576"/>
      <c r="DB11" s="1947"/>
      <c r="DC11" s="1928"/>
      <c r="DD11" s="1949"/>
      <c r="DE11" s="1950"/>
      <c r="DF11" s="141"/>
      <c r="DG11" s="141"/>
      <c r="DH11" s="2005"/>
      <c r="DI11" s="1955"/>
      <c r="DJ11" s="1931"/>
      <c r="DK11" s="1931"/>
      <c r="DL11" s="1931"/>
      <c r="DM11" s="1931"/>
      <c r="DN11" s="1956"/>
      <c r="DO11" s="2002"/>
      <c r="DP11" s="225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241"/>
      <c r="ES11" s="241"/>
      <c r="ET11" s="2297"/>
      <c r="EU11" s="2298"/>
      <c r="FW11" s="2"/>
      <c r="FX11" s="2"/>
      <c r="FY11" s="2"/>
      <c r="FZ11" s="2"/>
      <c r="GA11" s="2271"/>
      <c r="GB11" s="2271"/>
      <c r="GC11" s="2271"/>
      <c r="GD11" s="2271"/>
      <c r="GE11" s="2271"/>
      <c r="GF11" s="2271"/>
      <c r="GG11" s="1935"/>
      <c r="GH11" s="1935"/>
      <c r="GI11" s="1935"/>
      <c r="GJ11" s="1935"/>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2068" t="s">
        <v>40</v>
      </c>
      <c r="B12" s="2069" t="s">
        <v>130</v>
      </c>
      <c r="C12" s="2069" t="s">
        <v>31</v>
      </c>
      <c r="D12" s="2069" t="s">
        <v>25</v>
      </c>
      <c r="E12" s="2073"/>
      <c r="F12" s="2079" t="s">
        <v>88</v>
      </c>
      <c r="G12" s="1969" t="s">
        <v>9</v>
      </c>
      <c r="H12" s="2077"/>
      <c r="I12" s="2077"/>
      <c r="J12" s="2077" t="s">
        <v>10</v>
      </c>
      <c r="K12" s="2077"/>
      <c r="L12" s="1967"/>
      <c r="M12" s="2071" t="s">
        <v>11</v>
      </c>
      <c r="N12" s="2072"/>
      <c r="O12" s="2074" t="s">
        <v>12</v>
      </c>
      <c r="P12" s="2075"/>
      <c r="Q12" s="2075" t="s">
        <v>13</v>
      </c>
      <c r="R12" s="2086"/>
      <c r="S12" s="2076" t="s">
        <v>14</v>
      </c>
      <c r="T12" s="2077"/>
      <c r="U12" s="2077"/>
      <c r="V12" s="2077"/>
      <c r="W12" s="2078"/>
      <c r="X12" s="1969" t="s">
        <v>111</v>
      </c>
      <c r="Y12" s="1967"/>
      <c r="Z12" s="1116" t="s">
        <v>15</v>
      </c>
      <c r="AA12" s="2288" t="s">
        <v>939</v>
      </c>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2278" t="s">
        <v>82</v>
      </c>
      <c r="AS12" s="2279"/>
      <c r="AT12" s="2279"/>
      <c r="AU12" s="2279"/>
      <c r="AV12" s="2279"/>
      <c r="AW12" s="2279"/>
      <c r="AX12" s="2279"/>
      <c r="AY12" s="2279"/>
      <c r="AZ12" s="2279"/>
      <c r="BA12" s="2279"/>
      <c r="BB12" s="2279"/>
      <c r="BC12" s="2279"/>
      <c r="BD12" s="2279"/>
      <c r="BE12" s="2279"/>
      <c r="BF12" s="2279"/>
      <c r="BG12" s="2279"/>
      <c r="BH12" s="1416"/>
      <c r="BJ12" s="117"/>
      <c r="BK12" s="117"/>
      <c r="BL12" s="117"/>
      <c r="BM12" s="117"/>
      <c r="BN12" s="117"/>
      <c r="BO12" s="117"/>
      <c r="BW12" s="2290" t="s">
        <v>630</v>
      </c>
      <c r="BX12" s="2291"/>
      <c r="BY12" s="2291"/>
      <c r="BZ12" s="2292"/>
      <c r="CA12" s="105"/>
      <c r="CB12" s="2127" t="s">
        <v>613</v>
      </c>
      <c r="CC12" s="2058" t="s">
        <v>130</v>
      </c>
      <c r="CD12" s="2129" t="s">
        <v>478</v>
      </c>
      <c r="CE12" s="2052" t="s">
        <v>1291</v>
      </c>
      <c r="CF12" s="2053"/>
      <c r="CG12" s="2220" t="s">
        <v>1292</v>
      </c>
      <c r="CH12" s="2222" t="s">
        <v>595</v>
      </c>
      <c r="CI12" s="2223"/>
      <c r="CJ12" s="2222" t="s">
        <v>596</v>
      </c>
      <c r="CK12" s="2223"/>
      <c r="CL12" s="2238" t="s">
        <v>488</v>
      </c>
      <c r="CM12" s="2240" t="s">
        <v>790</v>
      </c>
      <c r="CN12" s="1937" t="s">
        <v>1276</v>
      </c>
      <c r="CO12" s="1938"/>
      <c r="CP12" s="1939"/>
      <c r="CQ12" s="2226" t="s">
        <v>1292</v>
      </c>
      <c r="CR12" s="2228" t="s">
        <v>595</v>
      </c>
      <c r="CS12" s="2229"/>
      <c r="CT12" s="2228" t="s">
        <v>596</v>
      </c>
      <c r="CU12" s="2229"/>
      <c r="CV12" s="2056" t="s">
        <v>488</v>
      </c>
      <c r="CW12" s="2236" t="s">
        <v>790</v>
      </c>
      <c r="CX12" s="1940" t="s">
        <v>1276</v>
      </c>
      <c r="CY12" s="1941"/>
      <c r="CZ12" s="1942"/>
      <c r="DA12" s="2218" t="s">
        <v>806</v>
      </c>
      <c r="DB12" s="1948"/>
      <c r="DC12" s="1932"/>
      <c r="DD12" s="2233" t="s">
        <v>1284</v>
      </c>
      <c r="DE12" s="2235" t="s">
        <v>1285</v>
      </c>
      <c r="DF12" s="141"/>
      <c r="DG12" s="141"/>
      <c r="DH12" s="2005"/>
      <c r="DI12" s="2011" t="s">
        <v>1289</v>
      </c>
      <c r="DJ12" s="1983" t="s">
        <v>32</v>
      </c>
      <c r="DK12" s="1984"/>
      <c r="DL12" s="1987" t="s">
        <v>34</v>
      </c>
      <c r="DM12" s="1989" t="s">
        <v>489</v>
      </c>
      <c r="DN12" s="1990"/>
      <c r="DO12" s="2002"/>
      <c r="DP12" s="2259"/>
      <c r="DQ12" s="2013" t="s">
        <v>602</v>
      </c>
      <c r="DR12" s="1921"/>
      <c r="DS12" s="2013" t="s">
        <v>604</v>
      </c>
      <c r="DT12" s="2015" t="s">
        <v>605</v>
      </c>
      <c r="DU12" s="2016"/>
      <c r="DV12" s="2276" t="s">
        <v>598</v>
      </c>
      <c r="DW12" s="2277"/>
      <c r="DX12" s="2007" t="s">
        <v>1287</v>
      </c>
      <c r="DY12" s="2009" t="s">
        <v>1288</v>
      </c>
      <c r="DZ12" s="2276" t="s">
        <v>598</v>
      </c>
      <c r="EA12" s="2277"/>
      <c r="EB12" s="2007" t="s">
        <v>1287</v>
      </c>
      <c r="EC12" s="2009" t="s">
        <v>1288</v>
      </c>
      <c r="ED12" s="2276" t="s">
        <v>598</v>
      </c>
      <c r="EE12" s="2277"/>
      <c r="EF12" s="2007" t="s">
        <v>1287</v>
      </c>
      <c r="EG12" s="2009" t="s">
        <v>1288</v>
      </c>
      <c r="EH12" s="2276" t="s">
        <v>598</v>
      </c>
      <c r="EI12" s="2277"/>
      <c r="EJ12" s="2007" t="s">
        <v>1287</v>
      </c>
      <c r="EK12" s="2194" t="s">
        <v>1288</v>
      </c>
      <c r="EL12" s="241"/>
      <c r="EM12" s="2196" t="s">
        <v>789</v>
      </c>
      <c r="EN12" s="2243" t="s">
        <v>588</v>
      </c>
      <c r="EO12" s="2244"/>
      <c r="EP12" s="2244"/>
      <c r="EQ12" s="2196" t="s">
        <v>589</v>
      </c>
      <c r="ER12" s="2231" t="s">
        <v>786</v>
      </c>
      <c r="ES12" s="2232"/>
      <c r="ET12" s="2299"/>
      <c r="EU12" s="2300"/>
      <c r="FW12" s="2"/>
      <c r="FX12" s="2"/>
      <c r="FY12" s="2"/>
      <c r="FZ12" s="2"/>
      <c r="GA12" s="2118" t="s">
        <v>708</v>
      </c>
      <c r="GB12" s="2119"/>
      <c r="GC12" s="2118" t="s">
        <v>558</v>
      </c>
      <c r="GD12" s="2119"/>
      <c r="GE12" s="2120" t="s">
        <v>711</v>
      </c>
      <c r="GF12" s="2122" t="s">
        <v>632</v>
      </c>
      <c r="GG12" s="2118" t="s">
        <v>1142</v>
      </c>
      <c r="GH12" s="2119"/>
      <c r="GI12" s="2118" t="s">
        <v>1141</v>
      </c>
      <c r="GJ12" s="2119"/>
      <c r="GK12" s="2123" t="s">
        <v>712</v>
      </c>
      <c r="GL12" s="2123" t="s">
        <v>713</v>
      </c>
      <c r="GM12" s="2123" t="s">
        <v>714</v>
      </c>
      <c r="HA12" s="2175" t="s">
        <v>632</v>
      </c>
      <c r="HB12" s="2177" t="s">
        <v>1134</v>
      </c>
      <c r="HC12" s="2177" t="s">
        <v>1159</v>
      </c>
      <c r="HD12" s="2177" t="str">
        <f>IF($HA$1,"Bay Length","Overall Length")</f>
        <v>Overall Length</v>
      </c>
      <c r="HE12" s="2192"/>
      <c r="HF12" s="2177" t="str">
        <f>IF($HA$1,"L Sect #","TC Width")</f>
        <v>TC Width</v>
      </c>
      <c r="HG12" s="2185" t="str">
        <f>IF($HA$1,"L Min Sup Wid","TCXL Feet")</f>
        <v>TCXL Feet</v>
      </c>
      <c r="HH12" s="2185" t="str">
        <f>IF($HA$1,"L Max Sup Wid","TCXL Inch")</f>
        <v>TCXL Inch</v>
      </c>
      <c r="HI12" s="2185" t="str">
        <f>IF($HA$1,"L Min Flg Ga","TCXL Type")</f>
        <v>TCXL Type</v>
      </c>
      <c r="HJ12" s="2185" t="str">
        <f>IF($HA$1,"L Max Flg Ga","TCXR Feet")</f>
        <v>TCXR Feet</v>
      </c>
      <c r="HK12" s="2185" t="str">
        <f>IF($HA$1,"L Skew","TCXR Inch")</f>
        <v>TCXR Inch</v>
      </c>
      <c r="HL12" s="2185" t="str">
        <f>IF($HA$1,"L Brg Slp","TCXR Type")</f>
        <v>TCXR Type</v>
      </c>
      <c r="HM12" s="2177" t="str">
        <f>IF($HA$1,"R Sect #","BDL")</f>
        <v>BDL</v>
      </c>
      <c r="HN12" s="2185" t="str">
        <f>IF($HA$1,"R Min Sup Wid","BDR")</f>
        <v>BDR</v>
      </c>
      <c r="HO12" s="2185" t="str">
        <f>IF($HA$1,"R Max Sup Wid","BCXL Feet")</f>
        <v>BCXL Feet</v>
      </c>
      <c r="HP12" s="2185" t="str">
        <f>IF($HA$1,"R Min Flg Ga","BCXL Inch")</f>
        <v>BCXL Inch</v>
      </c>
      <c r="HQ12" s="2185" t="str">
        <f>IF($HA$1,"R Max Flg Ga","BCXR Feet")</f>
        <v>BCXR Feet</v>
      </c>
      <c r="HR12" s="2185" t="str">
        <f>IF($HA$1,"R Skew","BCXR Inch")</f>
        <v>BCXR Inch</v>
      </c>
      <c r="HS12" s="2185" t="str">
        <f>IF($HA$1,"R Brg Slp","HL Feet")</f>
        <v>HL Feet</v>
      </c>
      <c r="HT12" s="2185" t="str">
        <f>IF($HA$1,"TC Slope","HL Inch")</f>
        <v>HL Inch</v>
      </c>
      <c r="HU12" s="2185" t="str">
        <f>IF($HA$1,"Load Notes","HR Feet")</f>
        <v>HR Feet</v>
      </c>
      <c r="HV12" s="2185" t="str">
        <f>IF($HA$1,"Spcl Notes","HR Inch")</f>
        <v>HR Inch</v>
      </c>
      <c r="HW12" s="2185" t="str">
        <f>IF($HA$1,"# KB","Slot Ga")</f>
        <v>Slot Ga</v>
      </c>
      <c r="HX12" s="2185" t="str">
        <f>IF($HA$1,"TC Width","L Seat Slp")</f>
        <v>L Seat Slp</v>
      </c>
      <c r="HY12" s="2185" t="str">
        <f>IF($HA$1,"TCL Override","R Seat Slp")</f>
        <v>R Seat Slp</v>
      </c>
      <c r="HZ12" s="2185" t="str">
        <f>IF($HA$1,"TCR Override","Load Notes")</f>
        <v>Load Notes</v>
      </c>
      <c r="IA12" s="2185" t="str">
        <f>IF($HA$1,"L-BL Override","Spcl Notes")</f>
        <v>Spcl Notes</v>
      </c>
      <c r="IB12" s="2246" t="str">
        <f>IF($HA$1,"R-BL Override","# KB")</f>
        <v># KB</v>
      </c>
      <c r="IC12" s="2185" t="str">
        <f>IF($HA$1,"BDL Override","-")</f>
        <v>-</v>
      </c>
      <c r="ID12" s="2294" t="str">
        <f>IF($HA$1,"BDR Override","-")</f>
        <v>-</v>
      </c>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93"/>
      <c r="JN12" s="1193"/>
      <c r="JO12" s="1193"/>
    </row>
    <row r="13" spans="1:276" ht="21" customHeight="1" thickTop="1" thickBot="1" x14ac:dyDescent="0.3">
      <c r="A13" s="2068"/>
      <c r="B13" s="2069"/>
      <c r="C13" s="2069"/>
      <c r="D13" s="2069"/>
      <c r="E13" s="2073"/>
      <c r="F13" s="2079"/>
      <c r="G13" s="1977" t="s">
        <v>16</v>
      </c>
      <c r="H13" s="2070"/>
      <c r="I13" s="1102" t="s">
        <v>732</v>
      </c>
      <c r="J13" s="2070" t="s">
        <v>16</v>
      </c>
      <c r="K13" s="2070"/>
      <c r="L13" s="1065" t="s">
        <v>732</v>
      </c>
      <c r="M13" s="1106" t="s">
        <v>18</v>
      </c>
      <c r="N13" s="461" t="s">
        <v>19</v>
      </c>
      <c r="O13" s="2074"/>
      <c r="P13" s="2075"/>
      <c r="Q13" s="2075"/>
      <c r="R13" s="2086"/>
      <c r="S13" s="1980" t="s">
        <v>80</v>
      </c>
      <c r="T13" s="2070"/>
      <c r="U13" s="2070" t="s">
        <v>81</v>
      </c>
      <c r="V13" s="2070"/>
      <c r="W13" s="461" t="s">
        <v>27</v>
      </c>
      <c r="X13" s="1101" t="s">
        <v>112</v>
      </c>
      <c r="Y13" s="1065" t="s">
        <v>113</v>
      </c>
      <c r="Z13" s="1117" t="s">
        <v>57</v>
      </c>
      <c r="AA13" s="2289"/>
      <c r="AB13" s="2068"/>
      <c r="AC13" s="1962"/>
      <c r="AD13" s="1965"/>
      <c r="AE13" s="1966"/>
      <c r="AF13" s="1102" t="s">
        <v>33</v>
      </c>
      <c r="AG13" s="2070" t="s">
        <v>16</v>
      </c>
      <c r="AH13" s="2070"/>
      <c r="AI13" s="1965"/>
      <c r="AJ13" s="1966"/>
      <c r="AK13" s="1971"/>
      <c r="AL13" s="1118" t="s">
        <v>738</v>
      </c>
      <c r="AM13" s="1103" t="s">
        <v>735</v>
      </c>
      <c r="AN13" s="1103" t="s">
        <v>736</v>
      </c>
      <c r="AO13" s="1104"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28"/>
      <c r="CC13" s="2057"/>
      <c r="CD13" s="2130"/>
      <c r="CE13" s="2054"/>
      <c r="CF13" s="2055"/>
      <c r="CG13" s="2221"/>
      <c r="CH13" s="2224"/>
      <c r="CI13" s="2225"/>
      <c r="CJ13" s="2224"/>
      <c r="CK13" s="2225"/>
      <c r="CL13" s="2239"/>
      <c r="CM13" s="2241"/>
      <c r="CN13" s="1546" t="s">
        <v>1283</v>
      </c>
      <c r="CO13" s="1547" t="s">
        <v>1278</v>
      </c>
      <c r="CP13" s="1548" t="s">
        <v>501</v>
      </c>
      <c r="CQ13" s="2227"/>
      <c r="CR13" s="2130"/>
      <c r="CS13" s="2230"/>
      <c r="CT13" s="2130"/>
      <c r="CU13" s="2230"/>
      <c r="CV13" s="2057"/>
      <c r="CW13" s="2237"/>
      <c r="CX13" s="1546" t="s">
        <v>1283</v>
      </c>
      <c r="CY13" s="1547" t="s">
        <v>1278</v>
      </c>
      <c r="CZ13" s="1548" t="s">
        <v>501</v>
      </c>
      <c r="DA13" s="2219"/>
      <c r="DB13" s="431" t="s">
        <v>418</v>
      </c>
      <c r="DC13" s="432" t="s">
        <v>553</v>
      </c>
      <c r="DD13" s="2234"/>
      <c r="DE13" s="2234"/>
      <c r="DF13" s="141"/>
      <c r="DG13" s="141"/>
      <c r="DH13" s="2006"/>
      <c r="DI13" s="2012"/>
      <c r="DJ13" s="1985"/>
      <c r="DK13" s="1986"/>
      <c r="DL13" s="1988"/>
      <c r="DM13" s="1991"/>
      <c r="DN13" s="1992"/>
      <c r="DO13" s="2003"/>
      <c r="DP13" s="226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241"/>
      <c r="EM13" s="2242"/>
      <c r="EN13" s="522" t="s">
        <v>585</v>
      </c>
      <c r="EO13" s="433" t="s">
        <v>586</v>
      </c>
      <c r="EP13" s="434" t="s">
        <v>587</v>
      </c>
      <c r="EQ13" s="224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121"/>
      <c r="GF13" s="2121"/>
      <c r="GG13" s="542" t="s">
        <v>709</v>
      </c>
      <c r="GH13" s="543" t="s">
        <v>710</v>
      </c>
      <c r="GI13" s="542" t="s">
        <v>709</v>
      </c>
      <c r="GJ13" s="543" t="s">
        <v>710</v>
      </c>
      <c r="GK13" s="2124"/>
      <c r="GL13" s="2124"/>
      <c r="GM13" s="2124"/>
      <c r="HA13" s="2273"/>
      <c r="HB13" s="2261"/>
      <c r="HC13" s="2261"/>
      <c r="HD13" s="2261"/>
      <c r="HE13" s="2261"/>
      <c r="HF13" s="2261"/>
      <c r="HG13" s="2261"/>
      <c r="HH13" s="2261"/>
      <c r="HI13" s="2261"/>
      <c r="HJ13" s="2261"/>
      <c r="HK13" s="2261"/>
      <c r="HL13" s="2261"/>
      <c r="HM13" s="2261"/>
      <c r="HN13" s="2261"/>
      <c r="HO13" s="2261"/>
      <c r="HP13" s="2261"/>
      <c r="HQ13" s="2261"/>
      <c r="HR13" s="2261"/>
      <c r="HS13" s="2261"/>
      <c r="HT13" s="2261"/>
      <c r="HU13" s="2261"/>
      <c r="HV13" s="2261"/>
      <c r="HW13" s="2261"/>
      <c r="HX13" s="2261"/>
      <c r="HY13" s="2261"/>
      <c r="HZ13" s="2261"/>
      <c r="IA13" s="2261"/>
      <c r="IB13" s="2293"/>
      <c r="IC13" s="2261"/>
      <c r="ID13" s="2295"/>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246"/>
      <c r="FM50" s="246"/>
      <c r="FN50" s="2210" t="s">
        <v>616</v>
      </c>
      <c r="FO50" s="2211"/>
      <c r="FP50" s="2211"/>
      <c r="FQ50" s="2211"/>
      <c r="FR50" s="2211"/>
      <c r="FS50" s="2212"/>
      <c r="FT50" s="2179" t="s">
        <v>617</v>
      </c>
      <c r="FU50" s="2180"/>
      <c r="FV50" s="2180"/>
      <c r="FW50" s="2180"/>
      <c r="FX50" s="2180"/>
      <c r="FY50" s="2180"/>
      <c r="FZ50" s="2181"/>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28"/>
      <c r="EQ51" s="2028"/>
      <c r="ER51" s="2028"/>
      <c r="ES51" s="2028"/>
      <c r="ET51" s="2028"/>
      <c r="EU51" s="2028"/>
      <c r="EV51" s="293"/>
      <c r="EW51" s="293"/>
      <c r="EX51" s="2200" t="s">
        <v>618</v>
      </c>
      <c r="EY51" s="2198" t="s">
        <v>619</v>
      </c>
      <c r="EZ51" s="293"/>
      <c r="FA51" s="293"/>
      <c r="FB51" s="293"/>
      <c r="FC51" s="293"/>
      <c r="FD51" s="293"/>
      <c r="FF51" s="2166" t="s">
        <v>947</v>
      </c>
      <c r="FG51" s="2167"/>
      <c r="FH51" s="2167"/>
      <c r="FI51" s="2167"/>
      <c r="FL51" s="246"/>
      <c r="FM51" s="246"/>
      <c r="FN51" s="2213"/>
      <c r="FO51" s="2214"/>
      <c r="FP51" s="2214"/>
      <c r="FQ51" s="2214"/>
      <c r="FR51" s="2214"/>
      <c r="FS51" s="2215"/>
      <c r="FT51" s="2182"/>
      <c r="FU51" s="2183"/>
      <c r="FV51" s="2183"/>
      <c r="FW51" s="2183"/>
      <c r="FX51" s="2183"/>
      <c r="FY51" s="2183"/>
      <c r="FZ51" s="2184"/>
      <c r="GA51" s="245"/>
      <c r="GB51" s="245"/>
      <c r="GC51" s="245"/>
      <c r="GD51" s="245"/>
      <c r="GE51" s="245"/>
      <c r="GF51" s="245"/>
      <c r="GG51" s="245"/>
      <c r="GH51" s="245"/>
      <c r="GI51" s="245"/>
      <c r="GJ51" s="245"/>
      <c r="GK51" s="2"/>
    </row>
    <row r="52" spans="1:193" ht="12.6"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509</v>
      </c>
      <c r="DA52" s="2136"/>
      <c r="DB52" s="2027" t="s">
        <v>510</v>
      </c>
      <c r="DC52" s="2031" t="s">
        <v>513</v>
      </c>
      <c r="DD52" s="2031" t="s">
        <v>514</v>
      </c>
      <c r="DE52" s="2027" t="s">
        <v>544</v>
      </c>
      <c r="DF52" s="2135" t="s">
        <v>511</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28"/>
      <c r="EQ52" s="2028"/>
      <c r="ER52" s="2028"/>
      <c r="ES52" s="2028"/>
      <c r="ET52" s="2028"/>
      <c r="EU52" s="202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272" t="s">
        <v>493</v>
      </c>
      <c r="FP52" s="2263" t="s">
        <v>494</v>
      </c>
      <c r="FQ52" s="2263" t="s">
        <v>495</v>
      </c>
      <c r="FR52" s="2268" t="s">
        <v>496</v>
      </c>
      <c r="FS52" s="2265"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c r="GK52" s="2"/>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28"/>
      <c r="EQ53" s="2028"/>
      <c r="ER53" s="2028"/>
      <c r="ES53" s="2028"/>
      <c r="ET53" s="2028"/>
      <c r="EU53" s="202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264"/>
      <c r="FP53" s="2264"/>
      <c r="FQ53" s="2264"/>
      <c r="FR53" s="2264"/>
      <c r="FS53" s="2266"/>
      <c r="FT53" s="2267"/>
      <c r="FU53" s="2269"/>
      <c r="FV53" s="2269"/>
      <c r="FW53" s="2269"/>
      <c r="FX53" s="2269"/>
      <c r="FY53" s="2269"/>
      <c r="FZ53" s="2269"/>
      <c r="GA53" s="2274"/>
      <c r="GB53" s="2262"/>
      <c r="GC53" s="2275"/>
      <c r="GD53" s="208" t="s">
        <v>623</v>
      </c>
      <c r="GE53" s="142" t="s">
        <v>624</v>
      </c>
      <c r="GF53" s="135" t="s">
        <v>626</v>
      </c>
      <c r="GG53" s="135" t="s">
        <v>627</v>
      </c>
      <c r="GH53" s="135" t="s">
        <v>628</v>
      </c>
      <c r="GI53" s="136" t="s">
        <v>629</v>
      </c>
      <c r="GJ53" s="2205"/>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1036" priority="610" stopIfTrue="1" operator="lessThan">
      <formula>0</formula>
    </cfRule>
  </conditionalFormatting>
  <conditionalFormatting sqref="DI14">
    <cfRule type="expression" dxfId="1035" priority="179">
      <formula>UPPER(#REF!)="X"</formula>
    </cfRule>
  </conditionalFormatting>
  <conditionalFormatting sqref="DJ14">
    <cfRule type="expression" dxfId="1034" priority="612">
      <formula>OR(UPPER(#REF!)="X",UPPER(#REF!="X"))</formula>
    </cfRule>
  </conditionalFormatting>
  <conditionalFormatting sqref="DK14">
    <cfRule type="expression" dxfId="1033" priority="613">
      <formula>OR(UPPER(#REF!)="X",UPPER(#REF!="X"))</formula>
    </cfRule>
  </conditionalFormatting>
  <conditionalFormatting sqref="Q2:T4 AU2:AX4">
    <cfRule type="cellIs" dxfId="1032" priority="615" stopIfTrue="1" operator="equal">
      <formula>""</formula>
    </cfRule>
  </conditionalFormatting>
  <conditionalFormatting sqref="DM54:DM85">
    <cfRule type="cellIs" dxfId="1031" priority="538" stopIfTrue="1" operator="notEqual">
      <formula>DN54</formula>
    </cfRule>
  </conditionalFormatting>
  <conditionalFormatting sqref="DT54:DT85">
    <cfRule type="cellIs" dxfId="1030" priority="537" stopIfTrue="1" operator="notEqual">
      <formula>DU54</formula>
    </cfRule>
  </conditionalFormatting>
  <conditionalFormatting sqref="DA4">
    <cfRule type="expression" dxfId="1029" priority="357" stopIfTrue="1">
      <formula>NOT(ISBLANK($DA$4))</formula>
    </cfRule>
  </conditionalFormatting>
  <conditionalFormatting sqref="M7">
    <cfRule type="expression" dxfId="1028" priority="353" stopIfTrue="1">
      <formula>OR(ISBLANK($M$7),$M$7="")</formula>
    </cfRule>
    <cfRule type="expression" dxfId="1027" priority="354" stopIfTrue="1">
      <formula>NOT(OR(COUNTIF(masterFinishList, $M$7) &gt; 0, COUNTIF($M$7, "Other:*") &gt; 0))</formula>
    </cfRule>
  </conditionalFormatting>
  <conditionalFormatting sqref="A14:B45 A87:B87">
    <cfRule type="expression" dxfId="1026" priority="138" stopIfTrue="1">
      <formula>AND(NOT($BK$1),$B14=0,OR($BJ$1="",$BJ$1="M"))</formula>
    </cfRule>
  </conditionalFormatting>
  <conditionalFormatting sqref="C14:C45">
    <cfRule type="expression" dxfId="1025" priority="165">
      <formula>AND(NOT($BK14),NOT(BR14))</formula>
    </cfRule>
  </conditionalFormatting>
  <conditionalFormatting sqref="U14:U45">
    <cfRule type="expression" dxfId="1024" priority="232">
      <formula>AND(NOT($BK14),BV14="No")</formula>
    </cfRule>
  </conditionalFormatting>
  <conditionalFormatting sqref="V14:V45">
    <cfRule type="expression" dxfId="1023" priority="233">
      <formula>AND(NOT($BK14),BV14="No")</formula>
    </cfRule>
  </conditionalFormatting>
  <conditionalFormatting sqref="S14:S45">
    <cfRule type="expression" dxfId="1022" priority="230">
      <formula>AND(NOT($BK14),BT14="No")</formula>
    </cfRule>
  </conditionalFormatting>
  <conditionalFormatting sqref="T14:T45">
    <cfRule type="expression" dxfId="1021" priority="231">
      <formula>AND(NOT($BK14),BT14="No")</formula>
    </cfRule>
  </conditionalFormatting>
  <conditionalFormatting sqref="W14:W45">
    <cfRule type="expression" dxfId="1020" priority="93">
      <formula>$W14=0</formula>
    </cfRule>
  </conditionalFormatting>
  <conditionalFormatting sqref="DI15:DI45">
    <cfRule type="expression" dxfId="1019" priority="614">
      <formula>FM54="X"</formula>
    </cfRule>
  </conditionalFormatting>
  <conditionalFormatting sqref="DJ15:DJ45">
    <cfRule type="expression" dxfId="1018" priority="1013">
      <formula>FM54="X"</formula>
    </cfRule>
  </conditionalFormatting>
  <conditionalFormatting sqref="DK15:DK45">
    <cfRule type="expression" dxfId="1017" priority="1014">
      <formula>FM54="X"</formula>
    </cfRule>
  </conditionalFormatting>
  <conditionalFormatting sqref="DT14:DU45">
    <cfRule type="expression" dxfId="1016" priority="1015">
      <formula>GD54=0</formula>
    </cfRule>
  </conditionalFormatting>
  <conditionalFormatting sqref="DH14:DH45">
    <cfRule type="expression" dxfId="1015" priority="32">
      <formula>NOT($FQ14)</formula>
    </cfRule>
    <cfRule type="expression" dxfId="1014" priority="1016">
      <formula>FJ54="G"</formula>
    </cfRule>
  </conditionalFormatting>
  <conditionalFormatting sqref="DM14:DN45">
    <cfRule type="expression" dxfId="1013" priority="1018">
      <formula>FIND("B",$GK54)</formula>
    </cfRule>
  </conditionalFormatting>
  <conditionalFormatting sqref="DJ14:DK45">
    <cfRule type="expression" dxfId="1012" priority="1036">
      <formula>FIND("A",$GK54)</formula>
    </cfRule>
  </conditionalFormatting>
  <conditionalFormatting sqref="DL14:DL45">
    <cfRule type="expression" dxfId="1011" priority="3">
      <formula>AND(NOT(ISBLANK($DH14)),ISBLANK($DL14))</formula>
    </cfRule>
    <cfRule type="expression" dxfId="1010" priority="176">
      <formula>FIND("B",$GK54)</formula>
    </cfRule>
  </conditionalFormatting>
  <conditionalFormatting sqref="DI14:DI45">
    <cfRule type="expression" dxfId="1009" priority="1038">
      <formula>NOT($EY14)</formula>
    </cfRule>
  </conditionalFormatting>
  <conditionalFormatting sqref="DQ14:DQ45">
    <cfRule type="expression" dxfId="1008" priority="137">
      <formula>DQ14&lt;&gt;EZ14</formula>
    </cfRule>
  </conditionalFormatting>
  <conditionalFormatting sqref="AD87:AE87 AD14:AE45">
    <cfRule type="expression" dxfId="1007" priority="162">
      <formula>AND(NOT($BZ14),FIND("A",$GK54))</formula>
    </cfRule>
  </conditionalFormatting>
  <conditionalFormatting sqref="AI87:AJ87 AI14:AJ45">
    <cfRule type="expression" dxfId="1006" priority="163">
      <formula>AND(NOT($BZ14),FIND("B",$GK54))</formula>
    </cfRule>
  </conditionalFormatting>
  <conditionalFormatting sqref="AC14:AC45">
    <cfRule type="expression" dxfId="1005" priority="164">
      <formula>AND(NOT($BZ14),NOT($EY14))</formula>
    </cfRule>
  </conditionalFormatting>
  <conditionalFormatting sqref="AM14:AM45">
    <cfRule type="expression" dxfId="1004" priority="144">
      <formula>AND(NOT($BZ14),AM14&lt;&gt;EZ14)</formula>
    </cfRule>
  </conditionalFormatting>
  <conditionalFormatting sqref="FF14:FF45">
    <cfRule type="expression" dxfId="1003" priority="145">
      <formula>$FC14=0</formula>
    </cfRule>
  </conditionalFormatting>
  <conditionalFormatting sqref="AD14:AJ45">
    <cfRule type="expression" dxfId="1002" priority="136">
      <formula>AND(NOT($BZ14),NOT($FA14))</formula>
    </cfRule>
  </conditionalFormatting>
  <conditionalFormatting sqref="DB14:DC45">
    <cfRule type="expression" dxfId="1001" priority="94">
      <formula>AND(NOT($BK14),LEN($Z14)&gt;27)</formula>
    </cfRule>
  </conditionalFormatting>
  <conditionalFormatting sqref="C87">
    <cfRule type="expression" dxfId="1000" priority="86" stopIfTrue="1">
      <formula>AND(NOT($BK87),NOT(BR87))</formula>
    </cfRule>
  </conditionalFormatting>
  <conditionalFormatting sqref="U87">
    <cfRule type="expression" dxfId="999" priority="90" stopIfTrue="1">
      <formula>AND(NOT($BK87),BV87="No")</formula>
    </cfRule>
  </conditionalFormatting>
  <conditionalFormatting sqref="V87">
    <cfRule type="expression" dxfId="998" priority="91" stopIfTrue="1">
      <formula>AND(NOT($BK87),BV87="No")</formula>
    </cfRule>
  </conditionalFormatting>
  <conditionalFormatting sqref="S87">
    <cfRule type="expression" dxfId="997" priority="88" stopIfTrue="1">
      <formula>AND(NOT($BK87),BT87="No")</formula>
    </cfRule>
  </conditionalFormatting>
  <conditionalFormatting sqref="T87">
    <cfRule type="expression" dxfId="996" priority="89" stopIfTrue="1">
      <formula>AND(NOT($BK87),BT87="No")</formula>
    </cfRule>
  </conditionalFormatting>
  <conditionalFormatting sqref="W87">
    <cfRule type="expression" dxfId="995" priority="74">
      <formula>$W87=0</formula>
    </cfRule>
  </conditionalFormatting>
  <conditionalFormatting sqref="AR87:AS87 AR14:AS45">
    <cfRule type="expression" dxfId="994" priority="79">
      <formula>AND(NOT($BZ14),$FF54)</formula>
    </cfRule>
  </conditionalFormatting>
  <conditionalFormatting sqref="AV87:AW87 AV14:AW45">
    <cfRule type="expression" dxfId="993" priority="80">
      <formula>AND(NOT($BZ14),$FG54)</formula>
    </cfRule>
  </conditionalFormatting>
  <conditionalFormatting sqref="AZ87:BA87 AZ14:BA45">
    <cfRule type="expression" dxfId="992" priority="81">
      <formula>AND(NOT($BZ14),$FH54)</formula>
    </cfRule>
  </conditionalFormatting>
  <conditionalFormatting sqref="BD87:BE87 BD14:BE45">
    <cfRule type="expression" dxfId="991" priority="82">
      <formula>AND(NOT($BZ14),$FI54)</formula>
    </cfRule>
  </conditionalFormatting>
  <conditionalFormatting sqref="AC87">
    <cfRule type="expression" dxfId="990" priority="85">
      <formula>AND(NOT($BZ87),NOT($EY87))</formula>
    </cfRule>
  </conditionalFormatting>
  <conditionalFormatting sqref="AM87">
    <cfRule type="expression" dxfId="989" priority="78">
      <formula>AND(NOT($BZ87),AM87&lt;&gt;EZ87)</formula>
    </cfRule>
  </conditionalFormatting>
  <conditionalFormatting sqref="AD87:AJ87">
    <cfRule type="expression" dxfId="988" priority="76">
      <formula>AND(NOT($BZ87),NOT($FA87))</formula>
    </cfRule>
  </conditionalFormatting>
  <conditionalFormatting sqref="AA87 A87:Y87">
    <cfRule type="expression" dxfId="987" priority="87">
      <formula>$BI87</formula>
    </cfRule>
  </conditionalFormatting>
  <conditionalFormatting sqref="AB87:BG87">
    <cfRule type="expression" dxfId="986" priority="73">
      <formula>$CA87</formula>
    </cfRule>
  </conditionalFormatting>
  <conditionalFormatting sqref="CD14:CD45">
    <cfRule type="expression" dxfId="985" priority="35">
      <formula>AND(NOT($BK14),NOT($BR14))</formula>
    </cfRule>
  </conditionalFormatting>
  <conditionalFormatting sqref="DD14:DD45">
    <cfRule type="cellIs" dxfId="984" priority="48" operator="greaterThan">
      <formula>EY54</formula>
    </cfRule>
    <cfRule type="expression" dxfId="983" priority="49">
      <formula>AND(ISBLANK(DD14),EY54&gt;0)</formula>
    </cfRule>
  </conditionalFormatting>
  <conditionalFormatting sqref="DE14:DE45">
    <cfRule type="cellIs" dxfId="982" priority="50" operator="lessThan">
      <formula>EX54</formula>
    </cfRule>
    <cfRule type="expression" dxfId="981" priority="51">
      <formula>AND(ISBLANK(DE14),EX54&lt;&gt;"")</formula>
    </cfRule>
  </conditionalFormatting>
  <conditionalFormatting sqref="AB14:AO45 DH14:EK45 BF14:BG45">
    <cfRule type="expression" dxfId="980" priority="1243">
      <formula>$FP14</formula>
    </cfRule>
  </conditionalFormatting>
  <conditionalFormatting sqref="A14:Y45 AA14:AA45 DA14:DE45 CB14:CY45">
    <cfRule type="expression" dxfId="979" priority="1247">
      <formula>$FN14</formula>
    </cfRule>
  </conditionalFormatting>
  <conditionalFormatting sqref="AB14:AB45">
    <cfRule type="expression" dxfId="978" priority="31">
      <formula>NOT($FQ14)</formula>
    </cfRule>
  </conditionalFormatting>
  <conditionalFormatting sqref="CB14:CB45">
    <cfRule type="expression" dxfId="977" priority="4">
      <formula>NOT($FO14)</formula>
    </cfRule>
  </conditionalFormatting>
  <conditionalFormatting sqref="A14:A45">
    <cfRule type="expression" dxfId="976" priority="29">
      <formula>NOT($FO14)</formula>
    </cfRule>
  </conditionalFormatting>
  <conditionalFormatting sqref="CZ14:CZ45">
    <cfRule type="expression" dxfId="975" priority="25">
      <formula>$FN14</formula>
    </cfRule>
  </conditionalFormatting>
  <conditionalFormatting sqref="Z87">
    <cfRule type="expression" dxfId="974" priority="21">
      <formula>$FN87</formula>
    </cfRule>
  </conditionalFormatting>
  <conditionalFormatting sqref="Z87">
    <cfRule type="expression" dxfId="973" priority="22">
      <formula>AND(NOT($BK87),LEN($Z87)&gt;27)</formula>
    </cfRule>
  </conditionalFormatting>
  <conditionalFormatting sqref="Z14:Z45">
    <cfRule type="expression" dxfId="972" priority="17">
      <formula>$FN14</formula>
    </cfRule>
  </conditionalFormatting>
  <conditionalFormatting sqref="Z14:Z45">
    <cfRule type="expression" dxfId="971" priority="18">
      <formula>AND(NOT($BK14),LEN($Z14)&gt;27)</formula>
    </cfRule>
  </conditionalFormatting>
  <conditionalFormatting sqref="AP14:AQ45">
    <cfRule type="expression" dxfId="970" priority="15">
      <formula>$FP14</formula>
    </cfRule>
  </conditionalFormatting>
  <conditionalFormatting sqref="AR14:BE45">
    <cfRule type="expression" dxfId="969" priority="9">
      <formula>$FP14</formula>
    </cfRule>
  </conditionalFormatting>
  <conditionalFormatting sqref="CB14:CC45">
    <cfRule type="expression" dxfId="968" priority="30">
      <formula>AND(NOT($BK$1),$B14=0,OR($BJ$1="",$BJ$1="M"))</formula>
    </cfRule>
  </conditionalFormatting>
  <conditionalFormatting sqref="CJ14:CJ45">
    <cfRule type="expression" dxfId="967" priority="1776">
      <formula>AND(NOT($BK14),OR($CC54="M",$CC54="C",$CC54="G"))</formula>
    </cfRule>
    <cfRule type="expression" dxfId="966" priority="1777">
      <formula>AND(NOT($BK14),AND(OR($CC54="B",$CC54="G"),CJ14="",CK14=""))</formula>
    </cfRule>
    <cfRule type="expression" dxfId="965" priority="1778">
      <formula>AND(NOT($BK14),EG54="ERR")</formula>
    </cfRule>
  </conditionalFormatting>
  <conditionalFormatting sqref="CK14:CK45">
    <cfRule type="expression" dxfId="964" priority="1779">
      <formula>AND(NOT($BK14),OR($CC54="M",$CC54="C",$CC54="G"))</formula>
    </cfRule>
    <cfRule type="expression" dxfId="963" priority="1780">
      <formula>AND(NOT($BK14),AND(OR($CC54="B",$CC54="G"),CJ14="",CK14=""))</formula>
    </cfRule>
    <cfRule type="expression" dxfId="962" priority="1781">
      <formula>AND(NOT($BK14),EG54="ERR")</formula>
    </cfRule>
  </conditionalFormatting>
  <conditionalFormatting sqref="CH14:CH45">
    <cfRule type="expression" dxfId="961" priority="1790">
      <formula>AND(NOT($BK14),OR($CC54="M",$CC54="C"))</formula>
    </cfRule>
    <cfRule type="expression" dxfId="960" priority="1791">
      <formula>AND(NOT($BK14),AND(CH14="",CI14="",OR($CC54="B",$CC54="G")))</formula>
    </cfRule>
    <cfRule type="expression" dxfId="959" priority="1792">
      <formula>AND(NOT($BK14),(CH14/2)/COS(RADIANS(CL14))+CD54-DC54&lt;$FB$4)</formula>
    </cfRule>
  </conditionalFormatting>
  <conditionalFormatting sqref="CI14:CI45">
    <cfRule type="expression" dxfId="958" priority="1793">
      <formula>AND(NOT($BK14),OR($CC54="M",$CC54="C"))</formula>
    </cfRule>
    <cfRule type="expression" dxfId="957" priority="1794">
      <formula>AND(NOT($BK14),AND(CH14="",CI14="",OR($CC54="B",$CC54="G")))</formula>
    </cfRule>
    <cfRule type="expression" dxfId="956" priority="1795">
      <formula>AND(NOT($BK14),(CI14/2)/COS(RADIANS(CL14))+CD54-DC54&lt;$FB$4)</formula>
    </cfRule>
  </conditionalFormatting>
  <conditionalFormatting sqref="CT14:CT45">
    <cfRule type="expression" dxfId="955" priority="1814">
      <formula>AND(NOT($BK14),OR($CL54="M",$CL54="C",$CL54="G"))</formula>
    </cfRule>
    <cfRule type="expression" dxfId="954" priority="1815">
      <formula>AND(NOT($BK14),AND(OR($CL54="B",$CL54="G"),CT14="",CU14=""))</formula>
    </cfRule>
    <cfRule type="expression" dxfId="953" priority="1816">
      <formula>AND(NOT($BK14),EJ54="ERR")</formula>
    </cfRule>
  </conditionalFormatting>
  <conditionalFormatting sqref="CU14:CU45">
    <cfRule type="expression" dxfId="952" priority="1817">
      <formula>AND(NOT($BK14),OR($CL54="M",$CL54="C",$CL54="G"))</formula>
    </cfRule>
    <cfRule type="expression" dxfId="951" priority="1818">
      <formula>AND(NOT($BK14),AND(OR($CL54="B",$CL54="G"),CT14="",CU14=""))</formula>
    </cfRule>
    <cfRule type="expression" dxfId="950" priority="1819">
      <formula>AND(NOT($BK14),EJ54="ERR")</formula>
    </cfRule>
  </conditionalFormatting>
  <conditionalFormatting sqref="CR14:CR45">
    <cfRule type="expression" dxfId="949" priority="1822">
      <formula>AND(NOT($BK14),OR($CL54="M",$CL54="C"))</formula>
    </cfRule>
    <cfRule type="expression" dxfId="948" priority="1823">
      <formula>AND(NOT($BK14),AND(CR14="",CS14="",OR($CL54="B",$CL54="G")))</formula>
    </cfRule>
    <cfRule type="expression" dxfId="947" priority="1824">
      <formula>AND(NOT($BK14),(CR14/2)/COS(RADIANS(CV14))+CM54-DI54&lt;$FB$4)</formula>
    </cfRule>
  </conditionalFormatting>
  <conditionalFormatting sqref="CS14:CS45">
    <cfRule type="expression" dxfId="946" priority="1825">
      <formula>AND(NOT($BK14),OR($CL54="M",$CL54="C"))</formula>
    </cfRule>
    <cfRule type="expression" dxfId="945" priority="1826">
      <formula>AND(NOT($BK14),AND(CR14="",CS14="",OR($CL54="B",$CL54="G")))</formula>
    </cfRule>
    <cfRule type="expression" dxfId="944" priority="1827">
      <formula>AND(NOT($BK14),(CS14/2)/COS(RADIANS(CV14))+CM54-DI54&lt;$FB$4)</formula>
    </cfRule>
  </conditionalFormatting>
  <conditionalFormatting sqref="CW14:CW45 CM14:CM45">
    <cfRule type="expression" dxfId="943" priority="1849">
      <formula>AND(NOT($BK14),AND(ISBLANK(CM14),AND(NOT(ISBLANK(CL14)),$DA14&lt;&gt;0)))</formula>
    </cfRule>
  </conditionalFormatting>
  <conditionalFormatting sqref="GA48:GB48">
    <cfRule type="expression" dxfId="942" priority="2" stopIfTrue="1">
      <formula>$GM50&gt;=0.125</formula>
    </cfRule>
  </conditionalFormatting>
  <conditionalFormatting sqref="CO14:CO45">
    <cfRule type="expression" dxfId="941" priority="1914">
      <formula>ET14&lt;&gt;""</formula>
    </cfRule>
  </conditionalFormatting>
  <conditionalFormatting sqref="CY14:CY45">
    <cfRule type="expression" dxfId="940" priority="1915">
      <formula>EU14&lt;&gt;""</formula>
    </cfRule>
  </conditionalFormatting>
  <conditionalFormatting sqref="CG14:CG45">
    <cfRule type="expression" dxfId="939" priority="1916">
      <formula>AND(NOT($BK14),ISERROR(CC54))</formula>
    </cfRule>
    <cfRule type="expression" dxfId="938" priority="1917">
      <formula>AND(NOT($BK14),OR(ISERROR(CC54),CC54="", ET14&lt;&gt;""))</formula>
    </cfRule>
  </conditionalFormatting>
  <conditionalFormatting sqref="CQ14:CQ45">
    <cfRule type="expression" dxfId="937" priority="1918">
      <formula>AND(NOT($BK14),ISERROR(CL54))</formula>
    </cfRule>
    <cfRule type="expression" dxfId="936" priority="1919">
      <formula>AND(NOT($BK14),OR(CL54="", EU14&lt;&gt;""))</formula>
    </cfRule>
  </conditionalFormatting>
  <conditionalFormatting sqref="DC14:DC45">
    <cfRule type="expression" dxfId="935" priority="1999">
      <formula>OR(EN14&lt;&gt;"",EO14&lt;&gt;"",EP14&lt;&gt;"",EQ14&lt;&gt;"",ER14&lt;&gt;"",ES14&lt;&gt;"",ET14&lt;&gt;"",EU14&lt;&gt;"")</formula>
    </cfRule>
  </conditionalFormatting>
  <conditionalFormatting sqref="B87">
    <cfRule type="expression" dxfId="934" priority="1">
      <formula>$FN87</formula>
    </cfRule>
  </conditionalFormatting>
  <conditionalFormatting sqref="D14:E45">
    <cfRule type="expression" dxfId="933" priority="2000" stopIfTrue="1">
      <formula xml:space="preserve"> AND($GM14 &gt;= 0.125, $GL14 &gt; 0)</formula>
    </cfRule>
  </conditionalFormatting>
  <conditionalFormatting sqref="GA14:GB45">
    <cfRule type="expression" dxfId="932"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421" t="str">
        <f>IF(ISBLANK(CC15),"",CC15)</f>
        <v/>
      </c>
      <c r="N7" s="1924"/>
      <c r="O7" s="1924"/>
      <c r="P7" s="1924"/>
      <c r="Q7" s="1924"/>
      <c r="R7" s="1924"/>
      <c r="S7" s="1924"/>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29"/>
      <c r="ES13" s="246"/>
      <c r="ET13" s="246"/>
      <c r="EU13" s="2329"/>
      <c r="EV13" s="2329"/>
      <c r="EW13" s="2329"/>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30"/>
      <c r="ES14" s="246"/>
      <c r="ET14" s="246"/>
      <c r="EU14" s="2330"/>
      <c r="EV14" s="2330"/>
      <c r="EW14" s="2330"/>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6"/>
      <c r="CD15" s="1924"/>
      <c r="CE15" s="1924"/>
      <c r="CF15" s="192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310"/>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59" t="s">
        <v>592</v>
      </c>
      <c r="BC18" s="2360"/>
      <c r="BD18" s="2360"/>
      <c r="BE18" s="2360"/>
      <c r="BF18" s="2360"/>
      <c r="BG18" s="2360"/>
      <c r="BH18" s="2360"/>
      <c r="BI18" s="2360"/>
      <c r="BJ18" s="2360"/>
      <c r="BK18" s="2360"/>
      <c r="BL18" s="2360"/>
      <c r="BM18" s="2360"/>
      <c r="BN18" s="2360"/>
      <c r="BO18" s="2360"/>
      <c r="BP18" s="2360"/>
      <c r="BQ18" s="2360"/>
      <c r="BR18" s="2360"/>
      <c r="BS18" s="2360"/>
      <c r="BT18" s="2360"/>
      <c r="BU18" s="2360"/>
      <c r="BV18" s="2360"/>
      <c r="BW18" s="2360"/>
      <c r="BX18" s="2360"/>
      <c r="BY18" s="2360"/>
      <c r="BZ18" s="2360"/>
      <c r="CA18" s="2360"/>
      <c r="CB18" s="2360"/>
      <c r="CC18" s="1557"/>
      <c r="CD18" s="2363"/>
      <c r="CE18" s="2363"/>
      <c r="CF18" s="2363"/>
      <c r="CG18" s="2364"/>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311"/>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61"/>
      <c r="BC19" s="2362"/>
      <c r="BD19" s="2362"/>
      <c r="BE19" s="2362"/>
      <c r="BF19" s="2362"/>
      <c r="BG19" s="2362"/>
      <c r="BH19" s="2362"/>
      <c r="BI19" s="2362"/>
      <c r="BJ19" s="2362"/>
      <c r="BK19" s="2362"/>
      <c r="BL19" s="2362"/>
      <c r="BM19" s="2362"/>
      <c r="BN19" s="2362"/>
      <c r="BO19" s="2362"/>
      <c r="BP19" s="2362"/>
      <c r="BQ19" s="2362"/>
      <c r="BR19" s="2362"/>
      <c r="BS19" s="2362"/>
      <c r="BT19" s="2362"/>
      <c r="BU19" s="2362"/>
      <c r="BV19" s="2362"/>
      <c r="BW19" s="2362"/>
      <c r="BX19" s="2362"/>
      <c r="BY19" s="2362"/>
      <c r="BZ19" s="2362"/>
      <c r="CA19" s="2362"/>
      <c r="CB19" s="2362"/>
      <c r="CC19" s="1556"/>
      <c r="CD19" s="2365"/>
      <c r="CE19" s="2366"/>
      <c r="CF19" s="2366"/>
      <c r="CG19" s="2367"/>
      <c r="CH19" s="374"/>
      <c r="CI19" s="374"/>
      <c r="CJ19" s="374"/>
      <c r="CK19" s="374"/>
      <c r="CL19" s="374"/>
      <c r="CM19" s="936"/>
      <c r="CN19" s="2432" t="s">
        <v>679</v>
      </c>
      <c r="CO19" s="2433"/>
      <c r="CP19" s="2104" t="s">
        <v>615</v>
      </c>
      <c r="CQ19" s="2427"/>
      <c r="CR19" s="2394" t="s">
        <v>482</v>
      </c>
      <c r="CS19" s="2386"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48" t="s">
        <v>581</v>
      </c>
      <c r="EW19" s="2355" t="s">
        <v>472</v>
      </c>
      <c r="EX19" s="2346" t="s">
        <v>525</v>
      </c>
      <c r="EY19" s="2346" t="s">
        <v>526</v>
      </c>
      <c r="EZ19" s="2346" t="s">
        <v>527</v>
      </c>
      <c r="FA19" s="2346" t="s">
        <v>528</v>
      </c>
      <c r="FB19" s="2346" t="s">
        <v>529</v>
      </c>
      <c r="FC19" s="2346" t="s">
        <v>530</v>
      </c>
      <c r="FD19" s="2346" t="s">
        <v>531</v>
      </c>
      <c r="FE19" s="2346" t="s">
        <v>473</v>
      </c>
      <c r="FF19" s="2346" t="s">
        <v>532</v>
      </c>
      <c r="FG19" s="2346" t="s">
        <v>583</v>
      </c>
      <c r="FH19" s="2346" t="s">
        <v>474</v>
      </c>
      <c r="FI19" s="2346" t="s">
        <v>533</v>
      </c>
      <c r="FJ19" s="2346" t="s">
        <v>475</v>
      </c>
      <c r="FK19" s="2346" t="s">
        <v>534</v>
      </c>
      <c r="FL19" s="2346" t="s">
        <v>584</v>
      </c>
      <c r="FM19" s="2346" t="s">
        <v>476</v>
      </c>
      <c r="FN19" s="2346" t="s">
        <v>477</v>
      </c>
      <c r="FQ19" s="2319" t="s">
        <v>656</v>
      </c>
      <c r="FR19" s="2320"/>
      <c r="GA19" s="374"/>
      <c r="GB19" s="374"/>
      <c r="GC19" s="374"/>
      <c r="GD19" s="374"/>
      <c r="GE19" s="374"/>
      <c r="GF19" s="374"/>
      <c r="GG19" s="374"/>
      <c r="GH19" s="374"/>
      <c r="GI19" s="374"/>
      <c r="GJ19" s="374"/>
      <c r="HA19" s="2454" t="s">
        <v>621</v>
      </c>
      <c r="HB19" s="2455"/>
      <c r="HC19" s="2455"/>
      <c r="HD19" s="2455"/>
      <c r="HE19" s="2455"/>
      <c r="HF19" s="2455"/>
      <c r="HG19" s="2455"/>
      <c r="HH19" s="2455"/>
      <c r="HI19" s="2455"/>
      <c r="HJ19" s="2455"/>
      <c r="HK19" s="2455"/>
      <c r="HL19" s="2455"/>
      <c r="HM19" s="2455"/>
      <c r="HN19" s="2455"/>
      <c r="HO19" s="2455"/>
      <c r="HP19" s="2455"/>
      <c r="HQ19" s="2455"/>
      <c r="HR19" s="2455"/>
      <c r="HS19" s="2455"/>
      <c r="HT19" s="2455"/>
      <c r="HU19" s="2455"/>
      <c r="HV19" s="2456"/>
      <c r="HW19" s="2456"/>
      <c r="HX19" s="2456"/>
      <c r="HY19" s="2457"/>
      <c r="HZ19" s="2457"/>
      <c r="IA19" s="2457"/>
      <c r="IB19" s="2457"/>
      <c r="IC19" s="2457"/>
      <c r="ID19" s="2457"/>
      <c r="IE19" s="2457"/>
      <c r="IF19" s="2458"/>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96" t="s">
        <v>450</v>
      </c>
      <c r="AV20" s="2319" t="s">
        <v>451</v>
      </c>
      <c r="AW20" s="2320"/>
      <c r="AX20" s="465"/>
      <c r="BA20" s="423"/>
      <c r="BB20" s="2379"/>
      <c r="BC20" s="2380"/>
      <c r="BD20" s="2380"/>
      <c r="BE20" s="2380"/>
      <c r="BF20" s="2381"/>
      <c r="BG20" s="2414" t="s">
        <v>469</v>
      </c>
      <c r="BH20" s="2415"/>
      <c r="BI20" s="2415"/>
      <c r="BJ20" s="2415"/>
      <c r="BK20" s="2415"/>
      <c r="BL20" s="2416"/>
      <c r="BM20" s="2417"/>
      <c r="BN20" s="2417"/>
      <c r="BO20" s="2418"/>
      <c r="BP20" s="2418"/>
      <c r="BQ20" s="2418"/>
      <c r="BR20" s="2419"/>
      <c r="BS20" s="2414" t="s">
        <v>470</v>
      </c>
      <c r="BT20" s="2416"/>
      <c r="BU20" s="2416"/>
      <c r="BV20" s="2416"/>
      <c r="BW20" s="2416"/>
      <c r="BX20" s="2416"/>
      <c r="BY20" s="2417"/>
      <c r="BZ20" s="2417"/>
      <c r="CA20" s="2418"/>
      <c r="CB20" s="2418"/>
      <c r="CC20" s="2418"/>
      <c r="CD20" s="2419"/>
      <c r="CE20" s="2444" t="s">
        <v>804</v>
      </c>
      <c r="CF20" s="2447"/>
      <c r="CG20" s="2448"/>
      <c r="CH20" s="374"/>
      <c r="CI20" s="374"/>
      <c r="CJ20" s="374"/>
      <c r="CK20" s="374"/>
      <c r="CL20" s="937"/>
      <c r="CM20" s="938"/>
      <c r="CN20" s="2434"/>
      <c r="CO20" s="2435"/>
      <c r="CP20" s="2428"/>
      <c r="CQ20" s="2429"/>
      <c r="CR20" s="2395"/>
      <c r="CS20" s="2387"/>
      <c r="CU20" s="2397" t="s">
        <v>471</v>
      </c>
      <c r="CV20" s="2398"/>
      <c r="CW20" s="2398"/>
      <c r="CX20" s="2398"/>
      <c r="CY20" s="2398"/>
      <c r="CZ20" s="2398"/>
      <c r="DA20" s="2398"/>
      <c r="DB20" s="2398"/>
      <c r="DC20" s="2398"/>
      <c r="DD20" s="2399"/>
      <c r="DE20" s="2397" t="s">
        <v>470</v>
      </c>
      <c r="DF20" s="2398"/>
      <c r="DG20" s="2398"/>
      <c r="DH20" s="2398"/>
      <c r="DI20" s="2398"/>
      <c r="DJ20" s="2398"/>
      <c r="DK20" s="2398"/>
      <c r="DL20" s="2398"/>
      <c r="DM20" s="2398"/>
      <c r="DN20" s="2399"/>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49"/>
      <c r="EW20" s="2356"/>
      <c r="EX20" s="2347"/>
      <c r="EY20" s="2347"/>
      <c r="EZ20" s="2422"/>
      <c r="FA20" s="2347"/>
      <c r="FB20" s="2347"/>
      <c r="FC20" s="2347"/>
      <c r="FD20" s="2423"/>
      <c r="FE20" s="2423"/>
      <c r="FF20" s="2423"/>
      <c r="FG20" s="2423"/>
      <c r="FH20" s="2423"/>
      <c r="FI20" s="2423"/>
      <c r="FJ20" s="2423"/>
      <c r="FK20" s="2423"/>
      <c r="FL20" s="2423"/>
      <c r="FM20" s="2423"/>
      <c r="FN20" s="2423"/>
      <c r="FQ20" s="2321"/>
      <c r="FR20" s="2322"/>
      <c r="GA20" s="2318" t="s">
        <v>1140</v>
      </c>
      <c r="GB20" s="2318"/>
      <c r="GC20" s="2318"/>
      <c r="GD20" s="2318"/>
      <c r="GE20" s="2318"/>
      <c r="GF20" s="2318"/>
      <c r="GG20" s="1935"/>
      <c r="GH20" s="1935"/>
      <c r="GI20" s="1935"/>
      <c r="GJ20" s="1935"/>
      <c r="GZ20" s="2310"/>
      <c r="HA20" s="2459"/>
      <c r="HB20" s="2460"/>
      <c r="HC20" s="2460"/>
      <c r="HD20" s="2460"/>
      <c r="HE20" s="2460"/>
      <c r="HF20" s="2460"/>
      <c r="HG20" s="2460"/>
      <c r="HH20" s="2460"/>
      <c r="HI20" s="2460"/>
      <c r="HJ20" s="2460"/>
      <c r="HK20" s="2460"/>
      <c r="HL20" s="2460"/>
      <c r="HM20" s="2460"/>
      <c r="HN20" s="2460"/>
      <c r="HO20" s="2460"/>
      <c r="HP20" s="2460"/>
      <c r="HQ20" s="2460"/>
      <c r="HR20" s="2460"/>
      <c r="HS20" s="2460"/>
      <c r="HT20" s="2460"/>
      <c r="HU20" s="2460"/>
      <c r="HV20" s="2461"/>
      <c r="HW20" s="2461"/>
      <c r="HX20" s="2461"/>
      <c r="HY20" s="2462"/>
      <c r="HZ20" s="2462"/>
      <c r="IA20" s="2462"/>
      <c r="IB20" s="2462"/>
      <c r="IC20" s="2462"/>
      <c r="ID20" s="2462"/>
      <c r="IE20" s="2462"/>
      <c r="IF20" s="2463"/>
    </row>
    <row r="21" spans="1:240" s="426" customFormat="1" ht="12.6" customHeight="1" thickTop="1" thickBot="1" x14ac:dyDescent="0.25">
      <c r="A21" s="2410" t="s">
        <v>40</v>
      </c>
      <c r="B21" s="2384" t="s">
        <v>28</v>
      </c>
      <c r="C21" s="2384" t="s">
        <v>24</v>
      </c>
      <c r="D21" s="2384" t="s">
        <v>25</v>
      </c>
      <c r="E21" s="2408"/>
      <c r="F21" s="1969" t="s">
        <v>9</v>
      </c>
      <c r="G21" s="2077"/>
      <c r="H21" s="2077"/>
      <c r="I21" s="2077" t="s">
        <v>10</v>
      </c>
      <c r="J21" s="2077"/>
      <c r="K21" s="1967"/>
      <c r="L21" s="2076" t="s">
        <v>11</v>
      </c>
      <c r="M21" s="2078"/>
      <c r="N21" s="1969" t="s">
        <v>12</v>
      </c>
      <c r="O21" s="2077"/>
      <c r="P21" s="2077"/>
      <c r="Q21" s="2077" t="s">
        <v>13</v>
      </c>
      <c r="R21" s="2077"/>
      <c r="S21" s="2078"/>
      <c r="T21" s="1969" t="s">
        <v>14</v>
      </c>
      <c r="U21" s="2077"/>
      <c r="V21" s="2077"/>
      <c r="W21" s="2077"/>
      <c r="X21" s="1967"/>
      <c r="Y21" s="2071" t="s">
        <v>111</v>
      </c>
      <c r="Z21" s="2072"/>
      <c r="AA21" s="1059" t="s">
        <v>15</v>
      </c>
      <c r="AB21" s="1414"/>
      <c r="AU21" s="1897"/>
      <c r="AV21" s="2321"/>
      <c r="AW21" s="2322"/>
      <c r="AX21" s="502"/>
      <c r="AZ21" s="2412" t="s">
        <v>1059</v>
      </c>
      <c r="BA21" s="251"/>
      <c r="BB21" s="2420" t="s">
        <v>539</v>
      </c>
      <c r="BC21" s="2400" t="s">
        <v>130</v>
      </c>
      <c r="BD21" s="2401" t="s">
        <v>540</v>
      </c>
      <c r="BE21" s="2402" t="s">
        <v>1290</v>
      </c>
      <c r="BF21" s="2403"/>
      <c r="BG21" s="2226" t="s">
        <v>1282</v>
      </c>
      <c r="BH21" s="2370" t="s">
        <v>803</v>
      </c>
      <c r="BI21" s="2371"/>
      <c r="BJ21" s="2368" t="s">
        <v>541</v>
      </c>
      <c r="BK21" s="2370" t="s">
        <v>1072</v>
      </c>
      <c r="BL21" s="2371"/>
      <c r="BM21" s="2368" t="s">
        <v>488</v>
      </c>
      <c r="BN21" s="2375" t="s">
        <v>793</v>
      </c>
      <c r="BO21" s="2377" t="s">
        <v>1275</v>
      </c>
      <c r="BP21" s="1937" t="s">
        <v>1276</v>
      </c>
      <c r="BQ21" s="1938"/>
      <c r="BR21" s="1939"/>
      <c r="BS21" s="2226" t="s">
        <v>1282</v>
      </c>
      <c r="BT21" s="2370" t="s">
        <v>803</v>
      </c>
      <c r="BU21" s="2371"/>
      <c r="BV21" s="2368" t="s">
        <v>541</v>
      </c>
      <c r="BW21" s="2370" t="s">
        <v>1072</v>
      </c>
      <c r="BX21" s="2371"/>
      <c r="BY21" s="2368" t="s">
        <v>488</v>
      </c>
      <c r="BZ21" s="2382" t="s">
        <v>793</v>
      </c>
      <c r="CA21" s="2377" t="s">
        <v>1275</v>
      </c>
      <c r="CB21" s="1937" t="s">
        <v>1276</v>
      </c>
      <c r="CC21" s="1938"/>
      <c r="CD21" s="1939"/>
      <c r="CE21" s="2445"/>
      <c r="CF21" s="2449"/>
      <c r="CG21" s="2448"/>
      <c r="CH21" s="2389" t="s">
        <v>588</v>
      </c>
      <c r="CI21" s="2390"/>
      <c r="CJ21" s="2390"/>
      <c r="CK21" s="2389" t="s">
        <v>589</v>
      </c>
      <c r="CL21" s="2436" t="s">
        <v>786</v>
      </c>
      <c r="CM21" s="2436"/>
      <c r="CN21" s="2434"/>
      <c r="CO21" s="2435"/>
      <c r="CP21" s="2430"/>
      <c r="CQ21" s="2431"/>
      <c r="CR21" s="2395"/>
      <c r="CS21" s="2387"/>
      <c r="CU21" s="2342" t="s">
        <v>498</v>
      </c>
      <c r="CV21" s="2302" t="s">
        <v>499</v>
      </c>
      <c r="CW21" s="2302" t="s">
        <v>500</v>
      </c>
      <c r="CX21" s="2302" t="s">
        <v>501</v>
      </c>
      <c r="CY21" s="2302" t="s">
        <v>560</v>
      </c>
      <c r="CZ21" s="2302" t="s">
        <v>578</v>
      </c>
      <c r="DA21" s="2302" t="s">
        <v>502</v>
      </c>
      <c r="DB21" s="2302" t="s">
        <v>579</v>
      </c>
      <c r="DC21" s="2302" t="s">
        <v>503</v>
      </c>
      <c r="DD21" s="2302" t="s">
        <v>504</v>
      </c>
      <c r="DE21" s="2342" t="s">
        <v>498</v>
      </c>
      <c r="DF21" s="2302" t="s">
        <v>499</v>
      </c>
      <c r="DG21" s="2302" t="s">
        <v>505</v>
      </c>
      <c r="DH21" s="2302" t="s">
        <v>501</v>
      </c>
      <c r="DI21" s="2302" t="s">
        <v>560</v>
      </c>
      <c r="DJ21" s="2302" t="s">
        <v>578</v>
      </c>
      <c r="DK21" s="2302" t="s">
        <v>502</v>
      </c>
      <c r="DL21" s="2302" t="s">
        <v>579</v>
      </c>
      <c r="DM21" s="2302" t="s">
        <v>503</v>
      </c>
      <c r="DN21" s="2344" t="s">
        <v>504</v>
      </c>
      <c r="DO21" s="2339" t="s">
        <v>491</v>
      </c>
      <c r="DP21" s="2437" t="s">
        <v>506</v>
      </c>
      <c r="DQ21" s="2333" t="s">
        <v>507</v>
      </c>
      <c r="DR21" s="2304" t="s">
        <v>508</v>
      </c>
      <c r="DS21" s="2306" t="s">
        <v>543</v>
      </c>
      <c r="DT21" s="2331" t="s">
        <v>509</v>
      </c>
      <c r="DU21" s="2332"/>
      <c r="DV21" s="2308" t="s">
        <v>1103</v>
      </c>
      <c r="DW21" s="2335" t="s">
        <v>1104</v>
      </c>
      <c r="DX21" s="2337" t="s">
        <v>514</v>
      </c>
      <c r="DY21" s="2306" t="s">
        <v>544</v>
      </c>
      <c r="DZ21" s="2331" t="s">
        <v>511</v>
      </c>
      <c r="EA21" s="2332"/>
      <c r="EB21" s="2335" t="s">
        <v>1105</v>
      </c>
      <c r="EC21" s="2335" t="s">
        <v>1106</v>
      </c>
      <c r="ED21" s="2337" t="s">
        <v>516</v>
      </c>
      <c r="EE21" s="2333" t="s">
        <v>545</v>
      </c>
      <c r="EF21" s="2351" t="s">
        <v>546</v>
      </c>
      <c r="EG21" s="2352"/>
      <c r="EH21" s="2351" t="s">
        <v>547</v>
      </c>
      <c r="EI21" s="2353"/>
      <c r="EJ21" s="2304" t="s">
        <v>548</v>
      </c>
      <c r="EK21" s="2341"/>
      <c r="EL21" s="2333" t="s">
        <v>568</v>
      </c>
      <c r="EM21" s="2351" t="s">
        <v>549</v>
      </c>
      <c r="EN21" s="2352"/>
      <c r="EO21" s="2351" t="s">
        <v>550</v>
      </c>
      <c r="EP21" s="2353"/>
      <c r="EQ21" s="2304" t="s">
        <v>551</v>
      </c>
      <c r="ER21" s="2341"/>
      <c r="ES21" s="2333" t="s">
        <v>12</v>
      </c>
      <c r="ET21" s="2333" t="s">
        <v>13</v>
      </c>
      <c r="EU21" s="2304" t="s">
        <v>582</v>
      </c>
      <c r="EV21" s="2349"/>
      <c r="EW21" s="2356"/>
      <c r="EX21" s="2347"/>
      <c r="EY21" s="2347"/>
      <c r="EZ21" s="2422"/>
      <c r="FA21" s="2347"/>
      <c r="FB21" s="2347"/>
      <c r="FC21" s="2347"/>
      <c r="FD21" s="2423"/>
      <c r="FE21" s="2423"/>
      <c r="FF21" s="2423"/>
      <c r="FG21" s="2423"/>
      <c r="FH21" s="2423"/>
      <c r="FI21" s="2423"/>
      <c r="FJ21" s="2423"/>
      <c r="FK21" s="2423"/>
      <c r="FL21" s="2423"/>
      <c r="FM21" s="2423"/>
      <c r="FN21" s="2423"/>
      <c r="FO21" s="2333" t="s">
        <v>590</v>
      </c>
      <c r="FP21" s="2333" t="s">
        <v>591</v>
      </c>
      <c r="FQ21" s="2439" t="s">
        <v>654</v>
      </c>
      <c r="FR21" s="2442" t="s">
        <v>655</v>
      </c>
      <c r="FS21" s="2437" t="s">
        <v>682</v>
      </c>
      <c r="FT21" s="2450" t="s">
        <v>683</v>
      </c>
      <c r="FU21" s="2159" t="s">
        <v>787</v>
      </c>
      <c r="FV21" s="2160"/>
      <c r="GA21" s="2118" t="s">
        <v>708</v>
      </c>
      <c r="GB21" s="2119"/>
      <c r="GC21" s="2118" t="s">
        <v>558</v>
      </c>
      <c r="GD21" s="2119"/>
      <c r="GE21" s="2120" t="s">
        <v>711</v>
      </c>
      <c r="GF21" s="2122" t="s">
        <v>40</v>
      </c>
      <c r="GG21" s="2316" t="s">
        <v>1142</v>
      </c>
      <c r="GH21" s="2317"/>
      <c r="GI21" s="2316" t="s">
        <v>1141</v>
      </c>
      <c r="GJ21" s="2317"/>
      <c r="GK21" s="2425" t="s">
        <v>712</v>
      </c>
      <c r="GL21" s="2123" t="s">
        <v>713</v>
      </c>
      <c r="GM21" s="2123" t="s">
        <v>714</v>
      </c>
      <c r="GZ21" s="2311"/>
      <c r="HA21" s="2440" t="s">
        <v>539</v>
      </c>
      <c r="HB21" s="2314" t="s">
        <v>130</v>
      </c>
      <c r="HC21" s="2314" t="s">
        <v>540</v>
      </c>
      <c r="HD21" s="2424" t="str">
        <f>IF($HA$1,"Joist ""BayLength""","Overall Length")</f>
        <v>Overall Length</v>
      </c>
      <c r="HE21" s="2314"/>
      <c r="HF21" s="2312" t="str">
        <f>IF($HA$1,"Left Sect. #","TCXL Feet")</f>
        <v>TCXL Feet</v>
      </c>
      <c r="HG21" s="2312" t="str">
        <f>IF($HA$1,"L Min Sup Width","TCXL Inch")</f>
        <v>TCXL Inch</v>
      </c>
      <c r="HH21" s="2312" t="str">
        <f>IF($HA$1,"L Max Sup Width","TCXL Type")</f>
        <v>TCXL Type</v>
      </c>
      <c r="HI21" s="2312" t="str">
        <f>IF($HA$1,"Left Bolt ""X""","TCXR Feet")</f>
        <v>TCXR Feet</v>
      </c>
      <c r="HJ21" s="2312" t="str">
        <f>IF($HA$1,"L Min Flg Ga","TCXR Inch")</f>
        <v>TCXR Inch</v>
      </c>
      <c r="HK21" s="2312" t="str">
        <f>IF($HA$1,"L Max Flg Ga","TCXR Type")</f>
        <v>TCXR Type</v>
      </c>
      <c r="HL21" s="2312" t="str">
        <f>IF($HA$1,"Left Skew","BDL")</f>
        <v>BDL</v>
      </c>
      <c r="HM21" s="2312" t="str">
        <f>IF($HA$1,"Left Brg Slp","BDR")</f>
        <v>BDR</v>
      </c>
      <c r="HN21" s="2312" t="str">
        <f>IF($HA$1,"Right Sect. #","BCXL Feet")</f>
        <v>BCXL Feet</v>
      </c>
      <c r="HO21" s="2312" t="str">
        <f>IF($HA$1,"R Min Sup Width","BCXL Inch")</f>
        <v>BCXL Inch</v>
      </c>
      <c r="HP21" s="2312" t="str">
        <f>IF($HA$1,"R Max Sup Width","BCXL Type")</f>
        <v>BCXL Type</v>
      </c>
      <c r="HQ21" s="2312" t="str">
        <f>IF($HA$1,"Right Bolt ""X""","BCXR Feet")</f>
        <v>BCXR Feet</v>
      </c>
      <c r="HR21" s="2312" t="str">
        <f>IF($HA$1,"R Min Flg Ga","BCXR Inch")</f>
        <v>BCXR Inch</v>
      </c>
      <c r="HS21" s="2312" t="str">
        <f>IF($HA$1,"R Max Flg Ga","BCXR Type")</f>
        <v>BCXR Type</v>
      </c>
      <c r="HT21" s="2312" t="str">
        <f>IF($HA$1,"Right Skew","HL Feet")</f>
        <v>HL Feet</v>
      </c>
      <c r="HU21" s="2312" t="str">
        <f>IF($HA$1,"Right Brg Slp","HL Inch")</f>
        <v>HL Inch</v>
      </c>
      <c r="HV21" s="2312" t="str">
        <f>IF($HA$1,"TC Slope","HR Feet")</f>
        <v>HR Feet</v>
      </c>
      <c r="HW21" s="2312" t="str">
        <f>IF($HA$1,"Load Notes","HR Inch")</f>
        <v>HR Inch</v>
      </c>
      <c r="HX21" s="2312" t="str">
        <f>IF($HA$1,"Spcl Notes","Slot Ga")</f>
        <v>Slot Ga</v>
      </c>
      <c r="HY21" s="2312" t="str">
        <f>IF($HA$1,"TC L Override","L Seat Slp")</f>
        <v>L Seat Slp</v>
      </c>
      <c r="HZ21" s="2312" t="str">
        <f>IF($HA$1,"TCR Override","R Seat Slp")</f>
        <v>R Seat Slp</v>
      </c>
      <c r="IA21" s="2312" t="str">
        <f>IF($HA$1,"L-BL Override","Sp Notes")</f>
        <v>Sp Notes</v>
      </c>
      <c r="IB21" s="2312" t="str">
        <f>IF($HA$1,"R-BL Override","Ld Notes")</f>
        <v>Ld Notes</v>
      </c>
      <c r="IC21" s="2312" t="str">
        <f>IF($HA$1,"BCXL ""X""","-")</f>
        <v>-</v>
      </c>
      <c r="ID21" s="2312" t="str">
        <f>IF($HA$1,"BCXR ""X""","-")</f>
        <v>-</v>
      </c>
      <c r="IE21" s="2312" t="str">
        <f>IF($HA$1,"BDL Override","-")</f>
        <v>-</v>
      </c>
      <c r="IF21" s="2452" t="str">
        <f>IF($HA$1,"BDR Override","-")</f>
        <v>-</v>
      </c>
    </row>
    <row r="22" spans="1:240" s="426" customFormat="1" ht="12.6" customHeight="1" thickTop="1" thickBot="1" x14ac:dyDescent="0.25">
      <c r="A22" s="2411"/>
      <c r="B22" s="2385"/>
      <c r="C22" s="2385"/>
      <c r="D22" s="2385"/>
      <c r="E22" s="2409"/>
      <c r="F22" s="1977" t="s">
        <v>16</v>
      </c>
      <c r="G22" s="2070"/>
      <c r="H22" s="1102" t="s">
        <v>732</v>
      </c>
      <c r="I22" s="2070" t="s">
        <v>16</v>
      </c>
      <c r="J22" s="2070"/>
      <c r="K22" s="1065" t="s">
        <v>732</v>
      </c>
      <c r="L22" s="1106" t="s">
        <v>18</v>
      </c>
      <c r="M22" s="461" t="s">
        <v>19</v>
      </c>
      <c r="N22" s="1977" t="s">
        <v>16</v>
      </c>
      <c r="O22" s="2070"/>
      <c r="P22" s="1102" t="s">
        <v>732</v>
      </c>
      <c r="Q22" s="2070" t="s">
        <v>16</v>
      </c>
      <c r="R22" s="2070"/>
      <c r="S22" s="461" t="s">
        <v>732</v>
      </c>
      <c r="T22" s="1977" t="s">
        <v>80</v>
      </c>
      <c r="U22" s="2070"/>
      <c r="V22" s="2070" t="s">
        <v>81</v>
      </c>
      <c r="W22" s="207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8"/>
      <c r="AV22" s="2392"/>
      <c r="AW22" s="2393"/>
      <c r="AX22" s="503" t="s">
        <v>632</v>
      </c>
      <c r="AY22" s="503" t="s">
        <v>133</v>
      </c>
      <c r="AZ22" s="2413"/>
      <c r="BA22" s="251"/>
      <c r="BB22" s="2128"/>
      <c r="BC22" s="2057"/>
      <c r="BD22" s="2130"/>
      <c r="BE22" s="2404"/>
      <c r="BF22" s="2405"/>
      <c r="BG22" s="2227"/>
      <c r="BH22" s="2372"/>
      <c r="BI22" s="2373"/>
      <c r="BJ22" s="2369"/>
      <c r="BK22" s="2372"/>
      <c r="BL22" s="2373"/>
      <c r="BM22" s="2374"/>
      <c r="BN22" s="2376"/>
      <c r="BO22" s="2378"/>
      <c r="BP22" s="1546" t="s">
        <v>1277</v>
      </c>
      <c r="BQ22" s="1547" t="s">
        <v>1278</v>
      </c>
      <c r="BR22" s="1548" t="s">
        <v>501</v>
      </c>
      <c r="BS22" s="2227"/>
      <c r="BT22" s="2372"/>
      <c r="BU22" s="2373"/>
      <c r="BV22" s="2369"/>
      <c r="BW22" s="2372"/>
      <c r="BX22" s="2373"/>
      <c r="BY22" s="2374"/>
      <c r="BZ22" s="2383"/>
      <c r="CA22" s="2378"/>
      <c r="CB22" s="1546" t="s">
        <v>1277</v>
      </c>
      <c r="CC22" s="1547" t="s">
        <v>1278</v>
      </c>
      <c r="CD22" s="1548" t="s">
        <v>501</v>
      </c>
      <c r="CE22" s="2446"/>
      <c r="CF22" s="1554" t="s">
        <v>418</v>
      </c>
      <c r="CG22" s="1549" t="s">
        <v>553</v>
      </c>
      <c r="CH22" s="498" t="s">
        <v>585</v>
      </c>
      <c r="CI22" s="433" t="s">
        <v>586</v>
      </c>
      <c r="CJ22" s="434" t="s">
        <v>587</v>
      </c>
      <c r="CK22" s="2391"/>
      <c r="CL22" s="499" t="s">
        <v>606</v>
      </c>
      <c r="CM22" s="500" t="s">
        <v>607</v>
      </c>
      <c r="CN22" s="495" t="s">
        <v>606</v>
      </c>
      <c r="CO22" s="435" t="s">
        <v>607</v>
      </c>
      <c r="CP22" s="436" t="s">
        <v>520</v>
      </c>
      <c r="CQ22" s="437" t="s">
        <v>169</v>
      </c>
      <c r="CR22" s="2396"/>
      <c r="CS22" s="2388"/>
      <c r="CU22" s="2343"/>
      <c r="CV22" s="2325"/>
      <c r="CW22" s="2325"/>
      <c r="CX22" s="2303"/>
      <c r="CY22" s="2303"/>
      <c r="CZ22" s="2303"/>
      <c r="DA22" s="2303"/>
      <c r="DB22" s="2303"/>
      <c r="DC22" s="2303"/>
      <c r="DD22" s="2303"/>
      <c r="DE22" s="2343"/>
      <c r="DF22" s="2325"/>
      <c r="DG22" s="2325"/>
      <c r="DH22" s="2303"/>
      <c r="DI22" s="2303"/>
      <c r="DJ22" s="2303"/>
      <c r="DK22" s="2303"/>
      <c r="DL22" s="2303"/>
      <c r="DM22" s="2303"/>
      <c r="DN22" s="2345"/>
      <c r="DO22" s="2340"/>
      <c r="DP22" s="2451"/>
      <c r="DQ22" s="2334"/>
      <c r="DR22" s="2305"/>
      <c r="DS22" s="2307"/>
      <c r="DT22" s="438" t="s">
        <v>554</v>
      </c>
      <c r="DU22" s="438" t="s">
        <v>555</v>
      </c>
      <c r="DV22" s="2309"/>
      <c r="DW22" s="2336"/>
      <c r="DX22" s="2338"/>
      <c r="DY22" s="2307"/>
      <c r="DZ22" s="438" t="s">
        <v>554</v>
      </c>
      <c r="EA22" s="438" t="s">
        <v>555</v>
      </c>
      <c r="EB22" s="2336"/>
      <c r="EC22" s="2336"/>
      <c r="ED22" s="2338"/>
      <c r="EE22" s="2354"/>
      <c r="EF22" s="439" t="s">
        <v>521</v>
      </c>
      <c r="EG22" s="440" t="s">
        <v>522</v>
      </c>
      <c r="EH22" s="439" t="s">
        <v>521</v>
      </c>
      <c r="EI22" s="440" t="s">
        <v>522</v>
      </c>
      <c r="EJ22" s="439" t="s">
        <v>521</v>
      </c>
      <c r="EK22" s="440" t="s">
        <v>522</v>
      </c>
      <c r="EL22" s="2354"/>
      <c r="EM22" s="439" t="s">
        <v>521</v>
      </c>
      <c r="EN22" s="440" t="s">
        <v>522</v>
      </c>
      <c r="EO22" s="439" t="s">
        <v>521</v>
      </c>
      <c r="EP22" s="440" t="s">
        <v>522</v>
      </c>
      <c r="EQ22" s="439" t="s">
        <v>521</v>
      </c>
      <c r="ER22" s="440" t="s">
        <v>522</v>
      </c>
      <c r="ES22" s="2357"/>
      <c r="ET22" s="2357"/>
      <c r="EU22" s="2358"/>
      <c r="EV22" s="2350"/>
      <c r="EW22" s="2356"/>
      <c r="EX22" s="2347"/>
      <c r="EY22" s="2347"/>
      <c r="EZ22" s="2422"/>
      <c r="FA22" s="2347"/>
      <c r="FB22" s="2347"/>
      <c r="FC22" s="2347"/>
      <c r="FD22" s="2423"/>
      <c r="FE22" s="2423"/>
      <c r="FF22" s="2423"/>
      <c r="FG22" s="2423"/>
      <c r="FH22" s="2423"/>
      <c r="FI22" s="2423"/>
      <c r="FJ22" s="2423"/>
      <c r="FK22" s="2423"/>
      <c r="FL22" s="2423"/>
      <c r="FM22" s="2423"/>
      <c r="FN22" s="2423"/>
      <c r="FO22" s="2357"/>
      <c r="FP22" s="2357"/>
      <c r="FQ22" s="2357"/>
      <c r="FR22" s="2443"/>
      <c r="FS22" s="2438"/>
      <c r="FT22" s="2443"/>
      <c r="FU22" s="508" t="s">
        <v>606</v>
      </c>
      <c r="FV22" s="509" t="s">
        <v>607</v>
      </c>
      <c r="GA22" s="1029" t="s">
        <v>1112</v>
      </c>
      <c r="GB22" s="1030" t="s">
        <v>710</v>
      </c>
      <c r="GC22" s="1031" t="s">
        <v>606</v>
      </c>
      <c r="GD22" s="1032" t="s">
        <v>607</v>
      </c>
      <c r="GE22" s="2121"/>
      <c r="GF22" s="2121"/>
      <c r="GG22" s="1033" t="s">
        <v>1112</v>
      </c>
      <c r="GH22" s="1034" t="s">
        <v>710</v>
      </c>
      <c r="GI22" s="1033" t="s">
        <v>1112</v>
      </c>
      <c r="GJ22" s="1034" t="s">
        <v>710</v>
      </c>
      <c r="GK22" s="2426"/>
      <c r="GL22" s="2124"/>
      <c r="GM22" s="2124"/>
      <c r="GZ22" s="2311"/>
      <c r="HA22" s="2441"/>
      <c r="HB22" s="2315"/>
      <c r="HC22" s="2315"/>
      <c r="HD22" s="2315"/>
      <c r="HE22" s="2315"/>
      <c r="HF22" s="2313"/>
      <c r="HG22" s="2313"/>
      <c r="HH22" s="2313"/>
      <c r="HI22" s="2313"/>
      <c r="HJ22" s="2313"/>
      <c r="HK22" s="2313"/>
      <c r="HL22" s="2313"/>
      <c r="HM22" s="2313"/>
      <c r="HN22" s="2313"/>
      <c r="HO22" s="2313"/>
      <c r="HP22" s="2313"/>
      <c r="HQ22" s="2313"/>
      <c r="HR22" s="2313"/>
      <c r="HS22" s="2313"/>
      <c r="HT22" s="2313"/>
      <c r="HU22" s="2313"/>
      <c r="HV22" s="2313"/>
      <c r="HW22" s="2313"/>
      <c r="HX22" s="2313"/>
      <c r="HY22" s="2313"/>
      <c r="HZ22" s="2313"/>
      <c r="IA22" s="2313"/>
      <c r="IB22" s="2313"/>
      <c r="IC22" s="2313"/>
      <c r="ID22" s="2313"/>
      <c r="IE22" s="2313"/>
      <c r="IF22" s="2453"/>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301" t="s">
        <v>1060</v>
      </c>
      <c r="EL47" s="2301"/>
      <c r="EM47" s="2301"/>
      <c r="EN47" s="2301"/>
      <c r="EO47" s="2301"/>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23">
        <v>40961</v>
      </c>
      <c r="CT69" s="2324"/>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326" t="s">
        <v>524</v>
      </c>
      <c r="EM71" s="2327"/>
      <c r="EN71" s="2327"/>
      <c r="EO71" s="2328"/>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931" priority="363">
      <formula>AND(NOT($AY23),NOT($AP23))</formula>
    </cfRule>
  </conditionalFormatting>
  <conditionalFormatting sqref="EF69 EF23:EF40">
    <cfRule type="cellIs" dxfId="930" priority="677" stopIfTrue="1" operator="notEqual">
      <formula>$EG23</formula>
    </cfRule>
  </conditionalFormatting>
  <conditionalFormatting sqref="EM69 EM23:EM40">
    <cfRule type="cellIs" dxfId="929" priority="678" stopIfTrue="1" operator="notEqual">
      <formula>$EN23</formula>
    </cfRule>
  </conditionalFormatting>
  <conditionalFormatting sqref="CB69:CC69">
    <cfRule type="cellIs" dxfId="928" priority="712" stopIfTrue="1" operator="equal">
      <formula>0</formula>
    </cfRule>
    <cfRule type="expression" dxfId="927" priority="713" stopIfTrue="1">
      <formula>OR(CB69&lt;0,CB69&gt;FU69)</formula>
    </cfRule>
  </conditionalFormatting>
  <conditionalFormatting sqref="P2:S4">
    <cfRule type="cellIs" dxfId="926" priority="714" stopIfTrue="1" operator="equal">
      <formula>""</formula>
    </cfRule>
  </conditionalFormatting>
  <conditionalFormatting sqref="CC16">
    <cfRule type="expression" dxfId="925" priority="715" stopIfTrue="1">
      <formula>ISBLANK($CC$16)</formula>
    </cfRule>
  </conditionalFormatting>
  <conditionalFormatting sqref="CC15">
    <cfRule type="expression" dxfId="924" priority="716" stopIfTrue="1">
      <formula>ISBLANK($CC$15)</formula>
    </cfRule>
  </conditionalFormatting>
  <conditionalFormatting sqref="M7">
    <cfRule type="expression" dxfId="923" priority="718" stopIfTrue="1">
      <formula>NOT(OR(COUNTIF(masterFinishList, $M$7) &gt; 0, COUNTIF($M$7, "Other:*") &gt; 0))</formula>
    </cfRule>
  </conditionalFormatting>
  <conditionalFormatting sqref="U23:U40">
    <cfRule type="expression" dxfId="922" priority="327">
      <formula>AND(NOT($AY23),NOT(AR23),$P23&lt;&gt;3)</formula>
    </cfRule>
  </conditionalFormatting>
  <conditionalFormatting sqref="W23:W40">
    <cfRule type="expression" dxfId="921" priority="335">
      <formula>AND(NOT($AY23),NOT(AT23),$S23&lt;&gt;3)</formula>
    </cfRule>
  </conditionalFormatting>
  <conditionalFormatting sqref="A23:B40">
    <cfRule type="expression" dxfId="920" priority="36">
      <formula>AND(NOT($AE$1),$B23=0,$AD$1="M")</formula>
    </cfRule>
  </conditionalFormatting>
  <conditionalFormatting sqref="T23:T40">
    <cfRule type="expression" dxfId="919" priority="324">
      <formula>AND(NOT($AY23),NOT(AR23),$P23&lt;&gt;3)</formula>
    </cfRule>
  </conditionalFormatting>
  <conditionalFormatting sqref="V23:V40">
    <cfRule type="expression" dxfId="918" priority="332">
      <formula>AND(NOT($AY23),NOT(AT23),$S23&lt;&gt;3)</formula>
    </cfRule>
  </conditionalFormatting>
  <conditionalFormatting sqref="C23:C40">
    <cfRule type="expression" dxfId="917" priority="106">
      <formula>AND(NOT($AY23),NOT($AP23))</formula>
    </cfRule>
  </conditionalFormatting>
  <conditionalFormatting sqref="M7:S7">
    <cfRule type="expression" dxfId="916" priority="241">
      <formula>OR(ISBLANK($M$7),$M$7="")</formula>
    </cfRule>
  </conditionalFormatting>
  <conditionalFormatting sqref="X23:X40">
    <cfRule type="expression" dxfId="915" priority="19">
      <formula>$X23=0</formula>
    </cfRule>
  </conditionalFormatting>
  <conditionalFormatting sqref="BO23:BO40">
    <cfRule type="expression" dxfId="914" priority="143">
      <formula>AND(BO23="X",CY23="")</formula>
    </cfRule>
    <cfRule type="expression" dxfId="913" priority="144">
      <formula>AND(BO23="",CY23&lt;&gt;"")</formula>
    </cfRule>
  </conditionalFormatting>
  <conditionalFormatting sqref="CA23:CA40">
    <cfRule type="expression" dxfId="912" priority="145">
      <formula>AND(CA23="X",DI23="")</formula>
    </cfRule>
    <cfRule type="expression" dxfId="911" priority="146">
      <formula>AND(CA23="",DI23&lt;&gt;"")</formula>
    </cfRule>
  </conditionalFormatting>
  <conditionalFormatting sqref="BQ23:BQ40">
    <cfRule type="expression" dxfId="910" priority="126">
      <formula>CP23&lt;&gt;""</formula>
    </cfRule>
  </conditionalFormatting>
  <conditionalFormatting sqref="CC23:CC40">
    <cfRule type="expression" dxfId="909" priority="125">
      <formula>CQ23&lt;&gt;""</formula>
    </cfRule>
  </conditionalFormatting>
  <conditionalFormatting sqref="CG23:CG40">
    <cfRule type="expression" dxfId="908" priority="749">
      <formula>OR(CH23&lt;&gt;"",CI23&lt;&gt;"",CJ23&lt;&gt;"",CK23&lt;&gt;"",CL23&lt;&gt;"",CM23&lt;&gt;"",CP23&lt;&gt;"",CQ23&lt;&gt;"")</formula>
    </cfRule>
  </conditionalFormatting>
  <conditionalFormatting sqref="BE23:BF40">
    <cfRule type="expression" dxfId="907" priority="750">
      <formula>AND(NOT($AY23),AND($AZ23,AND($AK23&lt;&gt;"HDR",$AK23&lt;&gt;"JS",$AJ23&gt;=8)))</formula>
    </cfRule>
  </conditionalFormatting>
  <conditionalFormatting sqref="D23:E40">
    <cfRule type="expression" dxfId="906" priority="115">
      <formula>AND(NOT($AY23),AND($AZ23,AND($AK23&lt;&gt;"HDR",$AK23&lt;&gt;"JS",$AJ23&gt;=8)))</formula>
    </cfRule>
  </conditionalFormatting>
  <conditionalFormatting sqref="CF23:CG40">
    <cfRule type="expression" dxfId="905" priority="112">
      <formula>LEN($AA23)&gt;31</formula>
    </cfRule>
  </conditionalFormatting>
  <conditionalFormatting sqref="AA12">
    <cfRule type="expression" dxfId="904" priority="109">
      <formula>OR(ISBLANK(AA12),AA12="")</formula>
    </cfRule>
  </conditionalFormatting>
  <conditionalFormatting sqref="A23:AA40">
    <cfRule type="expression" dxfId="903" priority="825">
      <formula>$AC23</formula>
    </cfRule>
  </conditionalFormatting>
  <conditionalFormatting sqref="AA23:AA40">
    <cfRule type="expression" dxfId="902" priority="20">
      <formula>AND(NOT($AY23),LEN(AA23)&gt;31)</formula>
    </cfRule>
  </conditionalFormatting>
  <conditionalFormatting sqref="GA23:GB40">
    <cfRule type="expression" dxfId="901" priority="18" stopIfTrue="1">
      <formula>$GM23&gt;=0.125</formula>
    </cfRule>
  </conditionalFormatting>
  <conditionalFormatting sqref="EF43">
    <cfRule type="cellIs" dxfId="900" priority="12" stopIfTrue="1" operator="notEqual">
      <formula>$EG43</formula>
    </cfRule>
  </conditionalFormatting>
  <conditionalFormatting sqref="U57">
    <cfRule type="expression" dxfId="899" priority="8">
      <formula>AND(NOT($AY57),NOT(AR57),$P57&lt;&gt;3)</formula>
    </cfRule>
  </conditionalFormatting>
  <conditionalFormatting sqref="W57">
    <cfRule type="expression" dxfId="898" priority="10">
      <formula>AND(NOT($AY57),NOT(AT57),$S57&lt;&gt;3)</formula>
    </cfRule>
  </conditionalFormatting>
  <conditionalFormatting sqref="A57:B57">
    <cfRule type="expression" dxfId="897" priority="4">
      <formula>AND(NOT($AE$1),$B57=0,$AD$1="M")</formula>
    </cfRule>
  </conditionalFormatting>
  <conditionalFormatting sqref="T57">
    <cfRule type="expression" dxfId="896" priority="7">
      <formula>AND(NOT($AY57),NOT(AR57),$P57&lt;&gt;3)</formula>
    </cfRule>
  </conditionalFormatting>
  <conditionalFormatting sqref="V57">
    <cfRule type="expression" dxfId="895" priority="9">
      <formula>AND(NOT($AY57),NOT(AT57),$S57&lt;&gt;3)</formula>
    </cfRule>
  </conditionalFormatting>
  <conditionalFormatting sqref="C57">
    <cfRule type="expression" dxfId="894" priority="5">
      <formula>AND(NOT($AY57),NOT($AP57))</formula>
    </cfRule>
  </conditionalFormatting>
  <conditionalFormatting sqref="X57">
    <cfRule type="expression" dxfId="893" priority="2">
      <formula>$X57=0</formula>
    </cfRule>
  </conditionalFormatting>
  <conditionalFormatting sqref="D57:E57">
    <cfRule type="expression" dxfId="892" priority="6">
      <formula>AND(NOT($AY57),AND($AZ57,AND($AK57&lt;&gt;"HDR",$AK57&lt;&gt;"JS",$AJ57&gt;=8)))</formula>
    </cfRule>
  </conditionalFormatting>
  <conditionalFormatting sqref="A57:AA57">
    <cfRule type="expression" dxfId="891" priority="11">
      <formula>$AC57</formula>
    </cfRule>
  </conditionalFormatting>
  <conditionalFormatting sqref="AA57">
    <cfRule type="expression" dxfId="890" priority="3">
      <formula>AND(NOT($AY57),LEN(AA57)&gt;31)</formula>
    </cfRule>
  </conditionalFormatting>
  <conditionalFormatting sqref="BB23:BC40">
    <cfRule type="expression" dxfId="889" priority="1251">
      <formula>AND(NOT($AE$1),$B23=0,$AD$1="M")</formula>
    </cfRule>
  </conditionalFormatting>
  <conditionalFormatting sqref="CE23:CG40">
    <cfRule type="expression" dxfId="888" priority="1284">
      <formula>$AC23</formula>
    </cfRule>
  </conditionalFormatting>
  <conditionalFormatting sqref="BB23:CD40">
    <cfRule type="expression" dxfId="887" priority="1320">
      <formula>$AC23</formula>
    </cfRule>
  </conditionalFormatting>
  <conditionalFormatting sqref="BS23:BS40">
    <cfRule type="expression" dxfId="886" priority="1393">
      <formula>AND(NOT($AY23),ISERROR(DE23))</formula>
    </cfRule>
    <cfRule type="expression" dxfId="885" priority="1394">
      <formula>AND(NOT($AY23),OR(DE23="", CQ23&lt;&gt;""))</formula>
    </cfRule>
  </conditionalFormatting>
  <conditionalFormatting sqref="BG23:BG40">
    <cfRule type="expression" dxfId="884" priority="1395">
      <formula>AND(NOT($AY23),ISERROR(CU23))</formula>
    </cfRule>
    <cfRule type="expression" dxfId="883" priority="1396">
      <formula>AND(NOT($AY23),OR(CP23&lt;&gt;"", CU23=""))</formula>
    </cfRule>
  </conditionalFormatting>
  <conditionalFormatting sqref="BH23:BH40">
    <cfRule type="expression" dxfId="882" priority="1429">
      <formula>AND(NOT($AY23),OR($CU23="M",$CU23="C",AND($CU23="B",$DC23&gt;0)))</formula>
    </cfRule>
    <cfRule type="expression" dxfId="881" priority="1430">
      <formula>AND(NOT($AY23),AND(BH23="",BI23="",OR($CU23="B",$CU23="G")))</formula>
    </cfRule>
    <cfRule type="expression" dxfId="880" priority="1431">
      <formula>AND(NOT($AY23),(BH23/2)/COS(RADIANS(BM23))+CV23-DW23&lt;VLOOKUP(AU23,$DF$2:$DJ$9,5,FALSE))</formula>
    </cfRule>
  </conditionalFormatting>
  <conditionalFormatting sqref="BI23:BI40">
    <cfRule type="expression" dxfId="879" priority="1432">
      <formula>AND(NOT($AY23),OR($CU23="M",$CU23="C",AND($CU23="B",$DC23&gt;0)))</formula>
    </cfRule>
    <cfRule type="expression" dxfId="878" priority="1433">
      <formula>AND(NOT($AY23),AND(BH23="",BI23="",OR($CU23="B",$CU23="G")))</formula>
    </cfRule>
    <cfRule type="expression" dxfId="877" priority="1434">
      <formula>AND(NOT($AY23),(BI23/2)/COS(RADIANS(BM23))+CV23-DW23&lt;VLOOKUP(AU23,$DF$2:$DJ$9,5,FALSE))</formula>
    </cfRule>
  </conditionalFormatting>
  <conditionalFormatting sqref="BK23:BK40">
    <cfRule type="expression" dxfId="876" priority="1435">
      <formula>AND(NOT($AY23),OR($CU23="M",$CU23="C",AND($CU23="B",$DA23&lt;&gt;"")))</formula>
    </cfRule>
    <cfRule type="expression" dxfId="875" priority="1436">
      <formula>AND(NOT($AY23),AND(BJ23="X",BK23="",BL23=""))</formula>
    </cfRule>
    <cfRule type="expression" dxfId="874" priority="1437">
      <formula>AND(NOT($AY23),EZ23="ERR")</formula>
    </cfRule>
  </conditionalFormatting>
  <conditionalFormatting sqref="BL23:BL40">
    <cfRule type="expression" dxfId="873" priority="1438">
      <formula>AND(NOT($AY23),OR($CU23="M",$CU23="C",AND($CU23="B",$DA23&lt;&gt;"")))</formula>
    </cfRule>
    <cfRule type="expression" dxfId="872" priority="1439">
      <formula>AND(NOT($AY23),AND(BJ23="X",BK23="",BL23=""))</formula>
    </cfRule>
    <cfRule type="expression" dxfId="871" priority="1440">
      <formula>AND(NOT($AY23),EZ23="ERR")</formula>
    </cfRule>
  </conditionalFormatting>
  <conditionalFormatting sqref="BW23:BW40">
    <cfRule type="expression" dxfId="870" priority="1441">
      <formula>AND(NOT($AY23),OR($DE23="M",$DE23="C",AND($DE23="B",$DK23&lt;&gt;"")))</formula>
    </cfRule>
    <cfRule type="expression" dxfId="869" priority="1442">
      <formula>AND(NOT($AY23),AND(BV23="X",BW23="",BX23=""))</formula>
    </cfRule>
    <cfRule type="expression" dxfId="868" priority="1443">
      <formula>AND(NOT($AY23),FC23="ERR")</formula>
    </cfRule>
  </conditionalFormatting>
  <conditionalFormatting sqref="BX23:BX40">
    <cfRule type="expression" dxfId="867" priority="1444">
      <formula>AND(NOT($AY23),OR($DE23="M",$DE23="C",AND($DE23="B",$DK23&lt;&gt;"")))</formula>
    </cfRule>
    <cfRule type="expression" dxfId="866" priority="1445">
      <formula>AND(NOT($AY23),AND(BV23="X",BW23="",BX23=""))</formula>
    </cfRule>
    <cfRule type="expression" dxfId="865" priority="1446">
      <formula>AND(NOT($AY23),FC23="ERR")</formula>
    </cfRule>
  </conditionalFormatting>
  <conditionalFormatting sqref="BT23:BT40">
    <cfRule type="expression" dxfId="864" priority="1447">
      <formula>AND(NOT($AY23),OR($DE23="M",$DE23="C",AND($DE23="B",$DM23&gt;0)))</formula>
    </cfRule>
    <cfRule type="expression" dxfId="863" priority="1448">
      <formula>AND(NOT($AY23),AND(BT23="",BU23="",OR($DE23="B",$DE23="G")))</formula>
    </cfRule>
    <cfRule type="expression" dxfId="862" priority="1449">
      <formula>AND(NOT($AY23),(BT23/2)/COS(RADIANS(BY23))+DF23-EC23&lt;VLOOKUP(AU23,$DF$2:$DJ$9,5,FALSE))</formula>
    </cfRule>
  </conditionalFormatting>
  <conditionalFormatting sqref="BU23:BU40">
    <cfRule type="expression" dxfId="861" priority="1450">
      <formula>AND(NOT($AY23),OR($DE23="M",$DE23="C",AND($DE23="B",$DM23&gt;0)))</formula>
    </cfRule>
    <cfRule type="expression" dxfId="860" priority="1451">
      <formula>AND(NOT($AY23),AND(BT23="",BU23="",OR($DE23="B",$DE23="G")))</formula>
    </cfRule>
    <cfRule type="expression" dxfId="859" priority="1452">
      <formula>AND(NOT($AY23),(BU23/2)/COS(RADIANS(BY23))+DF23-EC23&lt;VLOOKUP(AU23,$DF$2:$DJ$9,5,FALSE))</formula>
    </cfRule>
  </conditionalFormatting>
  <conditionalFormatting sqref="BZ23:BZ40 BN23:BN40">
    <cfRule type="expression" dxfId="858" priority="1453">
      <formula>AND(NOT($AY23),AND(ISBLANK(BN23),AND(NOT(ISBLANK(BM23)),$CE23&lt;&gt;0)))</formula>
    </cfRule>
  </conditionalFormatting>
  <conditionalFormatting sqref="BJ23:BJ40">
    <cfRule type="expression" dxfId="857" priority="1455">
      <formula>AND(NOT($AY23),OR($CU23="C",AND($CU23="M",$DA23&gt;0)))</formula>
    </cfRule>
    <cfRule type="expression" dxfId="856" priority="1456">
      <formula>AND(NOT($AY23),OR(NOT(IF(AND(OR(MID($BB23,1,1)="T",($BE23+$BF23/12)/IF(ABS($CE23)&gt;$DQ$1,COS($DO23),1)&gt;=40),OR($CU23="B",$CU23="G")),"X","")="X"),$EZ23="ERR"))</formula>
    </cfRule>
    <cfRule type="expression" dxfId="855" priority="1457">
      <formula>AND(NOT($AY23),$BJ23&lt;&gt;"X",$BJ23&lt;&gt;IF(AND(OR(MID(BB23,1,1)="T",($BE23+$BF23/12)/IF(ABS($CE23)&gt;$DQ$1,COS($DO23),1)&gt;=40),OR($CU23="B",$CU23="G")),"X",""))</formula>
    </cfRule>
  </conditionalFormatting>
  <conditionalFormatting sqref="BV23:BV40">
    <cfRule type="expression" dxfId="854" priority="1458">
      <formula>AND(NOT($AY23),OR($DE23="C",AND($DE23="M",$DK23&gt;0)))</formula>
    </cfRule>
    <cfRule type="expression" dxfId="853" priority="1459">
      <formula>AND(NOT($AY23),OR(NOT(IF(AND(OR(MID($BB23,1,1)="T",($BE23+$BF23/12)/IF(ABS($CE23)&gt;$DQ$1,COS($DO23),1)&gt;=40),OR($DE23="B",$DE23="G")),"X","")="X"),$FC23="ERR"))</formula>
    </cfRule>
    <cfRule type="expression" dxfId="852" priority="1460">
      <formula>AND(NOT($AY23),$BV23&lt;&gt;"X",$BV23&lt;&gt;IF(AND(OR(MID(BB23,1,1)="T",($BE23+$BF23/12)/IF(ABS($CE23)&gt;$DQ$1,COS($DO23),1)&gt;=40),OR($DE23="B",$DE23="G")),"X",""))</formula>
    </cfRule>
  </conditionalFormatting>
  <conditionalFormatting sqref="GA57:GB57">
    <cfRule type="expression" dxfId="851" priority="1" stopIfTrue="1">
      <formula>$GM57&gt;=0.125</formula>
    </cfRule>
  </conditionalFormatting>
  <conditionalFormatting sqref="D23:E40">
    <cfRule type="expression" dxfId="850"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6"/>
      <c r="CD6" s="1924"/>
      <c r="CE6" s="1924"/>
      <c r="CF6" s="192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21" t="str">
        <f>IF(ISBLANK(CC6),"",CC6)</f>
        <v/>
      </c>
      <c r="N7" s="1924"/>
      <c r="O7" s="1924"/>
      <c r="P7" s="1924"/>
      <c r="Q7" s="1924"/>
      <c r="R7" s="1924"/>
      <c r="S7" s="1924"/>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59" t="s">
        <v>592</v>
      </c>
      <c r="BC11" s="2360"/>
      <c r="BD11" s="2360"/>
      <c r="BE11" s="2360"/>
      <c r="BF11" s="2360"/>
      <c r="BG11" s="2360"/>
      <c r="BH11" s="2360"/>
      <c r="BI11" s="2360"/>
      <c r="BJ11" s="2360"/>
      <c r="BK11" s="2360"/>
      <c r="BL11" s="2360"/>
      <c r="BM11" s="2360"/>
      <c r="BN11" s="2360"/>
      <c r="BO11" s="2360"/>
      <c r="BP11" s="2360"/>
      <c r="BQ11" s="2360"/>
      <c r="BR11" s="2360"/>
      <c r="BS11" s="2360"/>
      <c r="BT11" s="2360"/>
      <c r="BU11" s="2360"/>
      <c r="BV11" s="2360"/>
      <c r="BW11" s="2360"/>
      <c r="BX11" s="2360"/>
      <c r="BY11" s="2360"/>
      <c r="BZ11" s="2360"/>
      <c r="CA11" s="2360"/>
      <c r="CB11" s="2360"/>
      <c r="CC11" s="1557"/>
      <c r="CD11" s="2363"/>
      <c r="CE11" s="2363"/>
      <c r="CF11" s="2363"/>
      <c r="CG11" s="236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61"/>
      <c r="BC12" s="2362"/>
      <c r="BD12" s="2362"/>
      <c r="BE12" s="2362"/>
      <c r="BF12" s="2362"/>
      <c r="BG12" s="2362"/>
      <c r="BH12" s="2362"/>
      <c r="BI12" s="2362"/>
      <c r="BJ12" s="2362"/>
      <c r="BK12" s="2362"/>
      <c r="BL12" s="2362"/>
      <c r="BM12" s="2362"/>
      <c r="BN12" s="2362"/>
      <c r="BO12" s="2362"/>
      <c r="BP12" s="2362"/>
      <c r="BQ12" s="2362"/>
      <c r="BR12" s="2362"/>
      <c r="BS12" s="2362"/>
      <c r="BT12" s="2362"/>
      <c r="BU12" s="2362"/>
      <c r="BV12" s="2362"/>
      <c r="BW12" s="2362"/>
      <c r="BX12" s="2362"/>
      <c r="BY12" s="2362"/>
      <c r="BZ12" s="2362"/>
      <c r="CA12" s="2362"/>
      <c r="CB12" s="2362"/>
      <c r="CC12" s="1556"/>
      <c r="CD12" s="2365"/>
      <c r="CE12" s="2366"/>
      <c r="CF12" s="2366"/>
      <c r="CG12" s="2367"/>
      <c r="CH12" s="244"/>
      <c r="CI12" s="244"/>
      <c r="CJ12" s="244"/>
      <c r="CK12" s="244"/>
      <c r="CL12" s="244"/>
      <c r="CM12" s="933"/>
      <c r="CN12" s="2432" t="s">
        <v>679</v>
      </c>
      <c r="CO12" s="2433"/>
      <c r="CP12" s="2104" t="s">
        <v>615</v>
      </c>
      <c r="CQ12" s="2427"/>
      <c r="CR12" s="2394" t="s">
        <v>482</v>
      </c>
      <c r="CS12" s="2386"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48" t="s">
        <v>581</v>
      </c>
      <c r="EW12" s="2346" t="s">
        <v>472</v>
      </c>
      <c r="EX12" s="2346" t="s">
        <v>525</v>
      </c>
      <c r="EY12" s="2346" t="s">
        <v>526</v>
      </c>
      <c r="EZ12" s="2346" t="s">
        <v>527</v>
      </c>
      <c r="FA12" s="2346" t="s">
        <v>528</v>
      </c>
      <c r="FB12" s="2346" t="s">
        <v>529</v>
      </c>
      <c r="FC12" s="2346" t="s">
        <v>530</v>
      </c>
      <c r="FD12" s="2346" t="s">
        <v>531</v>
      </c>
      <c r="FE12" s="2346" t="s">
        <v>473</v>
      </c>
      <c r="FF12" s="2346" t="s">
        <v>532</v>
      </c>
      <c r="FG12" s="2346" t="s">
        <v>583</v>
      </c>
      <c r="FH12" s="2346" t="s">
        <v>474</v>
      </c>
      <c r="FI12" s="2346" t="s">
        <v>533</v>
      </c>
      <c r="FJ12" s="2346" t="s">
        <v>475</v>
      </c>
      <c r="FK12" s="2346" t="s">
        <v>534</v>
      </c>
      <c r="FL12" s="2346" t="s">
        <v>584</v>
      </c>
      <c r="FM12" s="2346" t="s">
        <v>476</v>
      </c>
      <c r="FN12" s="2346" t="s">
        <v>477</v>
      </c>
      <c r="FQ12" s="2319" t="s">
        <v>656</v>
      </c>
      <c r="FR12" s="2320"/>
      <c r="GA12" s="374"/>
      <c r="GB12" s="374"/>
      <c r="GC12" s="374"/>
      <c r="GD12" s="374"/>
      <c r="GE12" s="374"/>
      <c r="GF12" s="374"/>
      <c r="GG12" s="374"/>
      <c r="GH12" s="374"/>
      <c r="GI12" s="374"/>
      <c r="GJ12" s="374"/>
      <c r="HA12" s="2454" t="s">
        <v>621</v>
      </c>
      <c r="HB12" s="2455"/>
      <c r="HC12" s="2455"/>
      <c r="HD12" s="2455"/>
      <c r="HE12" s="2455"/>
      <c r="HF12" s="2455"/>
      <c r="HG12" s="2455"/>
      <c r="HH12" s="2455"/>
      <c r="HI12" s="2455"/>
      <c r="HJ12" s="2455"/>
      <c r="HK12" s="2455"/>
      <c r="HL12" s="2455"/>
      <c r="HM12" s="2455"/>
      <c r="HN12" s="2455"/>
      <c r="HO12" s="2455"/>
      <c r="HP12" s="2455"/>
      <c r="HQ12" s="2455"/>
      <c r="HR12" s="2455"/>
      <c r="HS12" s="2455"/>
      <c r="HT12" s="2455"/>
      <c r="HU12" s="2455"/>
      <c r="HV12" s="2456"/>
      <c r="HW12" s="2456"/>
      <c r="HX12" s="2456"/>
      <c r="HY12" s="2457"/>
      <c r="HZ12" s="2457"/>
      <c r="IA12" s="2457"/>
      <c r="IB12" s="2457"/>
      <c r="IC12" s="2457"/>
      <c r="ID12" s="2457"/>
      <c r="IE12" s="2457"/>
      <c r="IF12" s="2458"/>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66" t="s">
        <v>450</v>
      </c>
      <c r="AV13" s="2319" t="s">
        <v>451</v>
      </c>
      <c r="AW13" s="2320"/>
      <c r="AX13" s="465"/>
      <c r="BA13" s="246"/>
      <c r="BB13" s="2477"/>
      <c r="BC13" s="2478"/>
      <c r="BD13" s="2478"/>
      <c r="BE13" s="2478"/>
      <c r="BF13" s="1950"/>
      <c r="BG13" s="2414" t="s">
        <v>469</v>
      </c>
      <c r="BH13" s="2415"/>
      <c r="BI13" s="2415"/>
      <c r="BJ13" s="2415"/>
      <c r="BK13" s="2415"/>
      <c r="BL13" s="2416"/>
      <c r="BM13" s="2417"/>
      <c r="BN13" s="2417"/>
      <c r="BO13" s="2418"/>
      <c r="BP13" s="2418"/>
      <c r="BQ13" s="2418"/>
      <c r="BR13" s="2419"/>
      <c r="BS13" s="2414" t="s">
        <v>470</v>
      </c>
      <c r="BT13" s="2416"/>
      <c r="BU13" s="2416"/>
      <c r="BV13" s="2416"/>
      <c r="BW13" s="2416"/>
      <c r="BX13" s="2416"/>
      <c r="BY13" s="2417"/>
      <c r="BZ13" s="2417"/>
      <c r="CA13" s="2418"/>
      <c r="CB13" s="2418"/>
      <c r="CC13" s="2418"/>
      <c r="CD13" s="2419"/>
      <c r="CE13" s="2468" t="s">
        <v>804</v>
      </c>
      <c r="CF13" s="2447"/>
      <c r="CG13" s="2448"/>
      <c r="CH13" s="244"/>
      <c r="CI13" s="244"/>
      <c r="CJ13" s="244"/>
      <c r="CK13" s="244"/>
      <c r="CL13" s="934"/>
      <c r="CM13" s="935"/>
      <c r="CN13" s="2434"/>
      <c r="CO13" s="2435"/>
      <c r="CP13" s="2428"/>
      <c r="CQ13" s="2429"/>
      <c r="CR13" s="2395"/>
      <c r="CS13" s="2387"/>
      <c r="CU13" s="2397" t="s">
        <v>471</v>
      </c>
      <c r="CV13" s="2398"/>
      <c r="CW13" s="2398"/>
      <c r="CX13" s="2398"/>
      <c r="CY13" s="2398"/>
      <c r="CZ13" s="2398"/>
      <c r="DA13" s="2398"/>
      <c r="DB13" s="2398"/>
      <c r="DC13" s="2398"/>
      <c r="DD13" s="2399"/>
      <c r="DE13" s="2397" t="s">
        <v>470</v>
      </c>
      <c r="DF13" s="2398"/>
      <c r="DG13" s="2398"/>
      <c r="DH13" s="2398"/>
      <c r="DI13" s="2398"/>
      <c r="DJ13" s="2398"/>
      <c r="DK13" s="2398"/>
      <c r="DL13" s="2398"/>
      <c r="DM13" s="2398"/>
      <c r="DN13" s="2399"/>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49"/>
      <c r="EW13" s="2307"/>
      <c r="EX13" s="2347"/>
      <c r="EY13" s="2347"/>
      <c r="EZ13" s="2422"/>
      <c r="FA13" s="2347"/>
      <c r="FB13" s="2347"/>
      <c r="FC13" s="2347"/>
      <c r="FD13" s="2423"/>
      <c r="FE13" s="2423"/>
      <c r="FF13" s="2423"/>
      <c r="FG13" s="2423"/>
      <c r="FH13" s="2423"/>
      <c r="FI13" s="2423"/>
      <c r="FJ13" s="2423"/>
      <c r="FK13" s="2423"/>
      <c r="FL13" s="2423"/>
      <c r="FM13" s="2423"/>
      <c r="FN13" s="2423"/>
      <c r="FQ13" s="2321"/>
      <c r="FR13" s="2322"/>
      <c r="GA13" s="2318" t="s">
        <v>1140</v>
      </c>
      <c r="GB13" s="2318"/>
      <c r="GC13" s="2318"/>
      <c r="GD13" s="2318"/>
      <c r="GE13" s="2318"/>
      <c r="GF13" s="2318"/>
      <c r="GG13" s="1935"/>
      <c r="GH13" s="1935"/>
      <c r="GI13" s="1935"/>
      <c r="GJ13" s="1935"/>
      <c r="HA13" s="2459"/>
      <c r="HB13" s="2460"/>
      <c r="HC13" s="2460"/>
      <c r="HD13" s="2460"/>
      <c r="HE13" s="2460"/>
      <c r="HF13" s="2460"/>
      <c r="HG13" s="2460"/>
      <c r="HH13" s="2460"/>
      <c r="HI13" s="2460"/>
      <c r="HJ13" s="2460"/>
      <c r="HK13" s="2460"/>
      <c r="HL13" s="2460"/>
      <c r="HM13" s="2460"/>
      <c r="HN13" s="2460"/>
      <c r="HO13" s="2460"/>
      <c r="HP13" s="2460"/>
      <c r="HQ13" s="2460"/>
      <c r="HR13" s="2460"/>
      <c r="HS13" s="2460"/>
      <c r="HT13" s="2460"/>
      <c r="HU13" s="2460"/>
      <c r="HV13" s="2461"/>
      <c r="HW13" s="2461"/>
      <c r="HX13" s="2461"/>
      <c r="HY13" s="2462"/>
      <c r="HZ13" s="2462"/>
      <c r="IA13" s="2462"/>
      <c r="IB13" s="2462"/>
      <c r="IC13" s="2462"/>
      <c r="ID13" s="2462"/>
      <c r="IE13" s="2462"/>
      <c r="IF13" s="2463"/>
    </row>
    <row r="14" spans="1:241" ht="12.6" customHeight="1" thickTop="1" thickBot="1" x14ac:dyDescent="0.25">
      <c r="A14" s="2410" t="s">
        <v>40</v>
      </c>
      <c r="B14" s="2384" t="s">
        <v>28</v>
      </c>
      <c r="C14" s="2384" t="s">
        <v>24</v>
      </c>
      <c r="D14" s="2384" t="s">
        <v>25</v>
      </c>
      <c r="E14" s="2464"/>
      <c r="F14" s="2076" t="s">
        <v>9</v>
      </c>
      <c r="G14" s="2077"/>
      <c r="H14" s="2077"/>
      <c r="I14" s="2077" t="s">
        <v>10</v>
      </c>
      <c r="J14" s="2077"/>
      <c r="K14" s="2078"/>
      <c r="L14" s="2076" t="s">
        <v>11</v>
      </c>
      <c r="M14" s="2078"/>
      <c r="N14" s="1969" t="s">
        <v>12</v>
      </c>
      <c r="O14" s="2077"/>
      <c r="P14" s="2077"/>
      <c r="Q14" s="2077" t="s">
        <v>13</v>
      </c>
      <c r="R14" s="2077"/>
      <c r="S14" s="1967"/>
      <c r="T14" s="2076" t="s">
        <v>14</v>
      </c>
      <c r="U14" s="2077"/>
      <c r="V14" s="2077"/>
      <c r="W14" s="2077"/>
      <c r="X14" s="2078"/>
      <c r="Y14" s="2071" t="s">
        <v>111</v>
      </c>
      <c r="Z14" s="2072"/>
      <c r="AA14" s="1059" t="s">
        <v>15</v>
      </c>
      <c r="AB14" s="1411"/>
      <c r="AD14" s="426"/>
      <c r="AE14" s="426"/>
      <c r="AF14" s="426"/>
      <c r="AG14" s="426"/>
      <c r="AH14" s="426"/>
      <c r="AI14" s="426"/>
      <c r="AJ14" s="426"/>
      <c r="AK14" s="426"/>
      <c r="AL14" s="426"/>
      <c r="AM14" s="426"/>
      <c r="AN14" s="426"/>
      <c r="AO14" s="426"/>
      <c r="AP14" s="426"/>
      <c r="AQ14" s="426"/>
      <c r="AR14" s="426"/>
      <c r="AS14" s="426"/>
      <c r="AT14" s="426"/>
      <c r="AU14" s="1897"/>
      <c r="AV14" s="2321"/>
      <c r="AW14" s="2322"/>
      <c r="AX14" s="502"/>
      <c r="AY14" s="426"/>
      <c r="AZ14" s="2337" t="s">
        <v>1059</v>
      </c>
      <c r="BA14" s="246"/>
      <c r="BB14" s="2420" t="s">
        <v>539</v>
      </c>
      <c r="BC14" s="2400" t="s">
        <v>130</v>
      </c>
      <c r="BD14" s="2401" t="s">
        <v>540</v>
      </c>
      <c r="BE14" s="2402" t="s">
        <v>1290</v>
      </c>
      <c r="BF14" s="2403"/>
      <c r="BG14" s="2226" t="s">
        <v>1282</v>
      </c>
      <c r="BH14" s="2401" t="s">
        <v>803</v>
      </c>
      <c r="BI14" s="2229"/>
      <c r="BJ14" s="2368" t="s">
        <v>541</v>
      </c>
      <c r="BK14" s="2401" t="s">
        <v>1072</v>
      </c>
      <c r="BL14" s="2229"/>
      <c r="BM14" s="2400" t="s">
        <v>488</v>
      </c>
      <c r="BN14" s="2488" t="s">
        <v>793</v>
      </c>
      <c r="BO14" s="2475" t="s">
        <v>1275</v>
      </c>
      <c r="BP14" s="1937" t="s">
        <v>1276</v>
      </c>
      <c r="BQ14" s="1938"/>
      <c r="BR14" s="1939"/>
      <c r="BS14" s="2226" t="s">
        <v>1282</v>
      </c>
      <c r="BT14" s="2401" t="s">
        <v>803</v>
      </c>
      <c r="BU14" s="2229"/>
      <c r="BV14" s="2368" t="s">
        <v>541</v>
      </c>
      <c r="BW14" s="2401" t="s">
        <v>1072</v>
      </c>
      <c r="BX14" s="2229"/>
      <c r="BY14" s="2400" t="s">
        <v>488</v>
      </c>
      <c r="BZ14" s="2473" t="s">
        <v>793</v>
      </c>
      <c r="CA14" s="2475" t="s">
        <v>1275</v>
      </c>
      <c r="CB14" s="1937" t="s">
        <v>1276</v>
      </c>
      <c r="CC14" s="1938"/>
      <c r="CD14" s="1939"/>
      <c r="CE14" s="2469"/>
      <c r="CF14" s="2449"/>
      <c r="CG14" s="2448"/>
      <c r="CH14" s="2389" t="s">
        <v>588</v>
      </c>
      <c r="CI14" s="2390"/>
      <c r="CJ14" s="2390"/>
      <c r="CK14" s="2389" t="s">
        <v>589</v>
      </c>
      <c r="CL14" s="2436" t="s">
        <v>786</v>
      </c>
      <c r="CM14" s="2436"/>
      <c r="CN14" s="2434"/>
      <c r="CO14" s="2435"/>
      <c r="CP14" s="2430"/>
      <c r="CQ14" s="2431"/>
      <c r="CR14" s="2395"/>
      <c r="CS14" s="2387"/>
      <c r="CT14" s="426"/>
      <c r="CU14" s="2342" t="s">
        <v>498</v>
      </c>
      <c r="CV14" s="2302" t="s">
        <v>499</v>
      </c>
      <c r="CW14" s="2302" t="s">
        <v>500</v>
      </c>
      <c r="CX14" s="2302" t="s">
        <v>501</v>
      </c>
      <c r="CY14" s="2302" t="s">
        <v>560</v>
      </c>
      <c r="CZ14" s="2302" t="s">
        <v>578</v>
      </c>
      <c r="DA14" s="2302" t="s">
        <v>502</v>
      </c>
      <c r="DB14" s="2302" t="s">
        <v>579</v>
      </c>
      <c r="DC14" s="2302" t="s">
        <v>503</v>
      </c>
      <c r="DD14" s="2302" t="s">
        <v>504</v>
      </c>
      <c r="DE14" s="2342" t="s">
        <v>498</v>
      </c>
      <c r="DF14" s="2302" t="s">
        <v>499</v>
      </c>
      <c r="DG14" s="2302" t="s">
        <v>505</v>
      </c>
      <c r="DH14" s="2302" t="s">
        <v>501</v>
      </c>
      <c r="DI14" s="2302" t="s">
        <v>560</v>
      </c>
      <c r="DJ14" s="2302" t="s">
        <v>578</v>
      </c>
      <c r="DK14" s="2302" t="s">
        <v>502</v>
      </c>
      <c r="DL14" s="2302" t="s">
        <v>579</v>
      </c>
      <c r="DM14" s="2302" t="s">
        <v>503</v>
      </c>
      <c r="DN14" s="2344" t="s">
        <v>504</v>
      </c>
      <c r="DO14" s="2339" t="s">
        <v>491</v>
      </c>
      <c r="DP14" s="2437" t="s">
        <v>506</v>
      </c>
      <c r="DQ14" s="2333" t="s">
        <v>507</v>
      </c>
      <c r="DR14" s="2304" t="s">
        <v>508</v>
      </c>
      <c r="DS14" s="2306" t="s">
        <v>543</v>
      </c>
      <c r="DT14" s="2331" t="s">
        <v>509</v>
      </c>
      <c r="DU14" s="2332"/>
      <c r="DV14" s="2308" t="s">
        <v>1103</v>
      </c>
      <c r="DW14" s="2335" t="s">
        <v>1104</v>
      </c>
      <c r="DX14" s="2337" t="s">
        <v>514</v>
      </c>
      <c r="DY14" s="2306" t="s">
        <v>544</v>
      </c>
      <c r="DZ14" s="2331" t="s">
        <v>511</v>
      </c>
      <c r="EA14" s="2332"/>
      <c r="EB14" s="2335" t="s">
        <v>1105</v>
      </c>
      <c r="EC14" s="2335" t="s">
        <v>1106</v>
      </c>
      <c r="ED14" s="2337" t="s">
        <v>516</v>
      </c>
      <c r="EE14" s="2333" t="s">
        <v>545</v>
      </c>
      <c r="EF14" s="2351" t="s">
        <v>546</v>
      </c>
      <c r="EG14" s="2352"/>
      <c r="EH14" s="2351" t="s">
        <v>547</v>
      </c>
      <c r="EI14" s="2353"/>
      <c r="EJ14" s="2304" t="s">
        <v>548</v>
      </c>
      <c r="EK14" s="2341"/>
      <c r="EL14" s="2333" t="s">
        <v>568</v>
      </c>
      <c r="EM14" s="2351" t="s">
        <v>549</v>
      </c>
      <c r="EN14" s="2352"/>
      <c r="EO14" s="2351" t="s">
        <v>550</v>
      </c>
      <c r="EP14" s="2353"/>
      <c r="EQ14" s="2304" t="s">
        <v>551</v>
      </c>
      <c r="ER14" s="2341"/>
      <c r="ES14" s="2333" t="s">
        <v>12</v>
      </c>
      <c r="ET14" s="2333" t="s">
        <v>13</v>
      </c>
      <c r="EU14" s="2304" t="s">
        <v>582</v>
      </c>
      <c r="EV14" s="2349"/>
      <c r="EW14" s="2307"/>
      <c r="EX14" s="2347"/>
      <c r="EY14" s="2347"/>
      <c r="EZ14" s="2422"/>
      <c r="FA14" s="2347"/>
      <c r="FB14" s="2347"/>
      <c r="FC14" s="2347"/>
      <c r="FD14" s="2423"/>
      <c r="FE14" s="2423"/>
      <c r="FF14" s="2423"/>
      <c r="FG14" s="2423"/>
      <c r="FH14" s="2423"/>
      <c r="FI14" s="2423"/>
      <c r="FJ14" s="2423"/>
      <c r="FK14" s="2423"/>
      <c r="FL14" s="2423"/>
      <c r="FM14" s="2423"/>
      <c r="FN14" s="2423"/>
      <c r="FO14" s="2333" t="s">
        <v>590</v>
      </c>
      <c r="FP14" s="2333" t="s">
        <v>591</v>
      </c>
      <c r="FQ14" s="2439" t="s">
        <v>654</v>
      </c>
      <c r="FR14" s="2442" t="s">
        <v>655</v>
      </c>
      <c r="FS14" s="2437" t="s">
        <v>682</v>
      </c>
      <c r="FT14" s="2450" t="s">
        <v>683</v>
      </c>
      <c r="FU14" s="2159" t="s">
        <v>787</v>
      </c>
      <c r="FV14" s="2160"/>
      <c r="FW14" s="426"/>
      <c r="FX14" s="426"/>
      <c r="FY14" s="426"/>
      <c r="FZ14" s="426"/>
      <c r="GA14" s="2118" t="s">
        <v>708</v>
      </c>
      <c r="GB14" s="2119"/>
      <c r="GC14" s="2118" t="s">
        <v>558</v>
      </c>
      <c r="GD14" s="2119"/>
      <c r="GE14" s="2120" t="s">
        <v>711</v>
      </c>
      <c r="GF14" s="2122" t="s">
        <v>40</v>
      </c>
      <c r="GG14" s="2316" t="s">
        <v>1142</v>
      </c>
      <c r="GH14" s="2317"/>
      <c r="GI14" s="2316" t="s">
        <v>1141</v>
      </c>
      <c r="GJ14" s="2317"/>
      <c r="GK14" s="2123" t="s">
        <v>712</v>
      </c>
      <c r="GL14" s="2123" t="s">
        <v>713</v>
      </c>
      <c r="GM14" s="2123" t="s">
        <v>714</v>
      </c>
      <c r="HA14" s="2440" t="s">
        <v>539</v>
      </c>
      <c r="HB14" s="2314" t="s">
        <v>130</v>
      </c>
      <c r="HC14" s="2314" t="s">
        <v>540</v>
      </c>
      <c r="HD14" s="2424" t="str">
        <f>IF($HA$1,"Joist ""BayLength""","Overall Length")</f>
        <v>Overall Length</v>
      </c>
      <c r="HE14" s="2314"/>
      <c r="HF14" s="2312" t="str">
        <f>IF($HA$1,"Left Sect. #","TCXL Feet")</f>
        <v>TCXL Feet</v>
      </c>
      <c r="HG14" s="2312" t="str">
        <f>IF($HA$1,"L Min Sup Width","TCXL Inch")</f>
        <v>TCXL Inch</v>
      </c>
      <c r="HH14" s="2312" t="str">
        <f>IF($HA$1,"L Max Sup Width","TCXL Type")</f>
        <v>TCXL Type</v>
      </c>
      <c r="HI14" s="2312" t="str">
        <f>IF($HA$1,"Left Bolt ""X""","TCXR Feet")</f>
        <v>TCXR Feet</v>
      </c>
      <c r="HJ14" s="2312" t="str">
        <f>IF($HA$1,"L Min Flg Ga","TCXR Inch")</f>
        <v>TCXR Inch</v>
      </c>
      <c r="HK14" s="2312" t="str">
        <f>IF($HA$1,"L Max Flg Ga","TCXR Type")</f>
        <v>TCXR Type</v>
      </c>
      <c r="HL14" s="2312" t="str">
        <f>IF($HA$1,"Left Skew","BDL")</f>
        <v>BDL</v>
      </c>
      <c r="HM14" s="2312" t="str">
        <f>IF($HA$1,"Left Brg Slp","BDR")</f>
        <v>BDR</v>
      </c>
      <c r="HN14" s="2312" t="str">
        <f>IF($HA$1,"Right Sect. #","BCXL Feet")</f>
        <v>BCXL Feet</v>
      </c>
      <c r="HO14" s="2312" t="str">
        <f>IF($HA$1,"R Min Sup Width","BCXL Inch")</f>
        <v>BCXL Inch</v>
      </c>
      <c r="HP14" s="2312" t="str">
        <f>IF($HA$1,"R Max Sup Width","BCXL Type")</f>
        <v>BCXL Type</v>
      </c>
      <c r="HQ14" s="2312" t="str">
        <f>IF($HA$1,"Right Bolt ""X""","BCXR Feet")</f>
        <v>BCXR Feet</v>
      </c>
      <c r="HR14" s="2312" t="str">
        <f>IF($HA$1,"R Min Flg Ga","BCXR Inch")</f>
        <v>BCXR Inch</v>
      </c>
      <c r="HS14" s="2312" t="str">
        <f>IF($HA$1,"R Max Flg Ga","BCXR Type")</f>
        <v>BCXR Type</v>
      </c>
      <c r="HT14" s="2312" t="str">
        <f>IF($HA$1,"Right Skew","HL Feet")</f>
        <v>HL Feet</v>
      </c>
      <c r="HU14" s="2312" t="str">
        <f>IF($HA$1,"Right Brg Slp","HL Inch")</f>
        <v>HL Inch</v>
      </c>
      <c r="HV14" s="2312" t="str">
        <f>IF($HA$1,"TC Slope","HR Feet")</f>
        <v>HR Feet</v>
      </c>
      <c r="HW14" s="2312" t="str">
        <f>IF($HA$1,"Load Notes","HR Inch")</f>
        <v>HR Inch</v>
      </c>
      <c r="HX14" s="2312" t="str">
        <f>IF($HA$1,"Spcl Notes","Slot Ga")</f>
        <v>Slot Ga</v>
      </c>
      <c r="HY14" s="2312" t="str">
        <f>IF($HA$1,"TC L Override","L Seat Slp")</f>
        <v>L Seat Slp</v>
      </c>
      <c r="HZ14" s="2312" t="str">
        <f>IF($HA$1,"TCR Override","R Seat Slp")</f>
        <v>R Seat Slp</v>
      </c>
      <c r="IA14" s="2312" t="str">
        <f>IF($HA$1,"L-BL Override","Sp Notes")</f>
        <v>Sp Notes</v>
      </c>
      <c r="IB14" s="2312" t="str">
        <f>IF($HA$1,"R-BL Override","Ld Notes")</f>
        <v>Ld Notes</v>
      </c>
      <c r="IC14" s="2312" t="str">
        <f>IF($HA$1,"BCXL ""X""","-")</f>
        <v>-</v>
      </c>
      <c r="ID14" s="2312" t="str">
        <f>IF($HA$1,"BCXR ""X""","-")</f>
        <v>-</v>
      </c>
      <c r="IE14" s="2312" t="str">
        <f>IF($HA$1,"BDL Override","-")</f>
        <v>-</v>
      </c>
      <c r="IF14" s="2452" t="str">
        <f>IF($HA$1,"BDR Override","-")</f>
        <v>-</v>
      </c>
    </row>
    <row r="15" spans="1:241" ht="12.6" customHeight="1" thickTop="1" thickBot="1" x14ac:dyDescent="0.25">
      <c r="A15" s="2411"/>
      <c r="B15" s="2385"/>
      <c r="C15" s="2385"/>
      <c r="D15" s="2385"/>
      <c r="E15" s="2465"/>
      <c r="F15" s="1980" t="s">
        <v>16</v>
      </c>
      <c r="G15" s="2070"/>
      <c r="H15" s="1102" t="s">
        <v>732</v>
      </c>
      <c r="I15" s="2070" t="s">
        <v>16</v>
      </c>
      <c r="J15" s="2070"/>
      <c r="K15" s="461" t="s">
        <v>732</v>
      </c>
      <c r="L15" s="1106" t="s">
        <v>18</v>
      </c>
      <c r="M15" s="461" t="s">
        <v>19</v>
      </c>
      <c r="N15" s="1977" t="s">
        <v>16</v>
      </c>
      <c r="O15" s="2070"/>
      <c r="P15" s="1102" t="s">
        <v>732</v>
      </c>
      <c r="Q15" s="2070" t="s">
        <v>16</v>
      </c>
      <c r="R15" s="2070"/>
      <c r="S15" s="1065" t="s">
        <v>732</v>
      </c>
      <c r="T15" s="1980" t="s">
        <v>80</v>
      </c>
      <c r="U15" s="2070"/>
      <c r="V15" s="2070" t="s">
        <v>81</v>
      </c>
      <c r="W15" s="207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8"/>
      <c r="AV15" s="2392"/>
      <c r="AW15" s="2393"/>
      <c r="AX15" s="503" t="s">
        <v>632</v>
      </c>
      <c r="AY15" s="503" t="s">
        <v>133</v>
      </c>
      <c r="AZ15" s="2467"/>
      <c r="BA15" s="246"/>
      <c r="BB15" s="2128"/>
      <c r="BC15" s="2057"/>
      <c r="BD15" s="2130"/>
      <c r="BE15" s="2404"/>
      <c r="BF15" s="2405"/>
      <c r="BG15" s="2227"/>
      <c r="BH15" s="2471"/>
      <c r="BI15" s="2472"/>
      <c r="BJ15" s="2369"/>
      <c r="BK15" s="2471"/>
      <c r="BL15" s="2472"/>
      <c r="BM15" s="2057"/>
      <c r="BN15" s="2489"/>
      <c r="BO15" s="2476"/>
      <c r="BP15" s="1546" t="s">
        <v>1277</v>
      </c>
      <c r="BQ15" s="1547" t="s">
        <v>1278</v>
      </c>
      <c r="BR15" s="1548" t="s">
        <v>501</v>
      </c>
      <c r="BS15" s="2227"/>
      <c r="BT15" s="2471"/>
      <c r="BU15" s="2472"/>
      <c r="BV15" s="2369"/>
      <c r="BW15" s="2471"/>
      <c r="BX15" s="2472"/>
      <c r="BY15" s="2057"/>
      <c r="BZ15" s="2474"/>
      <c r="CA15" s="2476"/>
      <c r="CB15" s="1546" t="s">
        <v>1277</v>
      </c>
      <c r="CC15" s="1547" t="s">
        <v>1278</v>
      </c>
      <c r="CD15" s="1548" t="s">
        <v>501</v>
      </c>
      <c r="CE15" s="2470"/>
      <c r="CF15" s="1554" t="s">
        <v>418</v>
      </c>
      <c r="CG15" s="1549" t="s">
        <v>553</v>
      </c>
      <c r="CH15" s="498" t="s">
        <v>585</v>
      </c>
      <c r="CI15" s="433" t="s">
        <v>586</v>
      </c>
      <c r="CJ15" s="434" t="s">
        <v>587</v>
      </c>
      <c r="CK15" s="2391"/>
      <c r="CL15" s="499" t="s">
        <v>606</v>
      </c>
      <c r="CM15" s="500" t="s">
        <v>607</v>
      </c>
      <c r="CN15" s="932" t="s">
        <v>606</v>
      </c>
      <c r="CO15" s="435" t="s">
        <v>607</v>
      </c>
      <c r="CP15" s="436" t="s">
        <v>520</v>
      </c>
      <c r="CQ15" s="437" t="s">
        <v>169</v>
      </c>
      <c r="CR15" s="2396"/>
      <c r="CS15" s="2388"/>
      <c r="CT15" s="426"/>
      <c r="CU15" s="2343"/>
      <c r="CV15" s="2325"/>
      <c r="CW15" s="2325"/>
      <c r="CX15" s="2303"/>
      <c r="CY15" s="2303"/>
      <c r="CZ15" s="2303"/>
      <c r="DA15" s="2303"/>
      <c r="DB15" s="2303"/>
      <c r="DC15" s="2303"/>
      <c r="DD15" s="2303"/>
      <c r="DE15" s="2343"/>
      <c r="DF15" s="2325"/>
      <c r="DG15" s="2325"/>
      <c r="DH15" s="2303"/>
      <c r="DI15" s="2303"/>
      <c r="DJ15" s="2303"/>
      <c r="DK15" s="2303"/>
      <c r="DL15" s="2303"/>
      <c r="DM15" s="2303"/>
      <c r="DN15" s="2345"/>
      <c r="DO15" s="2340"/>
      <c r="DP15" s="2451"/>
      <c r="DQ15" s="2334"/>
      <c r="DR15" s="2305"/>
      <c r="DS15" s="2307"/>
      <c r="DT15" s="438" t="s">
        <v>554</v>
      </c>
      <c r="DU15" s="438" t="s">
        <v>555</v>
      </c>
      <c r="DV15" s="2309"/>
      <c r="DW15" s="2336"/>
      <c r="DX15" s="2338"/>
      <c r="DY15" s="2307"/>
      <c r="DZ15" s="438" t="s">
        <v>554</v>
      </c>
      <c r="EA15" s="438" t="s">
        <v>555</v>
      </c>
      <c r="EB15" s="2336"/>
      <c r="EC15" s="2336"/>
      <c r="ED15" s="2338"/>
      <c r="EE15" s="2354"/>
      <c r="EF15" s="439" t="s">
        <v>521</v>
      </c>
      <c r="EG15" s="440" t="s">
        <v>522</v>
      </c>
      <c r="EH15" s="439" t="s">
        <v>521</v>
      </c>
      <c r="EI15" s="440" t="s">
        <v>522</v>
      </c>
      <c r="EJ15" s="439" t="s">
        <v>521</v>
      </c>
      <c r="EK15" s="440" t="s">
        <v>522</v>
      </c>
      <c r="EL15" s="2354"/>
      <c r="EM15" s="439" t="s">
        <v>521</v>
      </c>
      <c r="EN15" s="440" t="s">
        <v>522</v>
      </c>
      <c r="EO15" s="439" t="s">
        <v>521</v>
      </c>
      <c r="EP15" s="440" t="s">
        <v>522</v>
      </c>
      <c r="EQ15" s="439" t="s">
        <v>521</v>
      </c>
      <c r="ER15" s="440" t="s">
        <v>522</v>
      </c>
      <c r="ES15" s="2357"/>
      <c r="ET15" s="2357"/>
      <c r="EU15" s="2358"/>
      <c r="EV15" s="2350"/>
      <c r="EW15" s="2307"/>
      <c r="EX15" s="2347"/>
      <c r="EY15" s="2347"/>
      <c r="EZ15" s="2422"/>
      <c r="FA15" s="2347"/>
      <c r="FB15" s="2347"/>
      <c r="FC15" s="2347"/>
      <c r="FD15" s="2423"/>
      <c r="FE15" s="2423"/>
      <c r="FF15" s="2423"/>
      <c r="FG15" s="2423"/>
      <c r="FH15" s="2423"/>
      <c r="FI15" s="2423"/>
      <c r="FJ15" s="2423"/>
      <c r="FK15" s="2423"/>
      <c r="FL15" s="2423"/>
      <c r="FM15" s="2423"/>
      <c r="FN15" s="2423"/>
      <c r="FO15" s="2357"/>
      <c r="FP15" s="2357"/>
      <c r="FQ15" s="2357"/>
      <c r="FR15" s="2443"/>
      <c r="FS15" s="2438"/>
      <c r="FT15" s="2443"/>
      <c r="FU15" s="508" t="s">
        <v>606</v>
      </c>
      <c r="FV15" s="509" t="s">
        <v>607</v>
      </c>
      <c r="FW15" s="426"/>
      <c r="FX15" s="426"/>
      <c r="FY15" s="426"/>
      <c r="FZ15" s="426"/>
      <c r="GA15" s="1035" t="s">
        <v>1112</v>
      </c>
      <c r="GB15" s="1036" t="s">
        <v>710</v>
      </c>
      <c r="GC15" s="1031" t="s">
        <v>606</v>
      </c>
      <c r="GD15" s="1032" t="s">
        <v>607</v>
      </c>
      <c r="GE15" s="2121"/>
      <c r="GF15" s="2121"/>
      <c r="GG15" s="1033" t="s">
        <v>1112</v>
      </c>
      <c r="GH15" s="1034" t="s">
        <v>710</v>
      </c>
      <c r="GI15" s="1033" t="s">
        <v>1112</v>
      </c>
      <c r="GJ15" s="1034" t="s">
        <v>710</v>
      </c>
      <c r="GK15" s="2124"/>
      <c r="GL15" s="2124"/>
      <c r="GM15" s="2124"/>
      <c r="HA15" s="2441"/>
      <c r="HB15" s="2315"/>
      <c r="HC15" s="2315"/>
      <c r="HD15" s="2315"/>
      <c r="HE15" s="2315"/>
      <c r="HF15" s="2313"/>
      <c r="HG15" s="2313"/>
      <c r="HH15" s="2313"/>
      <c r="HI15" s="2313"/>
      <c r="HJ15" s="2313"/>
      <c r="HK15" s="2313"/>
      <c r="HL15" s="2313"/>
      <c r="HM15" s="2313"/>
      <c r="HN15" s="2313"/>
      <c r="HO15" s="2313"/>
      <c r="HP15" s="2313"/>
      <c r="HQ15" s="2313"/>
      <c r="HR15" s="2313"/>
      <c r="HS15" s="2313"/>
      <c r="HT15" s="2313"/>
      <c r="HU15" s="2313"/>
      <c r="HV15" s="2313"/>
      <c r="HW15" s="2313"/>
      <c r="HX15" s="2313"/>
      <c r="HY15" s="2313"/>
      <c r="HZ15" s="2313"/>
      <c r="IA15" s="2313"/>
      <c r="IB15" s="2313"/>
      <c r="IC15" s="2313"/>
      <c r="ID15" s="2313"/>
      <c r="IE15" s="2313"/>
      <c r="IF15" s="2453"/>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23"/>
      <c r="CQ57" s="2324"/>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26" t="s">
        <v>524</v>
      </c>
      <c r="EM71" s="2327"/>
      <c r="EN71" s="2327"/>
      <c r="EO71" s="2328"/>
    </row>
    <row r="72" spans="1:145" ht="15" customHeight="1" thickBot="1" x14ac:dyDescent="0.25">
      <c r="EL72" s="2479" t="s">
        <v>535</v>
      </c>
      <c r="EM72" s="2482" t="s">
        <v>536</v>
      </c>
      <c r="EN72" s="2482" t="s">
        <v>537</v>
      </c>
      <c r="EO72" s="2485" t="s">
        <v>538</v>
      </c>
    </row>
    <row r="73" spans="1:145" ht="15" customHeight="1" thickBot="1" x14ac:dyDescent="0.25">
      <c r="EJ73" s="2486" t="s">
        <v>542</v>
      </c>
      <c r="EL73" s="2480"/>
      <c r="EM73" s="2483"/>
      <c r="EN73" s="2483"/>
      <c r="EO73" s="2387"/>
    </row>
    <row r="74" spans="1:145" ht="15" customHeight="1" thickBot="1" x14ac:dyDescent="0.25">
      <c r="EJ74" s="2487"/>
      <c r="EL74" s="2481"/>
      <c r="EM74" s="2484"/>
      <c r="EN74" s="2484"/>
      <c r="EO74" s="2388"/>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849" priority="650" stopIfTrue="1" operator="notEqual">
      <formula>$EG57</formula>
    </cfRule>
  </conditionalFormatting>
  <conditionalFormatting sqref="EM57">
    <cfRule type="cellIs" dxfId="848" priority="651" stopIfTrue="1" operator="notEqual">
      <formula>$EN57</formula>
    </cfRule>
  </conditionalFormatting>
  <conditionalFormatting sqref="P2:S4">
    <cfRule type="cellIs" dxfId="847" priority="760" stopIfTrue="1" operator="equal">
      <formula>""</formula>
    </cfRule>
  </conditionalFormatting>
  <conditionalFormatting sqref="EF16:EF45">
    <cfRule type="cellIs" dxfId="846" priority="610" stopIfTrue="1" operator="notEqual">
      <formula>$EG16</formula>
    </cfRule>
  </conditionalFormatting>
  <conditionalFormatting sqref="CC7">
    <cfRule type="expression" dxfId="845" priority="374" stopIfTrue="1">
      <formula>ISBLANK($CC$7)</formula>
    </cfRule>
  </conditionalFormatting>
  <conditionalFormatting sqref="CC6">
    <cfRule type="expression" dxfId="844" priority="373" stopIfTrue="1">
      <formula>ISBLANK($CC$6)</formula>
    </cfRule>
  </conditionalFormatting>
  <conditionalFormatting sqref="M7">
    <cfRule type="expression" dxfId="843" priority="371" stopIfTrue="1">
      <formula>OR(ISBLANK($M$7),$M$7="")</formula>
    </cfRule>
    <cfRule type="expression" dxfId="842" priority="372" stopIfTrue="1">
      <formula>NOT(OR(COUNTIF(masterFinishList, $M$7) &gt; 0, COUNTIF($M$7, "Other:*") &gt; 0))</formula>
    </cfRule>
  </conditionalFormatting>
  <conditionalFormatting sqref="BD16:BD45">
    <cfRule type="expression" dxfId="841" priority="251">
      <formula>AND(NOT($AY16),NOT($AP16))</formula>
    </cfRule>
  </conditionalFormatting>
  <conditionalFormatting sqref="C16:C45">
    <cfRule type="expression" dxfId="840" priority="186">
      <formula>AND(NOT($AY16),NOT($AP16))</formula>
    </cfRule>
  </conditionalFormatting>
  <conditionalFormatting sqref="X16:X45">
    <cfRule type="expression" dxfId="839" priority="53">
      <formula>$X16=0</formula>
    </cfRule>
  </conditionalFormatting>
  <conditionalFormatting sqref="CG16:CG45">
    <cfRule type="expression" dxfId="838" priority="673">
      <formula>OR(CH16&lt;&gt;"",CI16&lt;&gt;"",CJ16&lt;&gt;"",CK16&lt;&gt;"",CL16&lt;&gt;"",CM16&lt;&gt;"",CP16&lt;&gt;"",CQ16&lt;&gt;"")</formula>
    </cfRule>
  </conditionalFormatting>
  <conditionalFormatting sqref="BE16:BF45">
    <cfRule type="expression" dxfId="837" priority="985">
      <formula>AND(NOT($AY16),AND($AZ16,AND($AK16&lt;&gt;"HDR",$AK16&lt;&gt;"JS",$AJ16&gt;=8)))</formula>
    </cfRule>
  </conditionalFormatting>
  <conditionalFormatting sqref="D16:E45">
    <cfRule type="expression" dxfId="836" priority="223">
      <formula>AND(NOT($AY16),AND($AZ16,AND($AK16&lt;&gt;"HDR",$AK16&lt;&gt;"JS",$AJ16&gt;=8)))</formula>
    </cfRule>
    <cfRule type="expression" dxfId="835" priority="1572" stopIfTrue="1">
      <formula xml:space="preserve"> AND($GM16 &gt;= 0.125, $GL16 &gt; 0)</formula>
    </cfRule>
  </conditionalFormatting>
  <conditionalFormatting sqref="AA12">
    <cfRule type="expression" dxfId="834" priority="159">
      <formula>OR(ISBLANK(AA12),AA12="")</formula>
    </cfRule>
  </conditionalFormatting>
  <conditionalFormatting sqref="A16:S45 X16:AA45 BB16:CD45">
    <cfRule type="expression" dxfId="833" priority="1147">
      <formula>$AC16</formula>
    </cfRule>
  </conditionalFormatting>
  <conditionalFormatting sqref="BG16:BG45">
    <cfRule type="expression" dxfId="832" priority="54">
      <formula>AND(NOT($AY16),ISERROR(CU16))</formula>
    </cfRule>
    <cfRule type="expression" dxfId="831" priority="92">
      <formula>AND(NOT($AY16),OR(CP16&lt;&gt;"", CU16=""))</formula>
    </cfRule>
  </conditionalFormatting>
  <conditionalFormatting sqref="BH16:BH45">
    <cfRule type="expression" dxfId="830" priority="80">
      <formula>AND(NOT($AY16),OR($CU16="M",$CU16="C",AND($CU16="B",$DC16&gt;0)))</formula>
    </cfRule>
    <cfRule type="expression" dxfId="829" priority="81">
      <formula>AND(NOT($AY16),AND(BH16="",BI16="",OR($CU16="B",$CU16="G")))</formula>
    </cfRule>
    <cfRule type="expression" dxfId="828" priority="82">
      <formula>AND(NOT($AY16),(BH16/2)/COS(RADIANS(BM16))+CV16-DW16&lt;VLOOKUP(AU16,$DF$2:$DJ$9,5,FALSE))</formula>
    </cfRule>
  </conditionalFormatting>
  <conditionalFormatting sqref="BI16:BI45">
    <cfRule type="expression" dxfId="827" priority="89">
      <formula>AND(NOT($AY16),OR($CU16="M",$CU16="C",AND($CU16="B",$DC16&gt;0)))</formula>
    </cfRule>
    <cfRule type="expression" dxfId="826" priority="90">
      <formula>AND(NOT($AY16),AND(BH16="",BI16="",OR($CU16="B",$CU16="G")))</formula>
    </cfRule>
    <cfRule type="expression" dxfId="825" priority="91">
      <formula>AND(NOT($AY16),(BI16/2)/COS(RADIANS(BM16))+CV16-DW16&lt;VLOOKUP(AU16,$DF$2:$DJ$9,5,FALSE))</formula>
    </cfRule>
  </conditionalFormatting>
  <conditionalFormatting sqref="BK16:BK45">
    <cfRule type="expression" dxfId="824" priority="68">
      <formula>AND(NOT($AY16),OR($CU16="M",$CU16="C",AND($CU16="B",$DA16&lt;&gt;"")))</formula>
    </cfRule>
    <cfRule type="expression" dxfId="823" priority="69">
      <formula>AND(NOT($AY16),AND(BJ16="X",BK16="",BL16=""))</formula>
    </cfRule>
    <cfRule type="expression" dxfId="822" priority="70">
      <formula>AND(NOT($AY16),EZ16="ERR")</formula>
    </cfRule>
  </conditionalFormatting>
  <conditionalFormatting sqref="BL16:BL45">
    <cfRule type="expression" dxfId="821" priority="71">
      <formula>AND(NOT($AY16),OR($CU16="M",$CU16="C",AND($CU16="B",$DA16&lt;&gt;"")))</formula>
    </cfRule>
    <cfRule type="expression" dxfId="820" priority="72">
      <formula>AND(NOT($AY16),AND(BJ16="X",BK16="",BL16=""))</formula>
    </cfRule>
    <cfRule type="expression" dxfId="819" priority="73">
      <formula>AND(NOT($AY16),EZ16="ERR")</formula>
    </cfRule>
  </conditionalFormatting>
  <conditionalFormatting sqref="A16:B45 BB16:BC45">
    <cfRule type="expression" dxfId="818" priority="105">
      <formula>AND(NOT($AE$1),$B16=0,$AD$1="M")</formula>
    </cfRule>
  </conditionalFormatting>
  <conditionalFormatting sqref="AA16:AA45">
    <cfRule type="expression" dxfId="817" priority="34">
      <formula>AND(NOT($AY16),LEN(AA16)&gt;31)</formula>
    </cfRule>
  </conditionalFormatting>
  <conditionalFormatting sqref="GA16:GB45">
    <cfRule type="expression" dxfId="816" priority="32" stopIfTrue="1">
      <formula>$GM16&gt;=0.125</formula>
    </cfRule>
  </conditionalFormatting>
  <conditionalFormatting sqref="BO16:BO45">
    <cfRule type="expression" dxfId="815" priority="27">
      <formula>AND(BO16="X",CY16="")</formula>
    </cfRule>
    <cfRule type="expression" dxfId="814" priority="28">
      <formula>AND(BO16="",CY16&lt;&gt;"")</formula>
    </cfRule>
  </conditionalFormatting>
  <conditionalFormatting sqref="CA16:CA45">
    <cfRule type="expression" dxfId="813" priority="29">
      <formula>AND(CA16="X",DI16="")</formula>
    </cfRule>
    <cfRule type="expression" dxfId="812" priority="30">
      <formula>AND(CA16="",DI16&lt;&gt;"")</formula>
    </cfRule>
  </conditionalFormatting>
  <conditionalFormatting sqref="CE16:CG45">
    <cfRule type="expression" dxfId="811" priority="31">
      <formula>$AC16</formula>
    </cfRule>
  </conditionalFormatting>
  <conditionalFormatting sqref="EM16:EM45">
    <cfRule type="cellIs" dxfId="810" priority="26" stopIfTrue="1" operator="notEqual">
      <formula>$EN16</formula>
    </cfRule>
  </conditionalFormatting>
  <conditionalFormatting sqref="U16:U45">
    <cfRule type="expression" dxfId="809" priority="22">
      <formula>AND(NOT($AY16),NOT(AR16),$P16&lt;&gt;3)</formula>
    </cfRule>
  </conditionalFormatting>
  <conditionalFormatting sqref="W16:W45">
    <cfRule type="expression" dxfId="808" priority="24">
      <formula>AND(NOT($AY16),NOT(AT16),$S16&lt;&gt;3)</formula>
    </cfRule>
  </conditionalFormatting>
  <conditionalFormatting sqref="T16:T45">
    <cfRule type="expression" dxfId="807" priority="21">
      <formula>AND(NOT($AY16),NOT(AR16),$P16&lt;&gt;3)</formula>
    </cfRule>
  </conditionalFormatting>
  <conditionalFormatting sqref="V16:V45">
    <cfRule type="expression" dxfId="806" priority="23">
      <formula>AND(NOT($AY16),NOT(AT16),$S16&lt;&gt;3)</formula>
    </cfRule>
  </conditionalFormatting>
  <conditionalFormatting sqref="T16:W45">
    <cfRule type="expression" dxfId="805" priority="25">
      <formula>$AC16</formula>
    </cfRule>
  </conditionalFormatting>
  <conditionalFormatting sqref="C57">
    <cfRule type="expression" dxfId="804" priority="13">
      <formula>AND(NOT($AY57),NOT($AP57))</formula>
    </cfRule>
  </conditionalFormatting>
  <conditionalFormatting sqref="X57">
    <cfRule type="expression" dxfId="803" priority="11">
      <formula>$X57=0</formula>
    </cfRule>
  </conditionalFormatting>
  <conditionalFormatting sqref="D57:E57">
    <cfRule type="expression" dxfId="802" priority="14">
      <formula>AND(NOT($AY57),AND($AZ57,AND($AK57&lt;&gt;"HDR",$AK57&lt;&gt;"JS",$AJ57&gt;=8)))</formula>
    </cfRule>
  </conditionalFormatting>
  <conditionalFormatting sqref="A57:S57 X57:AA57">
    <cfRule type="expression" dxfId="801" priority="15">
      <formula>$AC57</formula>
    </cfRule>
  </conditionalFormatting>
  <conditionalFormatting sqref="A57:B57">
    <cfRule type="expression" dxfId="800" priority="12">
      <formula>AND(NOT($AE$1),$B57=0,$AD$1="M")</formula>
    </cfRule>
  </conditionalFormatting>
  <conditionalFormatting sqref="AA57">
    <cfRule type="expression" dxfId="799" priority="10">
      <formula>AND(NOT($AY57),LEN(AA57)&gt;31)</formula>
    </cfRule>
  </conditionalFormatting>
  <conditionalFormatting sqref="U57">
    <cfRule type="expression" dxfId="798" priority="6">
      <formula>AND(NOT($AY57),NOT(AR57),$P57&lt;&gt;3)</formula>
    </cfRule>
  </conditionalFormatting>
  <conditionalFormatting sqref="W57">
    <cfRule type="expression" dxfId="797" priority="8">
      <formula>AND(NOT($AY57),NOT(AT57),$S57&lt;&gt;3)</formula>
    </cfRule>
  </conditionalFormatting>
  <conditionalFormatting sqref="T57">
    <cfRule type="expression" dxfId="796" priority="5">
      <formula>AND(NOT($AY57),NOT(AR57),$P57&lt;&gt;3)</formula>
    </cfRule>
  </conditionalFormatting>
  <conditionalFormatting sqref="V57">
    <cfRule type="expression" dxfId="795" priority="7">
      <formula>AND(NOT($AY57),NOT(AT57),$S57&lt;&gt;3)</formula>
    </cfRule>
  </conditionalFormatting>
  <conditionalFormatting sqref="T57:W57">
    <cfRule type="expression" dxfId="794" priority="9">
      <formula>$AC57</formula>
    </cfRule>
  </conditionalFormatting>
  <conditionalFormatting sqref="BQ16:BQ45">
    <cfRule type="expression" dxfId="793" priority="3">
      <formula>CP16&lt;&gt;""</formula>
    </cfRule>
  </conditionalFormatting>
  <conditionalFormatting sqref="CC16:CC45">
    <cfRule type="expression" dxfId="792" priority="2">
      <formula>CQ16&lt;&gt;""</formula>
    </cfRule>
  </conditionalFormatting>
  <conditionalFormatting sqref="BS16:BS45">
    <cfRule type="expression" dxfId="791" priority="1466">
      <formula>AND(NOT($AY16),ISERROR(DE16))</formula>
    </cfRule>
    <cfRule type="expression" dxfId="790" priority="1467">
      <formula>AND(NOT($AY16),OR(DE16="", CQ16&lt;&gt;""))</formula>
    </cfRule>
  </conditionalFormatting>
  <conditionalFormatting sqref="BW16:BW45">
    <cfRule type="expression" dxfId="789" priority="1518">
      <formula>AND(NOT($AY16),OR($DE16="M",$DE16="C",AND($DE16="B",$DK16&lt;&gt;"")))</formula>
    </cfRule>
    <cfRule type="expression" dxfId="788" priority="1519">
      <formula>AND(NOT($AY16),AND(BV16="X",BW16="",BX16=""))</formula>
    </cfRule>
    <cfRule type="expression" dxfId="787" priority="1520">
      <formula>AND(NOT($AY16),FC16="ERR")</formula>
    </cfRule>
  </conditionalFormatting>
  <conditionalFormatting sqref="BX16:BX45">
    <cfRule type="expression" dxfId="786" priority="1521">
      <formula>AND(NOT($AY16),OR($DE16="M",$DE16="C",AND($DE16="B",$DK16&lt;&gt;"")))</formula>
    </cfRule>
    <cfRule type="expression" dxfId="785" priority="1522">
      <formula>AND(NOT($AY16),AND(BV16="X",BW16="",BX16=""))</formula>
    </cfRule>
    <cfRule type="expression" dxfId="784" priority="1523">
      <formula>AND(NOT($AY16),FC16="ERR")</formula>
    </cfRule>
  </conditionalFormatting>
  <conditionalFormatting sqref="BT16:BT45">
    <cfRule type="expression" dxfId="783" priority="1524">
      <formula>AND(NOT($AY16),OR($DE16="M",$DE16="C",AND($DE16="B",$DM16&gt;0)))</formula>
    </cfRule>
    <cfRule type="expression" dxfId="782" priority="1525">
      <formula>AND(NOT($AY16),AND(BT16="",BU16="",OR($DE16="B",$DE16="G")))</formula>
    </cfRule>
    <cfRule type="expression" dxfId="781" priority="1526">
      <formula>AND(NOT($AY16),(BT16/2)/COS(RADIANS(BY16))+DF16-EC16&lt;VLOOKUP(AU16,$DF$2:$DJ$9,5,FALSE))</formula>
    </cfRule>
  </conditionalFormatting>
  <conditionalFormatting sqref="BU16:BU45">
    <cfRule type="expression" dxfId="780" priority="1527">
      <formula>AND(NOT($AY16),OR($DE16="M",$DE16="C",AND($DE16="B",$DM16&gt;0)))</formula>
    </cfRule>
    <cfRule type="expression" dxfId="779" priority="1528">
      <formula>AND(NOT($AY16),AND(BT16="",BU16="",OR($DE16="B",$DE16="G")))</formula>
    </cfRule>
    <cfRule type="expression" dxfId="778" priority="1529">
      <formula>AND(NOT($AY16),(BU16/2)/COS(RADIANS(BY16))+DF16-EC16&lt;VLOOKUP(AU16,$DF$2:$DJ$9,5,FALSE))</formula>
    </cfRule>
  </conditionalFormatting>
  <conditionalFormatting sqref="BZ16:BZ45 BN16:BN45">
    <cfRule type="expression" dxfId="777" priority="1550">
      <formula>AND(NOT($AY16),AND(ISBLANK(BN16),AND(NOT(ISBLANK(BM16)),$CE16&lt;&gt;0)))</formula>
    </cfRule>
  </conditionalFormatting>
  <conditionalFormatting sqref="BJ16:BJ45">
    <cfRule type="expression" dxfId="776" priority="1554">
      <formula>AND(NOT($AY16),OR($CU16="C",AND($CU16="M",$DA16&gt;0)))</formula>
    </cfRule>
    <cfRule type="expression" dxfId="775" priority="1555">
      <formula>AND(NOT($AY16),OR(NOT(IF(AND(OR(MID($BB16,1,1)="T",($BE16+$BF16/12)/IF(ABS($CE16)&gt;$DQ$1,COS($DO16),1)&gt;=40),OR($CU16="B",$CU16="G")),"X","")="X"),$EZ16="ERR"))</formula>
    </cfRule>
    <cfRule type="expression" dxfId="774" priority="1556">
      <formula>AND(NOT($AY16),$BJ16&lt;&gt;"X",$BJ16&lt;&gt;IF(AND(OR(MID(BB16,1,1)="T",($BE16+$BF16/12)/IF(ABS($CE16)&gt;$DQ$1,COS($DO16),1)&gt;=40),OR($CU16="B",$CU16="G")),"X",""))</formula>
    </cfRule>
  </conditionalFormatting>
  <conditionalFormatting sqref="BV16:BV45">
    <cfRule type="expression" dxfId="773" priority="1569">
      <formula>AND(NOT($AY16),OR($DE16="C",AND($DE16="M",$DK16&gt;0)))</formula>
    </cfRule>
    <cfRule type="expression" dxfId="772" priority="1570">
      <formula>AND(NOT($AY16),OR(NOT(IF(AND(OR(MID($BB16,1,1)="T",($BE16+$BF16/12)/IF(ABS($CE16)&gt;$DQ$1,COS($DO16),1)&gt;=40),OR($DE16="B",$DE16="G")),"X","")="X"),$FC16="ERR"))</formula>
    </cfRule>
    <cfRule type="expression" dxfId="771" priority="1571">
      <formula>AND(NOT($AY16),$BV16&lt;&gt;"X",$BV16&lt;&gt;IF(AND(OR(MID(BB16,1,1)="T",($BE16+$BF16/12)/IF(ABS($CE16)&gt;$DQ$1,COS($DO16),1)&gt;=40),OR($DE16="B",$DE16="G")),"X",""))</formula>
    </cfRule>
  </conditionalFormatting>
  <conditionalFormatting sqref="GA57:GB57">
    <cfRule type="expression" dxfId="77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20"/>
      <c r="J7" s="2521"/>
      <c r="K7" s="2521"/>
      <c r="L7" s="1931"/>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16"/>
      <c r="B12" s="2516"/>
      <c r="C12" s="2516"/>
      <c r="D12" s="2516"/>
      <c r="E12" s="2516"/>
      <c r="F12" s="1109"/>
      <c r="G12" s="1108"/>
      <c r="H12" s="24"/>
      <c r="I12" s="24"/>
      <c r="J12" s="24"/>
      <c r="K12" s="24"/>
      <c r="L12" s="25"/>
      <c r="M12" s="2516"/>
      <c r="N12" s="2516"/>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17"/>
      <c r="E18" s="2517"/>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15"/>
      <c r="B21" s="2515"/>
      <c r="C21" s="2515"/>
      <c r="D21" s="1113"/>
      <c r="E21" s="28"/>
      <c r="F21" s="29"/>
      <c r="G21" s="28"/>
      <c r="H21" s="28"/>
      <c r="I21" s="28"/>
      <c r="J21" s="28"/>
      <c r="K21" s="28"/>
      <c r="L21" s="28"/>
      <c r="M21" s="28"/>
      <c r="N21" s="28"/>
      <c r="O21" s="28"/>
      <c r="P21" s="19"/>
    </row>
    <row r="22" spans="1:225" ht="12.6" customHeight="1" thickBot="1" x14ac:dyDescent="0.25">
      <c r="A22" s="2514"/>
      <c r="B22" s="2514"/>
      <c r="C22" s="2514"/>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14"/>
      <c r="B23" s="2514"/>
      <c r="C23" s="2514"/>
      <c r="D23" s="1112"/>
      <c r="E23" s="28"/>
      <c r="F23" s="28"/>
      <c r="G23" s="1112"/>
      <c r="H23" s="28"/>
      <c r="I23" s="28"/>
      <c r="J23" s="28"/>
      <c r="K23" s="28"/>
      <c r="L23" s="28"/>
      <c r="M23" s="28"/>
      <c r="N23" s="28"/>
      <c r="O23" s="28"/>
      <c r="P23" s="19"/>
      <c r="HA23" s="2492" t="s">
        <v>621</v>
      </c>
      <c r="HB23" s="1915"/>
      <c r="HC23" s="1915"/>
      <c r="HD23" s="1915"/>
      <c r="HE23" s="1915"/>
      <c r="HF23" s="1915"/>
      <c r="HG23" s="1915"/>
      <c r="HH23" s="1915"/>
      <c r="HI23" s="1915"/>
      <c r="HJ23" s="1915"/>
      <c r="HK23" s="1915"/>
      <c r="HL23" s="1915"/>
      <c r="HM23" s="1915"/>
      <c r="HN23" s="1915"/>
      <c r="HO23" s="1915"/>
      <c r="HP23" s="1916"/>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72"/>
      <c r="HB24" s="2173"/>
      <c r="HC24" s="2173"/>
      <c r="HD24" s="2173"/>
      <c r="HE24" s="2173"/>
      <c r="HF24" s="2173"/>
      <c r="HG24" s="2173"/>
      <c r="HH24" s="2173"/>
      <c r="HI24" s="2173"/>
      <c r="HJ24" s="2173"/>
      <c r="HK24" s="2173"/>
      <c r="HL24" s="2173"/>
      <c r="HM24" s="2173"/>
      <c r="HN24" s="2173"/>
      <c r="HO24" s="2173"/>
      <c r="HP24" s="2174"/>
    </row>
    <row r="25" spans="1:225" s="23" customFormat="1" ht="12.6" customHeight="1" thickTop="1" thickBot="1" x14ac:dyDescent="0.25">
      <c r="A25" s="2504" t="s">
        <v>40</v>
      </c>
      <c r="B25" s="2505"/>
      <c r="C25" s="2510" t="s">
        <v>130</v>
      </c>
      <c r="D25" s="1970" t="s">
        <v>673</v>
      </c>
      <c r="E25" s="2508" t="s">
        <v>674</v>
      </c>
      <c r="F25" s="2501" t="s">
        <v>36</v>
      </c>
      <c r="G25" s="2410" t="s">
        <v>79</v>
      </c>
      <c r="H25" s="2408"/>
      <c r="I25" s="2503" t="s">
        <v>675</v>
      </c>
      <c r="J25" s="2408"/>
      <c r="K25" s="2508" t="s">
        <v>107</v>
      </c>
      <c r="L25" s="2522"/>
      <c r="M25" s="2519" t="s">
        <v>108</v>
      </c>
      <c r="N25" s="2510" t="s">
        <v>109</v>
      </c>
      <c r="O25" s="2501" t="s">
        <v>110</v>
      </c>
      <c r="P25" s="1059" t="s">
        <v>676</v>
      </c>
      <c r="Q25" s="1410"/>
      <c r="R25" s="426"/>
      <c r="S25" s="426"/>
      <c r="T25" s="426"/>
      <c r="U25" s="426">
        <f>COUNTA(U27:U300)</f>
        <v>13</v>
      </c>
      <c r="V25" s="2526" t="s">
        <v>797</v>
      </c>
      <c r="W25" s="426">
        <f>COUNTA(W27:W300)</f>
        <v>9</v>
      </c>
      <c r="X25" s="2524" t="s">
        <v>946</v>
      </c>
      <c r="Y25" s="2525"/>
      <c r="Z25" s="2525"/>
      <c r="AA25" s="2525"/>
      <c r="AB25" s="426"/>
      <c r="AC25" s="2513" t="s">
        <v>1137</v>
      </c>
      <c r="AD25" s="1906"/>
      <c r="AE25" s="426">
        <f>COUNTA(AE27:AE300)</f>
        <v>166</v>
      </c>
      <c r="HA25" s="2493" t="s">
        <v>632</v>
      </c>
      <c r="HB25" s="2495" t="s">
        <v>1148</v>
      </c>
      <c r="HC25" s="2495" t="s">
        <v>1134</v>
      </c>
      <c r="HD25" s="2490" t="s">
        <v>1144</v>
      </c>
      <c r="HE25" s="2490" t="s">
        <v>660</v>
      </c>
      <c r="HF25" s="2497" t="s">
        <v>677</v>
      </c>
      <c r="HG25" s="2497" t="s">
        <v>1149</v>
      </c>
      <c r="HH25" s="2497" t="s">
        <v>1150</v>
      </c>
      <c r="HI25" s="2497" t="s">
        <v>1151</v>
      </c>
      <c r="HJ25" s="2497" t="s">
        <v>1152</v>
      </c>
      <c r="HK25" s="2497" t="s">
        <v>1153</v>
      </c>
      <c r="HL25" s="2497" t="s">
        <v>1154</v>
      </c>
      <c r="HM25" s="2497" t="s">
        <v>1145</v>
      </c>
      <c r="HN25" s="2490" t="s">
        <v>1146</v>
      </c>
      <c r="HO25" s="2490" t="s">
        <v>1147</v>
      </c>
      <c r="HP25" s="2499" t="s">
        <v>480</v>
      </c>
    </row>
    <row r="26" spans="1:225" s="23" customFormat="1" ht="12.6" customHeight="1" thickTop="1" thickBot="1" x14ac:dyDescent="0.25">
      <c r="A26" s="2506"/>
      <c r="B26" s="2507"/>
      <c r="C26" s="2511"/>
      <c r="D26" s="1971"/>
      <c r="E26" s="2509"/>
      <c r="F26" s="2512"/>
      <c r="G26" s="1111" t="s">
        <v>632</v>
      </c>
      <c r="H26" s="1066" t="s">
        <v>171</v>
      </c>
      <c r="I26" s="1071" t="s">
        <v>632</v>
      </c>
      <c r="J26" s="1110" t="s">
        <v>171</v>
      </c>
      <c r="K26" s="2506"/>
      <c r="L26" s="2502"/>
      <c r="M26" s="1966"/>
      <c r="N26" s="2507"/>
      <c r="O26" s="2502"/>
      <c r="P26" s="1060" t="s">
        <v>57</v>
      </c>
      <c r="Q26" s="1408" t="s">
        <v>1101</v>
      </c>
      <c r="R26" s="372" t="s">
        <v>170</v>
      </c>
      <c r="S26" s="372" t="s">
        <v>788</v>
      </c>
      <c r="T26" s="372" t="s">
        <v>1136</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2494"/>
      <c r="HB26" s="2496"/>
      <c r="HC26" s="2496"/>
      <c r="HD26" s="2491"/>
      <c r="HE26" s="2491"/>
      <c r="HF26" s="2498"/>
      <c r="HG26" s="2498"/>
      <c r="HH26" s="2498"/>
      <c r="HI26" s="2498"/>
      <c r="HJ26" s="2498"/>
      <c r="HK26" s="2498"/>
      <c r="HL26" s="2498"/>
      <c r="HM26" s="2498"/>
      <c r="HN26" s="2491"/>
      <c r="HO26" s="2491"/>
      <c r="HP26" s="2500"/>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769" priority="69" stopIfTrue="1" operator="equal">
      <formula>""</formula>
    </cfRule>
  </conditionalFormatting>
  <conditionalFormatting sqref="G7">
    <cfRule type="cellIs" dxfId="768" priority="70" stopIfTrue="1" operator="equal">
      <formula>"NO PAINT"</formula>
    </cfRule>
  </conditionalFormatting>
  <conditionalFormatting sqref="I7:K7">
    <cfRule type="expression" dxfId="767" priority="71" stopIfTrue="1">
      <formula>NOT(OR(COUNTIF(masterFinishList, $I$7) &gt; 0, COUNTIF($I$7, "Other:*") &gt; 0))</formula>
    </cfRule>
  </conditionalFormatting>
  <conditionalFormatting sqref="C27:C42 A27:A42">
    <cfRule type="expression" dxfId="766" priority="8">
      <formula>AND(NOT($S$1),$C27=0,OR($R$1="",$R$1="M"))</formula>
    </cfRule>
  </conditionalFormatting>
  <conditionalFormatting sqref="F27:F42">
    <cfRule type="expression" dxfId="765" priority="35">
      <formula>OR(ISERROR(VLOOKUP(E27,$V$27:$V$42,1,FALSE)),ISERROR(VLOOKUP(F27,$AB$27:$AB$42,1,FALSE)))</formula>
    </cfRule>
  </conditionalFormatting>
  <conditionalFormatting sqref="D27:D42">
    <cfRule type="expression" dxfId="764" priority="12">
      <formula>OR(ISERROR(VLOOKUP(TRIM(D27),$AE$27:$AE$300,1,FALSE)),AND(NOT(ISERROR(VLOOKUP(E27,$V$27:$V$300,1,FALSE))),NOT(ISERROR(VLOOKUP(TRIM(D27),$U$27:$U$300,1,FALSE)))))</formula>
    </cfRule>
  </conditionalFormatting>
  <conditionalFormatting sqref="E27:E42">
    <cfRule type="expression" dxfId="763" priority="15">
      <formula>OR(ISERROR(VLOOKUP(E27,$W$27:$W$42,1,FALSE)),AND(NOT(ISERROR(VLOOKUP(E27,$V$27:$V$300,1,FALSE))),NOT(ISERROR(VLOOKUP(D27,$U$27:$U$300,1,FALSE)))))</formula>
    </cfRule>
  </conditionalFormatting>
  <conditionalFormatting sqref="I7:L7">
    <cfRule type="cellIs" dxfId="762" priority="9" operator="equal">
      <formula>0</formula>
    </cfRule>
  </conditionalFormatting>
  <conditionalFormatting sqref="A27:P42">
    <cfRule type="expression" dxfId="761" priority="38">
      <formula>$Q27</formula>
    </cfRule>
  </conditionalFormatting>
  <conditionalFormatting sqref="A36:A42">
    <cfRule type="expression" dxfId="760" priority="5">
      <formula>AND(NOT($S$1),$C36=0,OR($R$1="",$R$1="M"))</formula>
    </cfRule>
  </conditionalFormatting>
  <conditionalFormatting sqref="G27:G42">
    <cfRule type="expression" dxfId="759" priority="4">
      <formula>NOT(VLOOKUP($E27,$W$27:$AA$42,2,FALSE))</formula>
    </cfRule>
  </conditionalFormatting>
  <conditionalFormatting sqref="I27:I42">
    <cfRule type="expression" dxfId="758" priority="3">
      <formula>NOT(VLOOKUP($E27,$W$27:$AA$42,4,FALSE))</formula>
    </cfRule>
  </conditionalFormatting>
  <conditionalFormatting sqref="H27">
    <cfRule type="expression" dxfId="757" priority="2">
      <formula>NOT(VLOOKUP($E27,$W$27:$AA$42,3,FALSE))</formula>
    </cfRule>
  </conditionalFormatting>
  <conditionalFormatting sqref="J27:J42">
    <cfRule type="expression" dxfId="75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20"/>
      <c r="J7" s="2521"/>
      <c r="K7" s="2521"/>
      <c r="L7" s="1931"/>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31" t="s">
        <v>621</v>
      </c>
      <c r="HB11" s="2532"/>
      <c r="HC11" s="2532"/>
      <c r="HD11" s="2532"/>
      <c r="HE11" s="2532"/>
      <c r="HF11" s="2532"/>
      <c r="HG11" s="2532"/>
      <c r="HH11" s="2532"/>
      <c r="HI11" s="2532"/>
      <c r="HJ11" s="2532"/>
      <c r="HK11" s="2532"/>
      <c r="HL11" s="2532"/>
      <c r="HM11" s="2532"/>
      <c r="HN11" s="2532"/>
      <c r="HO11" s="2532"/>
      <c r="HP11" s="2533"/>
    </row>
    <row r="12" spans="1:226" ht="12.6" customHeight="1" thickTop="1" thickBot="1" x14ac:dyDescent="0.25">
      <c r="A12" s="2504" t="s">
        <v>40</v>
      </c>
      <c r="B12" s="2505"/>
      <c r="C12" s="2069" t="s">
        <v>130</v>
      </c>
      <c r="D12" s="2073" t="s">
        <v>673</v>
      </c>
      <c r="E12" s="2068" t="s">
        <v>674</v>
      </c>
      <c r="F12" s="2534" t="s">
        <v>36</v>
      </c>
      <c r="G12" s="2068" t="s">
        <v>79</v>
      </c>
      <c r="H12" s="2534"/>
      <c r="I12" s="2528" t="s">
        <v>675</v>
      </c>
      <c r="J12" s="2073"/>
      <c r="K12" s="2068" t="s">
        <v>107</v>
      </c>
      <c r="L12" s="2529"/>
      <c r="M12" s="2528" t="s">
        <v>108</v>
      </c>
      <c r="N12" s="2069" t="s">
        <v>109</v>
      </c>
      <c r="O12" s="2073" t="s">
        <v>110</v>
      </c>
      <c r="P12" s="1059" t="s">
        <v>676</v>
      </c>
      <c r="Q12" s="1407"/>
      <c r="GZ12" s="245"/>
      <c r="HA12" s="2493" t="s">
        <v>632</v>
      </c>
      <c r="HB12" s="2495" t="s">
        <v>1148</v>
      </c>
      <c r="HC12" s="2495" t="s">
        <v>1134</v>
      </c>
      <c r="HD12" s="2490" t="s">
        <v>1144</v>
      </c>
      <c r="HE12" s="2490" t="s">
        <v>660</v>
      </c>
      <c r="HF12" s="2497" t="s">
        <v>677</v>
      </c>
      <c r="HG12" s="2497" t="s">
        <v>1149</v>
      </c>
      <c r="HH12" s="2497" t="s">
        <v>1150</v>
      </c>
      <c r="HI12" s="2497" t="s">
        <v>1151</v>
      </c>
      <c r="HJ12" s="2497" t="s">
        <v>1152</v>
      </c>
      <c r="HK12" s="2497" t="s">
        <v>1153</v>
      </c>
      <c r="HL12" s="2497" t="s">
        <v>1154</v>
      </c>
      <c r="HM12" s="2497" t="s">
        <v>1145</v>
      </c>
      <c r="HN12" s="2490" t="s">
        <v>1146</v>
      </c>
      <c r="HO12" s="2490" t="s">
        <v>1147</v>
      </c>
      <c r="HP12" s="2499" t="s">
        <v>480</v>
      </c>
    </row>
    <row r="13" spans="1:226" ht="12.6" customHeight="1" thickTop="1" thickBot="1" x14ac:dyDescent="0.25">
      <c r="A13" s="2506"/>
      <c r="B13" s="2507"/>
      <c r="C13" s="2069"/>
      <c r="D13" s="2073"/>
      <c r="E13" s="2068"/>
      <c r="F13" s="2535"/>
      <c r="G13" s="1404" t="s">
        <v>632</v>
      </c>
      <c r="H13" s="1063" t="s">
        <v>171</v>
      </c>
      <c r="I13" s="1062" t="s">
        <v>632</v>
      </c>
      <c r="J13" s="1405" t="s">
        <v>171</v>
      </c>
      <c r="K13" s="2530"/>
      <c r="L13" s="2529"/>
      <c r="M13" s="2074"/>
      <c r="N13" s="2075"/>
      <c r="O13" s="2086"/>
      <c r="P13" s="1060" t="s">
        <v>57</v>
      </c>
      <c r="Q13" s="1408" t="s">
        <v>1101</v>
      </c>
      <c r="R13" s="372" t="s">
        <v>170</v>
      </c>
      <c r="S13" s="372" t="s">
        <v>788</v>
      </c>
      <c r="T13" s="372" t="s">
        <v>1136</v>
      </c>
      <c r="GZ13" s="245"/>
      <c r="HA13" s="2494"/>
      <c r="HB13" s="2496"/>
      <c r="HC13" s="2496"/>
      <c r="HD13" s="2491"/>
      <c r="HE13" s="2491"/>
      <c r="HF13" s="2498"/>
      <c r="HG13" s="2498"/>
      <c r="HH13" s="2498"/>
      <c r="HI13" s="2498"/>
      <c r="HJ13" s="2498"/>
      <c r="HK13" s="2498"/>
      <c r="HL13" s="2498"/>
      <c r="HM13" s="2498"/>
      <c r="HN13" s="2491"/>
      <c r="HO13" s="2491"/>
      <c r="HP13" s="2500"/>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526" t="s">
        <v>797</v>
      </c>
      <c r="W25" s="426">
        <f>COUNTA(W27:W300)</f>
        <v>9</v>
      </c>
      <c r="X25" s="2524" t="s">
        <v>946</v>
      </c>
      <c r="Y25" s="2525"/>
      <c r="Z25" s="2525"/>
      <c r="AA25" s="2525"/>
      <c r="AB25" s="426"/>
      <c r="AC25" s="2513" t="s">
        <v>1137</v>
      </c>
      <c r="AD25" s="1906"/>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755" priority="5">
      <formula>AND(NOT($S$1),$C14=0,OR($R$1="",$R$1="M"))</formula>
    </cfRule>
  </conditionalFormatting>
  <conditionalFormatting sqref="J2:L4">
    <cfRule type="cellIs" dxfId="754" priority="25" stopIfTrue="1" operator="equal">
      <formula>""</formula>
    </cfRule>
  </conditionalFormatting>
  <conditionalFormatting sqref="G7">
    <cfRule type="cellIs" dxfId="753" priority="26" stopIfTrue="1" operator="equal">
      <formula>"NO PAINT"</formula>
    </cfRule>
  </conditionalFormatting>
  <conditionalFormatting sqref="I7:K7">
    <cfRule type="expression" dxfId="752" priority="27" stopIfTrue="1">
      <formula>NOT(OR(COUNTIF(masterFinishList, $I$7) &gt; 0, COUNTIF($I$7, "Other:*") &gt; 0))</formula>
    </cfRule>
  </conditionalFormatting>
  <conditionalFormatting sqref="F14:F42">
    <cfRule type="expression" dxfId="751" priority="21">
      <formula>OR(ISERROR(VLOOKUP(E14,$V$27:$V$42,1,FALSE)),ISERROR(VLOOKUP(F14,$AB$27:$AB$42,1,FALSE)))</formula>
    </cfRule>
  </conditionalFormatting>
  <conditionalFormatting sqref="D14:D42">
    <cfRule type="expression" dxfId="750" priority="9">
      <formula>OR(ISERROR(VLOOKUP(TRIM(D14),$AE$27:$AE$300,1,FALSE)),AND(NOT(ISERROR(VLOOKUP(E14,$V$27:$V$300,1,FALSE))),NOT(ISERROR(VLOOKUP(TRIM(D14),$U$27:$U$300,1,FALSE)))))</formula>
    </cfRule>
  </conditionalFormatting>
  <conditionalFormatting sqref="E14:E42">
    <cfRule type="expression" dxfId="749" priority="13">
      <formula>OR(ISERROR(VLOOKUP(E14,$W$27:$W$42,1,FALSE)),AND(NOT(ISERROR(VLOOKUP(E14,$V$27:$V$300,1,FALSE))),NOT(ISERROR(VLOOKUP(D14,$U$27:$U$300,1,FALSE)))))</formula>
    </cfRule>
  </conditionalFormatting>
  <conditionalFormatting sqref="I7:L7">
    <cfRule type="cellIs" dxfId="748" priority="6" operator="equal">
      <formula>0</formula>
    </cfRule>
  </conditionalFormatting>
  <conditionalFormatting sqref="A14:P42">
    <cfRule type="expression" dxfId="747" priority="42">
      <formula>$Q14</formula>
    </cfRule>
  </conditionalFormatting>
  <conditionalFormatting sqref="G14:G42">
    <cfRule type="expression" dxfId="746" priority="4">
      <formula>NOT(VLOOKUP($E14,$W$27:$AA$42,2,FALSE))</formula>
    </cfRule>
  </conditionalFormatting>
  <conditionalFormatting sqref="H14">
    <cfRule type="expression" dxfId="745" priority="3">
      <formula>NOT(VLOOKUP($E14,$W$27:$AA$42,3,FALSE))</formula>
    </cfRule>
  </conditionalFormatting>
  <conditionalFormatting sqref="I14:I42">
    <cfRule type="expression" dxfId="744" priority="2">
      <formula>NOT(VLOOKUP($E14,$W$27:$AA$42,4,FALSE))</formula>
    </cfRule>
  </conditionalFormatting>
  <conditionalFormatting sqref="J14:J42">
    <cfRule type="expression" dxfId="74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604" t="str">
        <f>IF(ISBLANK(AL1),"",VLOOKUP(AL1,'Job Info.'!X:AA,4,FALSE))</f>
        <v>Master</v>
      </c>
      <c r="O1" s="2604"/>
      <c r="P1" s="2604"/>
      <c r="Q1" s="1931"/>
      <c r="R1" s="1931"/>
      <c r="S1"/>
      <c r="T1"/>
      <c r="U1" s="47" t="s">
        <v>95</v>
      </c>
      <c r="V1"/>
      <c r="W1" s="38"/>
      <c r="X1" s="2571" t="str">
        <f ca="1">'Job Info.'!D12</f>
        <v>775-428-0600</v>
      </c>
      <c r="Y1" s="2571"/>
      <c r="Z1" s="2571"/>
      <c r="AA1" s="2571"/>
      <c r="AB1" s="2571"/>
      <c r="AC1" s="48"/>
      <c r="AD1" s="48"/>
      <c r="AE1" s="48"/>
      <c r="AF1" s="48"/>
      <c r="AG1" s="48"/>
      <c r="AH1" s="48"/>
      <c r="AI1" s="48"/>
      <c r="AJ1" s="48"/>
      <c r="AK1" s="81" t="s">
        <v>64</v>
      </c>
      <c r="AL1" s="49" t="str">
        <f>'Job Info.'!Q30</f>
        <v>M</v>
      </c>
      <c r="AM1" s="49" t="b">
        <f>'Job Info.'!Q32</f>
        <v>0</v>
      </c>
      <c r="AN1" s="49" t="s">
        <v>424</v>
      </c>
      <c r="AQ1" s="2575" t="s">
        <v>444</v>
      </c>
      <c r="AR1" s="2576"/>
      <c r="AS1" s="2576"/>
      <c r="AT1" s="2576"/>
      <c r="AU1" s="2576"/>
      <c r="AV1" s="2576"/>
      <c r="AW1" s="2576" t="s">
        <v>445</v>
      </c>
      <c r="AX1" s="2576"/>
      <c r="AY1" s="2576"/>
      <c r="AZ1" s="2576"/>
      <c r="BA1" s="2576"/>
      <c r="BB1" s="2577"/>
      <c r="BC1" s="80" t="s">
        <v>65</v>
      </c>
    </row>
    <row r="2" spans="1:55" ht="15" customHeight="1" thickTop="1" thickBot="1" x14ac:dyDescent="0.25">
      <c r="A2"/>
      <c r="B2"/>
      <c r="C2"/>
      <c r="D2"/>
      <c r="E2"/>
      <c r="F2" s="39"/>
      <c r="G2"/>
      <c r="H2"/>
      <c r="I2"/>
      <c r="J2"/>
      <c r="K2" s="38"/>
      <c r="L2"/>
      <c r="M2"/>
      <c r="N2" s="2593" t="str">
        <f>IF(ISBLANK(AL1),"",IF(VLOOKUP(AL1,'Job Info.'!$X:$Z,2,FALSE),"Released for Fabrication",""))</f>
        <v/>
      </c>
      <c r="O2" s="2594"/>
      <c r="P2" s="2594"/>
      <c r="Q2" s="2595"/>
      <c r="R2" s="2596"/>
      <c r="S2"/>
      <c r="T2"/>
      <c r="U2" s="47" t="s">
        <v>96</v>
      </c>
      <c r="V2"/>
      <c r="W2" s="38"/>
      <c r="X2" s="2571" t="str">
        <f ca="1">'Job Info.'!D13</f>
        <v>775-867-2140</v>
      </c>
      <c r="Y2" s="2571"/>
      <c r="Z2" s="2571"/>
      <c r="AA2" s="2571"/>
      <c r="AB2" s="2571"/>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97"/>
      <c r="O3" s="2598"/>
      <c r="P3" s="2598"/>
      <c r="Q3" s="1868"/>
      <c r="R3" s="2599"/>
      <c r="S3"/>
      <c r="T3"/>
      <c r="U3" s="47" t="s">
        <v>98</v>
      </c>
      <c r="V3"/>
      <c r="W3" s="38"/>
      <c r="X3" s="2571" t="str">
        <f ca="1">'Job Info.'!D14</f>
        <v>775-867-2169</v>
      </c>
      <c r="Y3" s="2571"/>
      <c r="Z3" s="2571"/>
      <c r="AA3" s="2571"/>
      <c r="AB3" s="2571"/>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600" t="str">
        <f>IF(ISBLANK(AL1),"",IF(VLOOKUP(AL1,'Job Info.'!$X:$Z,2,FALSE),VLOOKUP(AL1,'Job Info.'!$X:$Z,3,FALSE),""))</f>
        <v/>
      </c>
      <c r="O4" s="2601"/>
      <c r="P4" s="2601"/>
      <c r="Q4" s="2602"/>
      <c r="R4" s="2603"/>
      <c r="S4"/>
      <c r="T4"/>
      <c r="U4" s="47" t="s">
        <v>97</v>
      </c>
      <c r="V4"/>
      <c r="W4" s="38"/>
      <c r="X4" s="2571" t="str">
        <f ca="1">'Job Info.'!D15</f>
        <v>775-867-2060</v>
      </c>
      <c r="Y4" s="2571"/>
      <c r="Z4" s="2571"/>
      <c r="AA4" s="2571"/>
      <c r="AB4" s="2571"/>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33" t="str">
        <f ca="1">'Job Info.'!D11</f>
        <v>8200 Woolery Way | Fallon, NV 89406 | www.newmill.com</v>
      </c>
      <c r="B5" s="1833"/>
      <c r="C5" s="1833"/>
      <c r="D5" s="1833"/>
      <c r="E5" s="1833"/>
      <c r="F5" s="1833"/>
      <c r="G5" s="1833"/>
      <c r="H5" s="1833"/>
      <c r="I5" s="1833"/>
      <c r="J5" s="1833"/>
      <c r="K5" s="1833"/>
      <c r="L5" s="1833"/>
      <c r="M5" s="1833"/>
      <c r="N5" s="1833"/>
      <c r="O5" s="1833"/>
      <c r="P5"/>
      <c r="Q5"/>
      <c r="R5" s="39"/>
      <c r="S5"/>
      <c r="T5"/>
      <c r="U5"/>
      <c r="V5"/>
      <c r="W5"/>
      <c r="X5" s="460" t="s">
        <v>421</v>
      </c>
      <c r="Y5" s="2585">
        <v>45048.61509259259</v>
      </c>
      <c r="Z5" s="2586"/>
      <c r="AA5" s="2586"/>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87"/>
      <c r="Z6" s="2588"/>
      <c r="AA6" s="2588"/>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605" t="s">
        <v>424</v>
      </c>
      <c r="M7" s="2606"/>
      <c r="N7" s="2606"/>
      <c r="O7" s="2606"/>
      <c r="P7" s="2606"/>
      <c r="Q7" s="2606"/>
      <c r="R7" s="2606"/>
      <c r="S7"/>
      <c r="T7"/>
      <c r="U7"/>
      <c r="V7"/>
      <c r="W7"/>
      <c r="X7" s="555" t="s">
        <v>425</v>
      </c>
      <c r="Y7" s="2589"/>
      <c r="Z7" s="2590"/>
      <c r="AA7" s="2590"/>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91"/>
      <c r="Z8" s="2592"/>
      <c r="AA8" s="2592"/>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901" t="s">
        <v>1</v>
      </c>
      <c r="B9" s="2608"/>
      <c r="C9" s="2608"/>
      <c r="D9" s="2579" t="str">
        <f>IF(ISBLANK('Job Info.'!D3),"",'Job Info.'!D3)</f>
        <v>MINDEN UPS BLDG 1</v>
      </c>
      <c r="E9" s="2579"/>
      <c r="F9" s="2579"/>
      <c r="G9" s="2579"/>
      <c r="H9" s="2579"/>
      <c r="I9" s="2579"/>
      <c r="J9" s="2579"/>
      <c r="K9" s="2579"/>
      <c r="L9" s="2579"/>
      <c r="M9" s="2579"/>
      <c r="N9" s="2579"/>
      <c r="O9" s="2579"/>
      <c r="P9" s="2607"/>
      <c r="Q9" s="553"/>
      <c r="R9" s="458" t="s">
        <v>2</v>
      </c>
      <c r="S9" s="2578" t="str">
        <f>IF(ISBLANK('Job Info.'!D5),"",'Job Info.'!D5)</f>
        <v>NN22-0071</v>
      </c>
      <c r="T9" s="2579"/>
      <c r="U9" s="2579"/>
      <c r="V9" s="2579"/>
      <c r="W9" s="2579"/>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901" t="s">
        <v>3</v>
      </c>
      <c r="B10" s="2608"/>
      <c r="C10" s="2608"/>
      <c r="D10" s="2579" t="str">
        <f>IF(ISBLANK('Job Info.'!D4),"",'Job Info.'!D4)</f>
        <v>MINDEN, NV</v>
      </c>
      <c r="E10" s="2579"/>
      <c r="F10" s="2579"/>
      <c r="G10" s="2579"/>
      <c r="H10" s="2579"/>
      <c r="I10" s="2579"/>
      <c r="J10" s="2579"/>
      <c r="K10" s="2579"/>
      <c r="L10" s="2579"/>
      <c r="M10" s="2579"/>
      <c r="N10" s="2579"/>
      <c r="O10" s="2579"/>
      <c r="P10" s="2607"/>
      <c r="Q10" s="553"/>
      <c r="R10" s="458" t="s">
        <v>428</v>
      </c>
      <c r="S10" s="2580" t="str">
        <f>IF(ISBLANK('Job Info.'!D6),"",'Job Info.'!D6)</f>
        <v>JMM</v>
      </c>
      <c r="T10" s="2579"/>
      <c r="U10" s="96"/>
      <c r="V10" s="554"/>
      <c r="W10" s="458" t="s">
        <v>429</v>
      </c>
      <c r="X10" s="2579" t="str">
        <f>IF(ISBLANK('Job Info.'!D7),"",'Job Info.'!D7)</f>
        <v>NR</v>
      </c>
      <c r="Y10" s="2579"/>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09" t="s">
        <v>446</v>
      </c>
      <c r="D12" s="2609"/>
      <c r="E12" s="2609" t="s">
        <v>440</v>
      </c>
      <c r="F12" s="2609"/>
      <c r="G12" s="22" t="s">
        <v>447</v>
      </c>
      <c r="H12" s="56"/>
      <c r="I12" s="56"/>
      <c r="J12" s="56"/>
      <c r="K12" s="56"/>
      <c r="L12" s="1931" t="s">
        <v>802</v>
      </c>
      <c r="M12" s="1931"/>
      <c r="N12" s="1931"/>
      <c r="O12" s="1931"/>
      <c r="P12" s="1931"/>
      <c r="Q12" s="1931"/>
      <c r="R12" s="1931"/>
      <c r="S12" s="1931"/>
      <c r="T12" s="1931"/>
      <c r="U12" s="1931"/>
      <c r="V12" s="1931"/>
      <c r="W12" s="1931"/>
      <c r="X12" s="1931"/>
      <c r="Y12" s="1931"/>
      <c r="Z12" s="1931"/>
      <c r="AA12" s="1931"/>
      <c r="AB12" s="56"/>
      <c r="AC12" s="48"/>
      <c r="AD12" s="48"/>
      <c r="AE12" s="48"/>
      <c r="AP12" s="54"/>
      <c r="AQ12" s="54"/>
      <c r="AR12" s="54"/>
      <c r="AS12" s="54"/>
      <c r="AT12" s="54"/>
      <c r="AU12" s="54"/>
      <c r="AV12" s="76"/>
      <c r="AW12" s="77"/>
      <c r="AX12" s="54"/>
      <c r="AY12" s="54"/>
      <c r="AZ12" s="54"/>
      <c r="BA12" s="54"/>
      <c r="BB12" s="54"/>
    </row>
    <row r="13" spans="1:55" ht="12.95" customHeight="1" x14ac:dyDescent="0.2">
      <c r="A13" s="2581" t="s">
        <v>73</v>
      </c>
      <c r="B13" s="2581"/>
      <c r="C13" s="2583"/>
      <c r="D13" s="2583"/>
      <c r="E13" s="2539">
        <f>AO20</f>
        <v>0</v>
      </c>
      <c r="F13" s="2539"/>
      <c r="G13" s="2562">
        <f>E13-C13</f>
        <v>0</v>
      </c>
      <c r="H13" s="2563"/>
      <c r="I13" s="2563"/>
      <c r="J13" s="2563"/>
      <c r="K13" s="40"/>
      <c r="L13" s="2572"/>
      <c r="M13" s="2572"/>
      <c r="N13" s="2572"/>
      <c r="O13" s="2572"/>
      <c r="P13" s="2572"/>
      <c r="Q13" s="2572"/>
      <c r="R13" s="2572"/>
      <c r="S13" s="2572"/>
      <c r="T13" s="2572"/>
      <c r="U13" s="2572"/>
      <c r="V13" s="2572"/>
      <c r="W13" s="2572"/>
      <c r="X13" s="2572"/>
      <c r="Y13" s="2572"/>
      <c r="Z13" s="2572"/>
      <c r="AA13" s="2572"/>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81" t="s">
        <v>437</v>
      </c>
      <c r="B14" s="2581"/>
      <c r="C14" s="2583"/>
      <c r="D14" s="2583"/>
      <c r="E14" s="2539">
        <f>AO21</f>
        <v>535</v>
      </c>
      <c r="F14" s="2539"/>
      <c r="G14" s="2562">
        <f>E14-C14</f>
        <v>535</v>
      </c>
      <c r="H14" s="2563"/>
      <c r="I14" s="2563"/>
      <c r="J14" s="2563"/>
      <c r="K14" s="58"/>
      <c r="L14" s="2572"/>
      <c r="M14" s="2572"/>
      <c r="N14" s="2572"/>
      <c r="O14" s="2572"/>
      <c r="P14" s="2572"/>
      <c r="Q14" s="2572"/>
      <c r="R14" s="2572"/>
      <c r="S14" s="2572"/>
      <c r="T14" s="2572"/>
      <c r="U14" s="2572"/>
      <c r="V14" s="2572"/>
      <c r="W14" s="2572"/>
      <c r="X14" s="2572"/>
      <c r="Y14" s="2572"/>
      <c r="Z14" s="2572"/>
      <c r="AA14" s="2572"/>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81" t="s">
        <v>438</v>
      </c>
      <c r="B15" s="2581"/>
      <c r="C15" s="2583"/>
      <c r="D15" s="2583"/>
      <c r="E15" s="2539">
        <f>AO22</f>
        <v>48</v>
      </c>
      <c r="F15" s="2539"/>
      <c r="G15" s="2562">
        <f>E15-C15</f>
        <v>48</v>
      </c>
      <c r="H15" s="2563"/>
      <c r="I15" s="2563"/>
      <c r="J15" s="2563"/>
      <c r="K15" s="46"/>
      <c r="L15" s="2572"/>
      <c r="M15" s="2572"/>
      <c r="N15" s="2572"/>
      <c r="O15" s="2572"/>
      <c r="P15" s="2572"/>
      <c r="Q15" s="2572"/>
      <c r="R15" s="2572"/>
      <c r="S15" s="2572"/>
      <c r="T15" s="2572"/>
      <c r="U15" s="2572"/>
      <c r="V15" s="2572"/>
      <c r="W15" s="2572"/>
      <c r="X15" s="2572"/>
      <c r="Y15" s="2572"/>
      <c r="Z15" s="2572"/>
      <c r="AA15" s="2572"/>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582" t="s">
        <v>1007</v>
      </c>
      <c r="B16" s="2581"/>
      <c r="C16" s="2583"/>
      <c r="D16" s="2583"/>
      <c r="E16" s="2539">
        <f>AO23</f>
        <v>0</v>
      </c>
      <c r="F16" s="2539"/>
      <c r="G16" s="2562">
        <f>E16-C16</f>
        <v>0</v>
      </c>
      <c r="H16" s="2563"/>
      <c r="I16" s="2563"/>
      <c r="J16" s="2563"/>
      <c r="K16" s="46"/>
      <c r="L16" s="2572"/>
      <c r="M16" s="2572"/>
      <c r="N16" s="2572"/>
      <c r="O16" s="2572"/>
      <c r="P16" s="2572"/>
      <c r="Q16" s="2572"/>
      <c r="R16" s="2572"/>
      <c r="S16" s="2572"/>
      <c r="T16" s="2572"/>
      <c r="U16" s="2572"/>
      <c r="V16" s="2572"/>
      <c r="W16" s="2572"/>
      <c r="X16" s="2572"/>
      <c r="Y16" s="2572"/>
      <c r="Z16" s="2572"/>
      <c r="AA16" s="2572"/>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81" t="s">
        <v>439</v>
      </c>
      <c r="B17" s="2581"/>
      <c r="C17" s="2584"/>
      <c r="D17" s="2584"/>
      <c r="E17" s="2539">
        <f>AO24</f>
        <v>2065</v>
      </c>
      <c r="F17" s="2539"/>
      <c r="G17" s="39"/>
      <c r="H17" s="57"/>
      <c r="I17" s="45"/>
      <c r="J17" s="45"/>
      <c r="K17" s="46"/>
      <c r="L17" s="2572"/>
      <c r="M17" s="2572"/>
      <c r="N17" s="2572"/>
      <c r="O17" s="2572"/>
      <c r="P17" s="2572"/>
      <c r="Q17" s="2572"/>
      <c r="R17" s="2572"/>
      <c r="S17" s="2572"/>
      <c r="T17" s="2572"/>
      <c r="U17" s="2572"/>
      <c r="V17" s="2572"/>
      <c r="W17" s="2572"/>
      <c r="X17" s="2572"/>
      <c r="Y17" s="2572"/>
      <c r="Z17" s="2572"/>
      <c r="AA17" s="2572"/>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610">
        <f>SUM(C13:D16)</f>
        <v>0</v>
      </c>
      <c r="D18" s="2611"/>
      <c r="E18" s="78" t="s">
        <v>448</v>
      </c>
      <c r="F18" s="39"/>
      <c r="G18" s="44"/>
      <c r="H18" s="57"/>
      <c r="I18" s="45"/>
      <c r="J18" s="45"/>
      <c r="K18" s="46"/>
      <c r="L18" s="2572"/>
      <c r="M18" s="2572"/>
      <c r="N18" s="2572"/>
      <c r="O18" s="2572"/>
      <c r="P18" s="2572"/>
      <c r="Q18" s="2572"/>
      <c r="R18" s="2572"/>
      <c r="S18" s="2572"/>
      <c r="T18" s="2572"/>
      <c r="U18" s="2572"/>
      <c r="V18" s="2572"/>
      <c r="W18" s="2572"/>
      <c r="X18" s="2572"/>
      <c r="Y18" s="2572"/>
      <c r="Z18" s="2572"/>
      <c r="AA18" s="2572"/>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612" t="str">
        <f>IF(NOT(AO17),"No Bridging Anchors Listed On BOM","")</f>
        <v>No Bridging Anchors Listed On BOM</v>
      </c>
      <c r="D19" s="2613"/>
      <c r="E19" s="2613"/>
      <c r="F19" s="2613"/>
      <c r="G19" s="2613"/>
      <c r="H19" s="557"/>
      <c r="I19"/>
      <c r="J19"/>
      <c r="K19" s="46"/>
      <c r="L19" s="2573"/>
      <c r="M19" s="2573"/>
      <c r="N19" s="2573"/>
      <c r="O19" s="2573"/>
      <c r="P19" s="2573"/>
      <c r="Q19" s="2573"/>
      <c r="R19" s="2573"/>
      <c r="S19" s="2573"/>
      <c r="T19" s="2573"/>
      <c r="U19" s="2573"/>
      <c r="V19" s="2573"/>
      <c r="W19" s="2573"/>
      <c r="X19" s="2573"/>
      <c r="Y19" s="2573"/>
      <c r="Z19" s="2573"/>
      <c r="AA19" s="2573"/>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574" t="s">
        <v>442</v>
      </c>
      <c r="C21" s="2574"/>
      <c r="D21" s="2574"/>
      <c r="E21" s="2574"/>
      <c r="F21" s="2574"/>
      <c r="G21" s="2574"/>
      <c r="H21" s="2574"/>
      <c r="I21" s="2574"/>
      <c r="J21" s="2574"/>
      <c r="K21" s="2574"/>
      <c r="L21" s="2574"/>
      <c r="M21" s="2574"/>
      <c r="N21" s="2574"/>
      <c r="O21" s="2574"/>
      <c r="P21" s="2574"/>
      <c r="Q21" s="2574"/>
      <c r="R21" s="2574"/>
      <c r="S21" s="2574"/>
      <c r="T21" s="2574"/>
      <c r="U21" s="2574"/>
      <c r="V21" s="2574"/>
      <c r="W21" s="2574"/>
      <c r="X21" s="2574"/>
      <c r="Y21" s="2574"/>
      <c r="Z21" s="2574"/>
      <c r="AA21" s="2574"/>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53" t="str">
        <f ca="1">IF(ISBLANK(OFFSET($AP$2,D22,0)),"Project Total",CONCATENATE("Seq. ",OFFSET($AP$2,D22,0)))</f>
        <v>Seq. N.S.</v>
      </c>
      <c r="E23" s="2554"/>
      <c r="F23" s="2554"/>
      <c r="G23" s="2555"/>
      <c r="H23" s="2553" t="str">
        <f ca="1">IF(ISBLANK(OFFSET($AP$2,H22,0)),"",CONCATENATE("Seq. ",OFFSET($AP$2,H22,0)))</f>
        <v>Seq. 1</v>
      </c>
      <c r="I23" s="2554"/>
      <c r="J23" s="2554"/>
      <c r="K23" s="2555"/>
      <c r="L23" s="2553" t="str">
        <f ca="1">IF(ISBLANK(OFFSET($AP$2,L22,0)),"",CONCATENATE("Seq. ",OFFSET($AP$2,L22,0)))</f>
        <v>Seq. 2</v>
      </c>
      <c r="M23" s="2554"/>
      <c r="N23" s="2554"/>
      <c r="O23" s="2555"/>
      <c r="P23" s="2553" t="str">
        <f ca="1">IF(ISBLANK(OFFSET($AP$2,P22,0)),"",CONCATENATE("Seq. ",OFFSET($AP$2,P22,0)))</f>
        <v>Seq. 3</v>
      </c>
      <c r="Q23" s="2554"/>
      <c r="R23" s="2554"/>
      <c r="S23" s="2555"/>
      <c r="T23" s="2553" t="str">
        <f ca="1">IF(ISBLANK(OFFSET($AP$2,T22,0)),"",CONCATENATE("Seq. ",OFFSET($AP$2,T22,0)))</f>
        <v/>
      </c>
      <c r="U23" s="2554"/>
      <c r="V23" s="2554"/>
      <c r="W23" s="2555"/>
      <c r="X23" s="2553" t="str">
        <f ca="1">IF(ISBLANK(OFFSET($AP$2,X22,0)),"",CONCATENATE("Seq. ",OFFSET($AP$2,X22,0)))</f>
        <v/>
      </c>
      <c r="Y23" s="2554"/>
      <c r="Z23" s="2554"/>
      <c r="AA23" s="2555"/>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42" t="s">
        <v>440</v>
      </c>
      <c r="E24" s="2543"/>
      <c r="F24" s="2543" t="s">
        <v>441</v>
      </c>
      <c r="G24" s="2544"/>
      <c r="H24" s="2542" t="s">
        <v>440</v>
      </c>
      <c r="I24" s="2543"/>
      <c r="J24" s="2543" t="s">
        <v>441</v>
      </c>
      <c r="K24" s="2544"/>
      <c r="L24" s="2542" t="s">
        <v>440</v>
      </c>
      <c r="M24" s="2543"/>
      <c r="N24" s="2543" t="s">
        <v>441</v>
      </c>
      <c r="O24" s="2544"/>
      <c r="P24" s="2542" t="s">
        <v>440</v>
      </c>
      <c r="Q24" s="2543"/>
      <c r="R24" s="2543" t="s">
        <v>441</v>
      </c>
      <c r="S24" s="2544"/>
      <c r="T24" s="2542" t="s">
        <v>440</v>
      </c>
      <c r="U24" s="2543"/>
      <c r="V24" s="2543" t="s">
        <v>441</v>
      </c>
      <c r="W24" s="2544"/>
      <c r="X24" s="2542" t="s">
        <v>440</v>
      </c>
      <c r="Y24" s="2543"/>
      <c r="Z24" s="2543" t="s">
        <v>441</v>
      </c>
      <c r="AA24" s="2544"/>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47" t="s">
        <v>73</v>
      </c>
      <c r="C25" s="2548"/>
      <c r="D25" s="2538">
        <f ca="1">OFFSET($AQ$2,D22,0)+OFFSET($AU$2,D22,0)</f>
        <v>0</v>
      </c>
      <c r="E25" s="2539"/>
      <c r="F25" s="2536">
        <f ca="1">(OFFSET($AQ$2,D22,0)+OFFSET($AU$2,D22,0))-(OFFSET($AW$2,D22,0)+OFFSET($BA$2,D22,0))</f>
        <v>0</v>
      </c>
      <c r="G25" s="2537"/>
      <c r="H25" s="2538">
        <f ca="1">IF(ISBLANK(OFFSET($AP$2,H22,0)),"",OFFSET($AQ$2,H22,0)+OFFSET($AU$2,H22,0))</f>
        <v>0</v>
      </c>
      <c r="I25" s="2539"/>
      <c r="J25" s="2536">
        <f ca="1">IF(ISBLANK(OFFSET($AP$2,H22,0)),"",(OFFSET($AQ$2,H22,0)+OFFSET($AU$2,H22,0))-(OFFSET($AW$2,H22,0)+OFFSET($BA$2,H22,0)))</f>
        <v>0</v>
      </c>
      <c r="K25" s="2537"/>
      <c r="L25" s="2538">
        <f ca="1">IF(ISBLANK(OFFSET($AP$2,L22,0)),"",OFFSET($AQ$2,L22,0)+OFFSET($AU$2,L22,0))</f>
        <v>0</v>
      </c>
      <c r="M25" s="2539"/>
      <c r="N25" s="2536">
        <f ca="1">IF(ISBLANK(OFFSET($AP$2,L22,0)),"",(OFFSET($AQ$2,L22,0)+OFFSET($AU$2,L22,0))-(OFFSET($AW$2,L22,0)+OFFSET($BA$2,L22,0)))</f>
        <v>0</v>
      </c>
      <c r="O25" s="2537"/>
      <c r="P25" s="2538">
        <f ca="1">IF(ISBLANK(OFFSET($AP$2,P22,0)),"",OFFSET($AQ$2,P22,0)+OFFSET($AU$2,P22,0))</f>
        <v>0</v>
      </c>
      <c r="Q25" s="2539"/>
      <c r="R25" s="2536">
        <f ca="1">IF(ISBLANK(OFFSET($AP$2,P22,0)),"",(OFFSET($AQ$2,P22,0)+OFFSET($AU$2,P22,0))-(OFFSET($AW$2,P22,0)+OFFSET($BA$2,P22,0)))</f>
        <v>0</v>
      </c>
      <c r="S25" s="2537"/>
      <c r="T25" s="2538" t="str">
        <f ca="1">IF(ISBLANK(OFFSET($AP$2,T22,0)),"",OFFSET($AQ$2,T22,0)+OFFSET($AU$2,T22,0))</f>
        <v/>
      </c>
      <c r="U25" s="2539"/>
      <c r="V25" s="2536" t="str">
        <f ca="1">IF(ISBLANK(OFFSET($AP$2,T22,0)),"",(OFFSET($AQ$2,T22,0)+OFFSET($AU$2,T22,0))-(OFFSET($AW$2,T22,0)+OFFSET($BA$2,T22,0)))</f>
        <v/>
      </c>
      <c r="W25" s="2537"/>
      <c r="X25" s="2538" t="str">
        <f ca="1">IF(ISBLANK(OFFSET($AP$2,X22,0)),"",OFFSET($AQ$2,X22,0)+OFFSET($AU$2,X22,0))</f>
        <v/>
      </c>
      <c r="Y25" s="2539"/>
      <c r="Z25" s="2536" t="str">
        <f ca="1">IF(ISBLANK(OFFSET($AP$2,X22,0)),"",(OFFSET($AQ$2,X22,0)+OFFSET($AU$2,X22,0))-(OFFSET($AW$2,X22,0)+OFFSET($BA$2,X22,0)))</f>
        <v/>
      </c>
      <c r="AA25" s="2537"/>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40" t="s">
        <v>437</v>
      </c>
      <c r="C26" s="2541"/>
      <c r="D26" s="2538">
        <f ca="1">OFFSET($AR$2,D22,0)</f>
        <v>0</v>
      </c>
      <c r="E26" s="2539"/>
      <c r="F26" s="2536">
        <f ca="1">OFFSET($AR$2,D22,0)-OFFSET($AX$2,D22,0)</f>
        <v>0</v>
      </c>
      <c r="G26" s="2537"/>
      <c r="H26" s="2538">
        <f ca="1">IF(ISBLANK(OFFSET($AP$2,H22,0)),"",OFFSET($AR$2,H22,0))</f>
        <v>180</v>
      </c>
      <c r="I26" s="2539"/>
      <c r="J26" s="2536">
        <f ca="1">IF(ISBLANK(OFFSET($AP$2,H22,0)),"",OFFSET($AR$2,H22,0)-OFFSET($AX$2,H22,0))</f>
        <v>180</v>
      </c>
      <c r="K26" s="2537"/>
      <c r="L26" s="2538">
        <f ca="1">IF(ISBLANK(OFFSET($AP$2,L22,0)),"",OFFSET($AR$2,L22,0))</f>
        <v>180</v>
      </c>
      <c r="M26" s="2539"/>
      <c r="N26" s="2536">
        <f ca="1">IF(ISBLANK(OFFSET($AP$2,L22,0)),"",OFFSET($AR$2,L22,0)-OFFSET($AX$2,L22,0))</f>
        <v>180</v>
      </c>
      <c r="O26" s="2537"/>
      <c r="P26" s="2538">
        <f ca="1">IF(ISBLANK(OFFSET($AP$2,P22,0)),"",OFFSET($AR$2,P22,0))</f>
        <v>175</v>
      </c>
      <c r="Q26" s="2539"/>
      <c r="R26" s="2536">
        <f ca="1">IF(ISBLANK(OFFSET($AP$2,P22,0)),"",OFFSET($AR$2,P22,0)-OFFSET($AX$2,P22,0))</f>
        <v>175</v>
      </c>
      <c r="S26" s="2537"/>
      <c r="T26" s="2538" t="str">
        <f ca="1">IF(ISBLANK(OFFSET($AP$2,T22,0)),"",OFFSET($AR$2,T22,0))</f>
        <v/>
      </c>
      <c r="U26" s="2539"/>
      <c r="V26" s="2536" t="str">
        <f ca="1">IF(ISBLANK(OFFSET($AP$2,T22,0)),"",OFFSET($AR$2,T22,0)-OFFSET($AX$2,T22,0))</f>
        <v/>
      </c>
      <c r="W26" s="2537"/>
      <c r="X26" s="2538" t="str">
        <f ca="1">IF(ISBLANK(OFFSET($AP$2,X22,0)),"",OFFSET($AR$2,X22,0))</f>
        <v/>
      </c>
      <c r="Y26" s="2539"/>
      <c r="Z26" s="2536" t="str">
        <f ca="1">IF(ISBLANK(OFFSET($AP$2,X22,0)),"",OFFSET($AR$2,X22,0)-OFFSET($AX$2,X22,0))</f>
        <v/>
      </c>
      <c r="AA26" s="2537"/>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40" t="s">
        <v>438</v>
      </c>
      <c r="C27" s="2541"/>
      <c r="D27" s="2538">
        <f ca="1">OFFSET($AS$2,D22,0)</f>
        <v>0</v>
      </c>
      <c r="E27" s="2539"/>
      <c r="F27" s="2536">
        <f ca="1">OFFSET($AS$2,D22,0)-OFFSET($AY$2,D22,0)</f>
        <v>0</v>
      </c>
      <c r="G27" s="2537"/>
      <c r="H27" s="2538">
        <f ca="1">IF(ISBLANK(OFFSET($AP$2,H22,0)),"",OFFSET($AS$2,H22,0))</f>
        <v>16</v>
      </c>
      <c r="I27" s="2539"/>
      <c r="J27" s="2536">
        <f ca="1">IF(ISBLANK(OFFSET($AP$2,H22,0)),"",OFFSET($AS$2,H22,0)-OFFSET($AY$2,H22,0))</f>
        <v>16</v>
      </c>
      <c r="K27" s="2537"/>
      <c r="L27" s="2538">
        <f ca="1">IF(ISBLANK(OFFSET($AP$2,L22,0)),"",OFFSET($AS$2,L22,0))</f>
        <v>16</v>
      </c>
      <c r="M27" s="2539"/>
      <c r="N27" s="2536">
        <f ca="1">IF(ISBLANK(OFFSET($AP$2,L22,0)),"",OFFSET($AS$2,L22,0)-OFFSET($AY$2,L22,0))</f>
        <v>16</v>
      </c>
      <c r="O27" s="2537"/>
      <c r="P27" s="2538">
        <f ca="1">IF(ISBLANK(OFFSET($AP$2,P22,0)),"",OFFSET($AS$2,P22,0))</f>
        <v>16</v>
      </c>
      <c r="Q27" s="2539"/>
      <c r="R27" s="2536">
        <f ca="1">IF(ISBLANK(OFFSET($AP$2,P22,0)),"",OFFSET($AS$2,P22,0)-OFFSET($AY$2,P22,0))</f>
        <v>16</v>
      </c>
      <c r="S27" s="2537"/>
      <c r="T27" s="2538" t="str">
        <f ca="1">IF(ISBLANK(OFFSET($AP$2,T22,0)),"",OFFSET($AS$2,T22,0))</f>
        <v/>
      </c>
      <c r="U27" s="2539"/>
      <c r="V27" s="2536" t="str">
        <f ca="1">IF(ISBLANK(OFFSET($AP$2,T22,0)),"",OFFSET($AS$2,T22,0)-OFFSET($AY$2,T22,0))</f>
        <v/>
      </c>
      <c r="W27" s="2537"/>
      <c r="X27" s="2538" t="str">
        <f ca="1">IF(ISBLANK(OFFSET($AP$2,X22,0)),"",OFFSET($AS$2,X22,0))</f>
        <v/>
      </c>
      <c r="Y27" s="2539"/>
      <c r="Z27" s="2536" t="str">
        <f ca="1">IF(ISBLANK(OFFSET($AP$2,X22,0)),"",OFFSET($AS$2,X22,0)-OFFSET($AY$2,X22,0))</f>
        <v/>
      </c>
      <c r="AA27" s="2537"/>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40" t="s">
        <v>75</v>
      </c>
      <c r="C28" s="2541"/>
      <c r="D28" s="2538">
        <f ca="1">OFFSET($AT$2,D22,0)</f>
        <v>0</v>
      </c>
      <c r="E28" s="2539"/>
      <c r="F28" s="2536">
        <f ca="1">OFFSET($AT$2,D22,0)-OFFSET($AZ$2,D22,0)</f>
        <v>0</v>
      </c>
      <c r="G28" s="2537"/>
      <c r="H28" s="2538">
        <f ca="1">IF(ISBLANK(OFFSET($AP$2,H22,0)),"",OFFSET($AT$2,H22,0))</f>
        <v>0</v>
      </c>
      <c r="I28" s="2539"/>
      <c r="J28" s="2536">
        <f ca="1">IF(ISBLANK(OFFSET($AP$2,H22,0)),"",OFFSET($AT$2,H22,0)-OFFSET($AZ$2,H22,0))</f>
        <v>0</v>
      </c>
      <c r="K28" s="2537"/>
      <c r="L28" s="2538">
        <f ca="1">IF(ISBLANK(OFFSET($AP$2,L22,0)),"",OFFSET($AT$2,L22,0))</f>
        <v>0</v>
      </c>
      <c r="M28" s="2539"/>
      <c r="N28" s="2536">
        <f ca="1">IF(ISBLANK(OFFSET($AP$2,L22,0)),"",OFFSET($AT$2,L22,0)-OFFSET($AZ$2,L22,0))</f>
        <v>0</v>
      </c>
      <c r="O28" s="2537"/>
      <c r="P28" s="2538">
        <f ca="1">IF(ISBLANK(OFFSET($AP$2,P22,0)),"",OFFSET($AT$2,P22,0))</f>
        <v>0</v>
      </c>
      <c r="Q28" s="2539"/>
      <c r="R28" s="2536">
        <f ca="1">IF(ISBLANK(OFFSET($AP$2,P22,0)),"",OFFSET($AT$2,P22,0)-OFFSET($AZ$2,P22,0))</f>
        <v>0</v>
      </c>
      <c r="S28" s="2537"/>
      <c r="T28" s="2538" t="str">
        <f ca="1">IF(ISBLANK(OFFSET($AP$2,T22,0)),"",OFFSET($AT$2,T22,0))</f>
        <v/>
      </c>
      <c r="U28" s="2539"/>
      <c r="V28" s="2536" t="str">
        <f ca="1">IF(ISBLANK(OFFSET($AP$2,T22,0)),"",OFFSET($AT$2,T22,0)-OFFSET($AZ$2,T22,0))</f>
        <v/>
      </c>
      <c r="W28" s="2537"/>
      <c r="X28" s="2538" t="str">
        <f ca="1">IF(ISBLANK(OFFSET($AP$2,X22,0)),"",OFFSET($AT$2,X22,0))</f>
        <v/>
      </c>
      <c r="Y28" s="2539"/>
      <c r="Z28" s="2536" t="str">
        <f ca="1">IF(ISBLANK(OFFSET($AP$2,X22,0)),"",OFFSET($AT$2,X22,0)-OFFSET($AZ$2,X22,0))</f>
        <v/>
      </c>
      <c r="AA28" s="2537"/>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56" t="s">
        <v>439</v>
      </c>
      <c r="C29" s="2557"/>
      <c r="D29" s="2549">
        <f ca="1">OFFSET($AV$2,D22,0)</f>
        <v>12</v>
      </c>
      <c r="E29" s="2550"/>
      <c r="F29" s="2551">
        <f ca="1">OFFSET($AV$2,D22,0)-OFFSET($BB$2,D22,0)</f>
        <v>12</v>
      </c>
      <c r="G29" s="2552"/>
      <c r="H29" s="2549">
        <f ca="1">IF(ISBLANK(OFFSET($AP$2,H22,0)),"",OFFSET($AV$2,H22,0))</f>
        <v>691</v>
      </c>
      <c r="I29" s="2550"/>
      <c r="J29" s="2551">
        <f ca="1">IF(ISBLANK(OFFSET($AP$2,H22,0)),"",OFFSET($AV$2,H22,0)-OFFSET($BB$2,H22,0))</f>
        <v>691</v>
      </c>
      <c r="K29" s="2552"/>
      <c r="L29" s="2549">
        <f ca="1">IF(ISBLANK(OFFSET($AP$2,L22,0)),"",OFFSET($AV$2,L22,0))</f>
        <v>700</v>
      </c>
      <c r="M29" s="2550"/>
      <c r="N29" s="2551">
        <f ca="1">IF(ISBLANK(OFFSET($AP$2,L22,0)),"",OFFSET($AV$2,L22,0)-OFFSET($BB$2,L22,0))</f>
        <v>700</v>
      </c>
      <c r="O29" s="2552"/>
      <c r="P29" s="2549">
        <f ca="1">IF(ISBLANK(OFFSET($AP$2,P22,0)),"",OFFSET($AV$2,P22,0))</f>
        <v>662</v>
      </c>
      <c r="Q29" s="2550"/>
      <c r="R29" s="2551">
        <f ca="1">IF(ISBLANK(OFFSET($AP$2,P22,0)),"",OFFSET($AV$2,P22,0)-OFFSET($BB$2,P22,0))</f>
        <v>662</v>
      </c>
      <c r="S29" s="2552"/>
      <c r="T29" s="2549" t="str">
        <f ca="1">IF(ISBLANK(OFFSET($AP$2,T22,0)),"",OFFSET($AV$2,T22,0))</f>
        <v/>
      </c>
      <c r="U29" s="2550"/>
      <c r="V29" s="2551" t="str">
        <f ca="1">IF(ISBLANK(OFFSET($AP$2,T22,0)),"",OFFSET($AV$2,T22,0)-OFFSET($BB$2,T22,0))</f>
        <v/>
      </c>
      <c r="W29" s="2552"/>
      <c r="X29" s="2549" t="str">
        <f ca="1">IF(ISBLANK(OFFSET($AP$2,X22,0)),"",OFFSET($AV$2,X22,0))</f>
        <v/>
      </c>
      <c r="Y29" s="2550"/>
      <c r="Z29" s="2551" t="str">
        <f ca="1">IF(ISBLANK(OFFSET($AP$2,X22,0)),"",OFFSET($AV$2,X22,0)-OFFSET($BB$2,X22,0))</f>
        <v/>
      </c>
      <c r="AA29" s="2552"/>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53" t="str">
        <f ca="1">IF(ISBLANK(OFFSET($AP$2,D30,0)),"",CONCATENATE("Seq. ",OFFSET($AP$2,D30,0)))</f>
        <v/>
      </c>
      <c r="E31" s="2554"/>
      <c r="F31" s="2554"/>
      <c r="G31" s="2555"/>
      <c r="H31" s="2553" t="str">
        <f ca="1">IF(ISBLANK(OFFSET($AP$2,H30,0)),"",CONCATENATE("Seq. ",OFFSET($AP$2,H30,0)))</f>
        <v/>
      </c>
      <c r="I31" s="2554"/>
      <c r="J31" s="2554"/>
      <c r="K31" s="2555"/>
      <c r="L31" s="2553" t="str">
        <f ca="1">IF(ISBLANK(OFFSET($AP$2,L30,0)),"",CONCATENATE("Seq. ",OFFSET($AP$2,L30,0)))</f>
        <v/>
      </c>
      <c r="M31" s="2554"/>
      <c r="N31" s="2554"/>
      <c r="O31" s="2555"/>
      <c r="P31" s="2553" t="str">
        <f ca="1">IF(ISBLANK(OFFSET($AP$2,P30,0)),"",CONCATENATE("Seq. ",OFFSET($AP$2,P30,0)))</f>
        <v/>
      </c>
      <c r="Q31" s="2554"/>
      <c r="R31" s="2554"/>
      <c r="S31" s="2555"/>
      <c r="T31" s="2553" t="str">
        <f ca="1">IF(ISBLANK(OFFSET($AP$2,T30,0)),"",CONCATENATE("Seq. ",OFFSET($AP$2,T30,0)))</f>
        <v/>
      </c>
      <c r="U31" s="2554"/>
      <c r="V31" s="2554"/>
      <c r="W31" s="2555"/>
      <c r="X31" s="2553" t="str">
        <f ca="1">IF(ISBLANK(OFFSET($AP$2,X30,0)),"",CONCATENATE("Seq. ",OFFSET($AP$2,X30,0)))</f>
        <v/>
      </c>
      <c r="Y31" s="2554"/>
      <c r="Z31" s="2554"/>
      <c r="AA31" s="2555"/>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42" t="s">
        <v>440</v>
      </c>
      <c r="E32" s="2543"/>
      <c r="F32" s="2543" t="s">
        <v>441</v>
      </c>
      <c r="G32" s="2544"/>
      <c r="H32" s="2542" t="s">
        <v>440</v>
      </c>
      <c r="I32" s="2543"/>
      <c r="J32" s="2543" t="s">
        <v>441</v>
      </c>
      <c r="K32" s="2544"/>
      <c r="L32" s="2542" t="s">
        <v>440</v>
      </c>
      <c r="M32" s="2543"/>
      <c r="N32" s="2543" t="s">
        <v>441</v>
      </c>
      <c r="O32" s="2544"/>
      <c r="P32" s="2542" t="s">
        <v>440</v>
      </c>
      <c r="Q32" s="2543"/>
      <c r="R32" s="2543" t="s">
        <v>441</v>
      </c>
      <c r="S32" s="2544"/>
      <c r="T32" s="2542" t="s">
        <v>440</v>
      </c>
      <c r="U32" s="2543"/>
      <c r="V32" s="2543" t="s">
        <v>441</v>
      </c>
      <c r="W32" s="2544"/>
      <c r="X32" s="2542" t="s">
        <v>440</v>
      </c>
      <c r="Y32" s="2543"/>
      <c r="Z32" s="2543" t="s">
        <v>441</v>
      </c>
      <c r="AA32" s="2544"/>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47" t="s">
        <v>73</v>
      </c>
      <c r="C33" s="2548"/>
      <c r="D33" s="2538" t="str">
        <f ca="1">IF(ISBLANK(OFFSET($AP$2,D30,0)),"",OFFSET($AQ$2,D30,0)+OFFSET($AU$2,D30,0))</f>
        <v/>
      </c>
      <c r="E33" s="2539"/>
      <c r="F33" s="2536" t="str">
        <f ca="1">IF(ISBLANK(OFFSET($AP$2,D30,0)),"",(OFFSET($AQ$2,D30,0)+OFFSET($AU$2,D30,0))-(OFFSET($AW$2,D30,0)+OFFSET($BA$2,D30,0)))</f>
        <v/>
      </c>
      <c r="G33" s="2537"/>
      <c r="H33" s="2538" t="str">
        <f ca="1">IF(ISBLANK(OFFSET($AP$2,H30,0)),"",OFFSET($AQ$2,H30,0)+OFFSET($AU$2,H30,0))</f>
        <v/>
      </c>
      <c r="I33" s="2539"/>
      <c r="J33" s="2536" t="str">
        <f ca="1">IF(ISBLANK(OFFSET($AP$2,H30,0)),"",(OFFSET($AQ$2,H30,0)+OFFSET($AU$2,H30,0))-(OFFSET($AW$2,H30,0)+OFFSET($BA$2,H30,0)))</f>
        <v/>
      </c>
      <c r="K33" s="2537"/>
      <c r="L33" s="2538" t="str">
        <f ca="1">IF(ISBLANK(OFFSET($AP$2,L30,0)),"",OFFSET($AQ$2,L30,0)+OFFSET($AU$2,L30,0))</f>
        <v/>
      </c>
      <c r="M33" s="2539"/>
      <c r="N33" s="2536" t="str">
        <f ca="1">IF(ISBLANK(OFFSET($AP$2,L30,0)),"",(OFFSET($AQ$2,L30,0)+OFFSET($AU$2,L30,0))-(OFFSET($AW$2,L30,0)+OFFSET($BA$2,L30,0)))</f>
        <v/>
      </c>
      <c r="O33" s="2537"/>
      <c r="P33" s="2538" t="str">
        <f ca="1">IF(ISBLANK(OFFSET($AP$2,P30,0)),"",OFFSET($AQ$2,P30,0)+OFFSET($AU$2,P30,0))</f>
        <v/>
      </c>
      <c r="Q33" s="2539"/>
      <c r="R33" s="2536" t="str">
        <f ca="1">IF(ISBLANK(OFFSET($AP$2,P30,0)),"",(OFFSET($AQ$2,P30,0)+OFFSET($AU$2,P30,0))-(OFFSET($AW$2,P30,0)+OFFSET($BA$2,P30,0)))</f>
        <v/>
      </c>
      <c r="S33" s="2537"/>
      <c r="T33" s="2538" t="str">
        <f ca="1">IF(ISBLANK(OFFSET($AP$2,T30,0)),"",OFFSET($AQ$2,T30,0)+OFFSET($AU$2,T30,0))</f>
        <v/>
      </c>
      <c r="U33" s="2539"/>
      <c r="V33" s="2536" t="str">
        <f ca="1">IF(ISBLANK(OFFSET($AP$2,T30,0)),"",(OFFSET($AQ$2,T30,0)+OFFSET($AU$2,T30,0))-(OFFSET($AW$2,T30,0)+OFFSET($BA$2,T30,0)))</f>
        <v/>
      </c>
      <c r="W33" s="2537"/>
      <c r="X33" s="2538" t="str">
        <f ca="1">IF(ISBLANK(OFFSET($AP$2,X30,0)),"",OFFSET($AQ$2,X30,0)+OFFSET($AU$2,X30,0))</f>
        <v/>
      </c>
      <c r="Y33" s="2539"/>
      <c r="Z33" s="2536" t="str">
        <f ca="1">IF(ISBLANK(OFFSET($AP$2,X30,0)),"",(OFFSET($AQ$2,X30,0)+OFFSET($AU$2,X30,0))-(OFFSET($AW$2,X30,0)+OFFSET($BA$2,X30,0)))</f>
        <v/>
      </c>
      <c r="AA33" s="2537"/>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40" t="s">
        <v>437</v>
      </c>
      <c r="C34" s="2541"/>
      <c r="D34" s="2538" t="str">
        <f ca="1">IF(ISBLANK(OFFSET($AP$2,D30,0)),"",OFFSET($AR$2,D30,0))</f>
        <v/>
      </c>
      <c r="E34" s="2539"/>
      <c r="F34" s="2536" t="str">
        <f ca="1">IF(ISBLANK(OFFSET($AP$2,D30,0)),"",OFFSET($AR$2,D30,0)-OFFSET($AX$2,D30,0))</f>
        <v/>
      </c>
      <c r="G34" s="2537"/>
      <c r="H34" s="2538" t="str">
        <f ca="1">IF(ISBLANK(OFFSET($AP$2,H30,0)),"",OFFSET($AR$2,H30,0))</f>
        <v/>
      </c>
      <c r="I34" s="2539"/>
      <c r="J34" s="2536" t="str">
        <f ca="1">IF(ISBLANK(OFFSET($AP$2,H30,0)),"",OFFSET($AR$2,H30,0)-OFFSET($AX$2,H30,0))</f>
        <v/>
      </c>
      <c r="K34" s="2537"/>
      <c r="L34" s="2538" t="str">
        <f ca="1">IF(ISBLANK(OFFSET($AP$2,L30,0)),"",OFFSET($AR$2,L30,0))</f>
        <v/>
      </c>
      <c r="M34" s="2539"/>
      <c r="N34" s="2536" t="str">
        <f ca="1">IF(ISBLANK(OFFSET($AP$2,L30,0)),"",OFFSET($AR$2,L30,0)-OFFSET($AX$2,L30,0))</f>
        <v/>
      </c>
      <c r="O34" s="2537"/>
      <c r="P34" s="2538" t="str">
        <f ca="1">IF(ISBLANK(OFFSET($AP$2,P30,0)),"",OFFSET($AR$2,P30,0))</f>
        <v/>
      </c>
      <c r="Q34" s="2539"/>
      <c r="R34" s="2536" t="str">
        <f ca="1">IF(ISBLANK(OFFSET($AP$2,P30,0)),"",OFFSET($AR$2,P30,0)-OFFSET($AX$2,P30,0))</f>
        <v/>
      </c>
      <c r="S34" s="2537"/>
      <c r="T34" s="2538" t="str">
        <f ca="1">IF(ISBLANK(OFFSET($AP$2,T30,0)),"",OFFSET($AR$2,T30,0))</f>
        <v/>
      </c>
      <c r="U34" s="2539"/>
      <c r="V34" s="2536" t="str">
        <f ca="1">IF(ISBLANK(OFFSET($AP$2,T30,0)),"",OFFSET($AR$2,T30,0)-OFFSET($AX$2,T30,0))</f>
        <v/>
      </c>
      <c r="W34" s="2537"/>
      <c r="X34" s="2538" t="str">
        <f ca="1">IF(ISBLANK(OFFSET($AP$2,X30,0)),"",OFFSET($AR$2,X30,0))</f>
        <v/>
      </c>
      <c r="Y34" s="2539"/>
      <c r="Z34" s="2536" t="str">
        <f ca="1">IF(ISBLANK(OFFSET($AP$2,X30,0)),"",OFFSET($AR$2,X30,0)-OFFSET($AX$2,X30,0))</f>
        <v/>
      </c>
      <c r="AA34" s="2537"/>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40" t="s">
        <v>438</v>
      </c>
      <c r="C35" s="2541"/>
      <c r="D35" s="2538" t="str">
        <f ca="1">IF(ISBLANK(OFFSET($AP$2,D30,0)),"",OFFSET($AS$2,D30,0))</f>
        <v/>
      </c>
      <c r="E35" s="2539"/>
      <c r="F35" s="2536" t="str">
        <f ca="1">IF(ISBLANK(OFFSET($AP$2,D30,0)),"",OFFSET($AS$2,D30,0)-OFFSET($AY$2,D30,0))</f>
        <v/>
      </c>
      <c r="G35" s="2537"/>
      <c r="H35" s="2538" t="str">
        <f ca="1">IF(ISBLANK(OFFSET($AP$2,H30,0)),"",OFFSET($AS$2,H30,0))</f>
        <v/>
      </c>
      <c r="I35" s="2539"/>
      <c r="J35" s="2536" t="str">
        <f ca="1">IF(ISBLANK(OFFSET($AP$2,H30,0)),"",OFFSET($AS$2,H30,0)-OFFSET($AY$2,H30,0))</f>
        <v/>
      </c>
      <c r="K35" s="2537"/>
      <c r="L35" s="2538" t="str">
        <f ca="1">IF(ISBLANK(OFFSET($AP$2,L30,0)),"",OFFSET($AS$2,L30,0))</f>
        <v/>
      </c>
      <c r="M35" s="2539"/>
      <c r="N35" s="2536" t="str">
        <f ca="1">IF(ISBLANK(OFFSET($AP$2,L30,0)),"",OFFSET($AS$2,L30,0)-OFFSET($AY$2,L30,0))</f>
        <v/>
      </c>
      <c r="O35" s="2537"/>
      <c r="P35" s="2538" t="str">
        <f ca="1">IF(ISBLANK(OFFSET($AP$2,P30,0)),"",OFFSET($AS$2,P30,0))</f>
        <v/>
      </c>
      <c r="Q35" s="2539"/>
      <c r="R35" s="2536" t="str">
        <f ca="1">IF(ISBLANK(OFFSET($AP$2,P30,0)),"",OFFSET($AS$2,P30,0)-OFFSET($AY$2,P30,0))</f>
        <v/>
      </c>
      <c r="S35" s="2537"/>
      <c r="T35" s="2538" t="str">
        <f ca="1">IF(ISBLANK(OFFSET($AP$2,T30,0)),"",OFFSET($AS$2,T30,0))</f>
        <v/>
      </c>
      <c r="U35" s="2539"/>
      <c r="V35" s="2536" t="str">
        <f ca="1">IF(ISBLANK(OFFSET($AP$2,T30,0)),"",OFFSET($AS$2,T30,0)-OFFSET($AY$2,T30,0))</f>
        <v/>
      </c>
      <c r="W35" s="2537"/>
      <c r="X35" s="2538" t="str">
        <f ca="1">IF(ISBLANK(OFFSET($AP$2,X30,0)),"",OFFSET($AS$2,X30,0))</f>
        <v/>
      </c>
      <c r="Y35" s="2539"/>
      <c r="Z35" s="2536" t="str">
        <f ca="1">IF(ISBLANK(OFFSET($AP$2,X30,0)),"",OFFSET($AS$2,X30,0)-OFFSET($AY$2,X30,0))</f>
        <v/>
      </c>
      <c r="AA35" s="2537"/>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40" t="s">
        <v>75</v>
      </c>
      <c r="C36" s="2541"/>
      <c r="D36" s="2538" t="str">
        <f ca="1">IF(ISBLANK(OFFSET($AP$2,D30,0)),"",OFFSET($AT$2,D30,0))</f>
        <v/>
      </c>
      <c r="E36" s="2539"/>
      <c r="F36" s="2536" t="str">
        <f ca="1">IF(ISBLANK(OFFSET($AP$2,D30,0)),"",OFFSET($AT$2,D30,0)-OFFSET($AZ$2,D30,0))</f>
        <v/>
      </c>
      <c r="G36" s="2537"/>
      <c r="H36" s="2538" t="str">
        <f ca="1">IF(ISBLANK(OFFSET($AP$2,H30,0)),"",OFFSET($AT$2,H30,0))</f>
        <v/>
      </c>
      <c r="I36" s="2539"/>
      <c r="J36" s="2536" t="str">
        <f ca="1">IF(ISBLANK(OFFSET($AP$2,H30,0)),"",OFFSET($AT$2,H30,0)-OFFSET($AZ$2,H30,0))</f>
        <v/>
      </c>
      <c r="K36" s="2537"/>
      <c r="L36" s="2538" t="str">
        <f ca="1">IF(ISBLANK(OFFSET($AP$2,L30,0)),"",OFFSET($AT$2,L30,0))</f>
        <v/>
      </c>
      <c r="M36" s="2539"/>
      <c r="N36" s="2536" t="str">
        <f ca="1">IF(ISBLANK(OFFSET($AP$2,L30,0)),"",OFFSET($AT$2,L30,0)-OFFSET($AZ$2,L30,0))</f>
        <v/>
      </c>
      <c r="O36" s="2537"/>
      <c r="P36" s="2538" t="str">
        <f ca="1">IF(ISBLANK(OFFSET($AP$2,P30,0)),"",OFFSET($AT$2,P30,0))</f>
        <v/>
      </c>
      <c r="Q36" s="2539"/>
      <c r="R36" s="2536" t="str">
        <f ca="1">IF(ISBLANK(OFFSET($AP$2,P30,0)),"",OFFSET($AT$2,P30,0)-OFFSET($AZ$2,P30,0))</f>
        <v/>
      </c>
      <c r="S36" s="2537"/>
      <c r="T36" s="2538" t="str">
        <f ca="1">IF(ISBLANK(OFFSET($AP$2,T30,0)),"",OFFSET($AT$2,T30,0))</f>
        <v/>
      </c>
      <c r="U36" s="2539"/>
      <c r="V36" s="2536" t="str">
        <f ca="1">IF(ISBLANK(OFFSET($AP$2,T30,0)),"",OFFSET($AT$2,T30,0)-OFFSET($AZ$2,T30,0))</f>
        <v/>
      </c>
      <c r="W36" s="2537"/>
      <c r="X36" s="2538" t="str">
        <f ca="1">IF(ISBLANK(OFFSET($AP$2,X30,0)),"",OFFSET($AT$2,X30,0))</f>
        <v/>
      </c>
      <c r="Y36" s="2539"/>
      <c r="Z36" s="2536" t="str">
        <f ca="1">IF(ISBLANK(OFFSET($AP$2,X30,0)),"",OFFSET($AT$2,X30,0)-OFFSET($AZ$2,X30,0))</f>
        <v/>
      </c>
      <c r="AA36" s="2537"/>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56" t="s">
        <v>439</v>
      </c>
      <c r="C37" s="2557"/>
      <c r="D37" s="2549" t="str">
        <f ca="1">IF(ISBLANK(OFFSET($AP$2,D30,0)),"",OFFSET($AV$2,D30,0))</f>
        <v/>
      </c>
      <c r="E37" s="2550"/>
      <c r="F37" s="2551" t="str">
        <f ca="1">IF(ISBLANK(OFFSET($AP$2,D30,0)),"",OFFSET($AV$2,D30,0)-OFFSET($BB$2,D30,0))</f>
        <v/>
      </c>
      <c r="G37" s="2552"/>
      <c r="H37" s="2549" t="str">
        <f ca="1">IF(ISBLANK(OFFSET($AP$2,H30,0)),"",OFFSET($AV$2,H30,0))</f>
        <v/>
      </c>
      <c r="I37" s="2550"/>
      <c r="J37" s="2551" t="str">
        <f ca="1">IF(ISBLANK(OFFSET($AP$2,H30,0)),"",OFFSET($AV$2,H30,0)-OFFSET($BB$2,H30,0))</f>
        <v/>
      </c>
      <c r="K37" s="2552"/>
      <c r="L37" s="2549" t="str">
        <f ca="1">IF(ISBLANK(OFFSET($AP$2,L30,0)),"",OFFSET($AV$2,L30,0))</f>
        <v/>
      </c>
      <c r="M37" s="2550"/>
      <c r="N37" s="2551" t="str">
        <f ca="1">IF(ISBLANK(OFFSET($AP$2,L30,0)),"",OFFSET($AV$2,L30,0)-OFFSET($BB$2,L30,0))</f>
        <v/>
      </c>
      <c r="O37" s="2552"/>
      <c r="P37" s="2549" t="str">
        <f ca="1">IF(ISBLANK(OFFSET($AP$2,P30,0)),"",OFFSET($AV$2,P30,0))</f>
        <v/>
      </c>
      <c r="Q37" s="2550"/>
      <c r="R37" s="2551" t="str">
        <f ca="1">IF(ISBLANK(OFFSET($AP$2,P30,0)),"",OFFSET($AV$2,P30,0)-OFFSET($BB$2,P30,0))</f>
        <v/>
      </c>
      <c r="S37" s="2552"/>
      <c r="T37" s="2549" t="str">
        <f ca="1">IF(ISBLANK(OFFSET($AP$2,T30,0)),"",OFFSET($AV$2,T30,0))</f>
        <v/>
      </c>
      <c r="U37" s="2550"/>
      <c r="V37" s="2551" t="str">
        <f ca="1">IF(ISBLANK(OFFSET($AP$2,T30,0)),"",OFFSET($AV$2,T30,0)-OFFSET($BB$2,T30,0))</f>
        <v/>
      </c>
      <c r="W37" s="2552"/>
      <c r="X37" s="2549" t="str">
        <f ca="1">IF(ISBLANK(OFFSET($AP$2,X30,0)),"",OFFSET($AV$2,X30,0))</f>
        <v/>
      </c>
      <c r="Y37" s="2550"/>
      <c r="Z37" s="2551" t="str">
        <f ca="1">IF(ISBLANK(OFFSET($AP$2,X30,0)),"",OFFSET($AV$2,X30,0)-OFFSET($BB$2,X30,0))</f>
        <v/>
      </c>
      <c r="AA37" s="2552"/>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53" t="str">
        <f ca="1">IF(ISBLANK(OFFSET($AP$2,D38,0)),"",CONCATENATE("Seq. ",OFFSET($AP$2,D38,0)))</f>
        <v/>
      </c>
      <c r="E39" s="2554"/>
      <c r="F39" s="2554"/>
      <c r="G39" s="2555"/>
      <c r="H39" s="2553" t="str">
        <f ca="1">IF(ISBLANK(OFFSET($AP$2,H38,0)),"",CONCATENATE("Seq. ",OFFSET($AP$2,H38,0)))</f>
        <v/>
      </c>
      <c r="I39" s="2554"/>
      <c r="J39" s="2554"/>
      <c r="K39" s="2555"/>
      <c r="L39" s="2553" t="str">
        <f ca="1">IF(ISBLANK(OFFSET($AP$2,L38,0)),"",CONCATENATE("Seq. ",OFFSET($AP$2,L38,0)))</f>
        <v/>
      </c>
      <c r="M39" s="2554"/>
      <c r="N39" s="2554"/>
      <c r="O39" s="2555"/>
      <c r="P39" s="2553" t="str">
        <f ca="1">IF(ISBLANK(OFFSET($AP$2,P38,0)),"",CONCATENATE("Seq. ",OFFSET($AP$2,P38,0)))</f>
        <v/>
      </c>
      <c r="Q39" s="2554"/>
      <c r="R39" s="2554"/>
      <c r="S39" s="2555"/>
      <c r="T39" s="2553" t="str">
        <f ca="1">IF(ISBLANK(OFFSET($AP$2,T38,0)),"",CONCATENATE("Seq. ",OFFSET($AP$2,T38,0)))</f>
        <v/>
      </c>
      <c r="U39" s="2554"/>
      <c r="V39" s="2554"/>
      <c r="W39" s="2555"/>
      <c r="X39" s="2553" t="str">
        <f ca="1">IF(ISBLANK(OFFSET($AP$2,X38,0)),"",CONCATENATE("Seq. ",OFFSET($AP$2,X38,0)))</f>
        <v/>
      </c>
      <c r="Y39" s="2554"/>
      <c r="Z39" s="2554"/>
      <c r="AA39" s="2555"/>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42" t="s">
        <v>440</v>
      </c>
      <c r="E40" s="2543"/>
      <c r="F40" s="2543" t="s">
        <v>441</v>
      </c>
      <c r="G40" s="2544"/>
      <c r="H40" s="2542" t="s">
        <v>440</v>
      </c>
      <c r="I40" s="2543"/>
      <c r="J40" s="2543" t="s">
        <v>441</v>
      </c>
      <c r="K40" s="2544"/>
      <c r="L40" s="2542" t="s">
        <v>440</v>
      </c>
      <c r="M40" s="2543"/>
      <c r="N40" s="2543" t="s">
        <v>441</v>
      </c>
      <c r="O40" s="2544"/>
      <c r="P40" s="2542" t="s">
        <v>440</v>
      </c>
      <c r="Q40" s="2543"/>
      <c r="R40" s="2543" t="s">
        <v>441</v>
      </c>
      <c r="S40" s="2544"/>
      <c r="T40" s="2542" t="s">
        <v>440</v>
      </c>
      <c r="U40" s="2543"/>
      <c r="V40" s="2543" t="s">
        <v>441</v>
      </c>
      <c r="W40" s="2544"/>
      <c r="X40" s="2542" t="s">
        <v>440</v>
      </c>
      <c r="Y40" s="2543"/>
      <c r="Z40" s="2543" t="s">
        <v>441</v>
      </c>
      <c r="AA40" s="2544"/>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47" t="s">
        <v>73</v>
      </c>
      <c r="C41" s="2548"/>
      <c r="D41" s="2538" t="str">
        <f ca="1">IF(ISBLANK(OFFSET($AP$2,D38,0)),"",OFFSET($AQ$2,D38,0)+OFFSET($AU$2,D38,0))</f>
        <v/>
      </c>
      <c r="E41" s="2539"/>
      <c r="F41" s="2536" t="str">
        <f ca="1">IF(ISBLANK(OFFSET($AP$2,D38,0)),"",(OFFSET($AQ$2,D38,0)+OFFSET($AU$2,D38,0))-(OFFSET($AW$2,D38,0)+OFFSET($BA$2,D38,0)))</f>
        <v/>
      </c>
      <c r="G41" s="2537"/>
      <c r="H41" s="2538" t="str">
        <f ca="1">IF(ISBLANK(OFFSET($AP$2,H38,0)),"",OFFSET($AQ$2,H38,0)+OFFSET($AU$2,H38,0))</f>
        <v/>
      </c>
      <c r="I41" s="2539"/>
      <c r="J41" s="2536" t="str">
        <f ca="1">IF(ISBLANK(OFFSET($AP$2,H38,0)),"",(OFFSET($AQ$2,H38,0)+OFFSET($AU$2,H38,0))-(OFFSET($AW$2,H38,0)+OFFSET($BA$2,H38,0)))</f>
        <v/>
      </c>
      <c r="K41" s="2537"/>
      <c r="L41" s="2538" t="str">
        <f ca="1">IF(ISBLANK(OFFSET($AP$2,L38,0)),"",OFFSET($AQ$2,L38,0)+OFFSET($AU$2,L38,0))</f>
        <v/>
      </c>
      <c r="M41" s="2539"/>
      <c r="N41" s="2536" t="str">
        <f ca="1">IF(ISBLANK(OFFSET($AP$2,L38,0)),"",(OFFSET($AQ$2,L38,0)+OFFSET($AU$2,L38,0))-(OFFSET($AW$2,L38,0)+OFFSET($BA$2,L38,0)))</f>
        <v/>
      </c>
      <c r="O41" s="2537"/>
      <c r="P41" s="2538" t="str">
        <f ca="1">IF(ISBLANK(OFFSET($AP$2,P38,0)),"",OFFSET($AQ$2,P38,0)+OFFSET($AU$2,P38,0))</f>
        <v/>
      </c>
      <c r="Q41" s="2539"/>
      <c r="R41" s="2536" t="str">
        <f ca="1">IF(ISBLANK(OFFSET($AP$2,P38,0)),"",(OFFSET($AQ$2,P38,0)+OFFSET($AU$2,P38,0))-(OFFSET($AW$2,P38,0)+OFFSET($BA$2,P38,0)))</f>
        <v/>
      </c>
      <c r="S41" s="2537"/>
      <c r="T41" s="2538" t="str">
        <f ca="1">IF(ISBLANK(OFFSET($AP$2,T38,0)),"",OFFSET($AQ$2,T38,0)+OFFSET($AU$2,T38,0))</f>
        <v/>
      </c>
      <c r="U41" s="2539"/>
      <c r="V41" s="2536" t="str">
        <f ca="1">IF(ISBLANK(OFFSET($AP$2,T38,0)),"",(OFFSET($AQ$2,T38,0)+OFFSET($AU$2,T38,0))-(OFFSET($AW$2,T38,0)+OFFSET($BA$2,T38,0)))</f>
        <v/>
      </c>
      <c r="W41" s="2537"/>
      <c r="X41" s="2538" t="str">
        <f ca="1">IF(ISBLANK(OFFSET($AP$2,X38,0)),"",OFFSET($AQ$2,X38,0)+OFFSET($AU$2,X38,0))</f>
        <v/>
      </c>
      <c r="Y41" s="2539"/>
      <c r="Z41" s="2536" t="str">
        <f ca="1">IF(ISBLANK(OFFSET($AP$2,X38,0)),"",(OFFSET($AQ$2,X38,0)+OFFSET($AU$2,X38,0))-(OFFSET($AW$2,X38,0)+OFFSET($BA$2,X38,0)))</f>
        <v/>
      </c>
      <c r="AA41" s="2537"/>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40" t="s">
        <v>437</v>
      </c>
      <c r="C42" s="2541"/>
      <c r="D42" s="2538" t="str">
        <f ca="1">IF(ISBLANK(OFFSET($AP$2,D38,0)),"",OFFSET($AR$2,D38,0))</f>
        <v/>
      </c>
      <c r="E42" s="2539"/>
      <c r="F42" s="2536" t="str">
        <f ca="1">IF(ISBLANK(OFFSET($AP$2,D38,0)),"",OFFSET($AR$2,D38,0)-OFFSET($AX$2,D38,0))</f>
        <v/>
      </c>
      <c r="G42" s="2537"/>
      <c r="H42" s="2538" t="str">
        <f ca="1">IF(ISBLANK(OFFSET($AP$2,H38,0)),"",OFFSET($AR$2,H38,0))</f>
        <v/>
      </c>
      <c r="I42" s="2539"/>
      <c r="J42" s="2536" t="str">
        <f ca="1">IF(ISBLANK(OFFSET($AP$2,H38,0)),"",OFFSET($AR$2,H38,0)-OFFSET($AX$2,H38,0))</f>
        <v/>
      </c>
      <c r="K42" s="2537"/>
      <c r="L42" s="2538" t="str">
        <f ca="1">IF(ISBLANK(OFFSET($AP$2,L38,0)),"",OFFSET($AR$2,L38,0))</f>
        <v/>
      </c>
      <c r="M42" s="2539"/>
      <c r="N42" s="2536" t="str">
        <f ca="1">IF(ISBLANK(OFFSET($AP$2,L38,0)),"",OFFSET($AR$2,L38,0)-OFFSET($AX$2,L38,0))</f>
        <v/>
      </c>
      <c r="O42" s="2537"/>
      <c r="P42" s="2538" t="str">
        <f ca="1">IF(ISBLANK(OFFSET($AP$2,P38,0)),"",OFFSET($AR$2,P38,0))</f>
        <v/>
      </c>
      <c r="Q42" s="2539"/>
      <c r="R42" s="2536" t="str">
        <f ca="1">IF(ISBLANK(OFFSET($AP$2,P38,0)),"",OFFSET($AR$2,P38,0)-OFFSET($AX$2,P38,0))</f>
        <v/>
      </c>
      <c r="S42" s="2537"/>
      <c r="T42" s="2538" t="str">
        <f ca="1">IF(ISBLANK(OFFSET($AP$2,T38,0)),"",OFFSET($AR$2,T38,0))</f>
        <v/>
      </c>
      <c r="U42" s="2539"/>
      <c r="V42" s="2536" t="str">
        <f ca="1">IF(ISBLANK(OFFSET($AP$2,T38,0)),"",OFFSET($AR$2,T38,0)-OFFSET($AX$2,T38,0))</f>
        <v/>
      </c>
      <c r="W42" s="2537"/>
      <c r="X42" s="2538" t="str">
        <f ca="1">IF(ISBLANK(OFFSET($AP$2,X38,0)),"",OFFSET($AR$2,X38,0))</f>
        <v/>
      </c>
      <c r="Y42" s="2539"/>
      <c r="Z42" s="2536" t="str">
        <f ca="1">IF(ISBLANK(OFFSET($AP$2,X38,0)),"",OFFSET($AR$2,X38,0)-OFFSET($AX$2,X38,0))</f>
        <v/>
      </c>
      <c r="AA42" s="2537"/>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40" t="s">
        <v>438</v>
      </c>
      <c r="C43" s="2541"/>
      <c r="D43" s="2538" t="str">
        <f ca="1">IF(ISBLANK(OFFSET($AP$2,D38,0)),"",OFFSET($AS$2,D38,0))</f>
        <v/>
      </c>
      <c r="E43" s="2539"/>
      <c r="F43" s="2536" t="str">
        <f ca="1">IF(ISBLANK(OFFSET($AP$2,D38,0)),"",OFFSET($AS$2,D38,0)-OFFSET($AY$2,D38,0))</f>
        <v/>
      </c>
      <c r="G43" s="2537"/>
      <c r="H43" s="2538" t="str">
        <f ca="1">IF(ISBLANK(OFFSET($AP$2,H38,0)),"",OFFSET($AS$2,H38,0))</f>
        <v/>
      </c>
      <c r="I43" s="2539"/>
      <c r="J43" s="2536" t="str">
        <f ca="1">IF(ISBLANK(OFFSET($AP$2,H38,0)),"",OFFSET($AS$2,H38,0)-OFFSET($AY$2,H38,0))</f>
        <v/>
      </c>
      <c r="K43" s="2537"/>
      <c r="L43" s="2538" t="str">
        <f ca="1">IF(ISBLANK(OFFSET($AP$2,L38,0)),"",OFFSET($AS$2,L38,0))</f>
        <v/>
      </c>
      <c r="M43" s="2539"/>
      <c r="N43" s="2536" t="str">
        <f ca="1">IF(ISBLANK(OFFSET($AP$2,L38,0)),"",OFFSET($AS$2,L38,0)-OFFSET($AY$2,L38,0))</f>
        <v/>
      </c>
      <c r="O43" s="2537"/>
      <c r="P43" s="2538" t="str">
        <f ca="1">IF(ISBLANK(OFFSET($AP$2,P38,0)),"",OFFSET($AS$2,P38,0))</f>
        <v/>
      </c>
      <c r="Q43" s="2539"/>
      <c r="R43" s="2536" t="str">
        <f ca="1">IF(ISBLANK(OFFSET($AP$2,P38,0)),"",OFFSET($AS$2,P38,0)-OFFSET($AY$2,P38,0))</f>
        <v/>
      </c>
      <c r="S43" s="2537"/>
      <c r="T43" s="2538" t="str">
        <f ca="1">IF(ISBLANK(OFFSET($AP$2,T38,0)),"",OFFSET($AS$2,T38,0))</f>
        <v/>
      </c>
      <c r="U43" s="2539"/>
      <c r="V43" s="2536" t="str">
        <f ca="1">IF(ISBLANK(OFFSET($AP$2,T38,0)),"",OFFSET($AS$2,T38,0)-OFFSET($AY$2,T38,0))</f>
        <v/>
      </c>
      <c r="W43" s="2537"/>
      <c r="X43" s="2538" t="str">
        <f ca="1">IF(ISBLANK(OFFSET($AP$2,X38,0)),"",OFFSET($AS$2,X38,0))</f>
        <v/>
      </c>
      <c r="Y43" s="2539"/>
      <c r="Z43" s="2536" t="str">
        <f ca="1">IF(ISBLANK(OFFSET($AP$2,X38,0)),"",OFFSET($AS$2,X38,0)-OFFSET($AY$2,X38,0))</f>
        <v/>
      </c>
      <c r="AA43" s="2537"/>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40" t="s">
        <v>75</v>
      </c>
      <c r="C44" s="2541"/>
      <c r="D44" s="2538" t="str">
        <f ca="1">IF(ISBLANK(OFFSET($AP$2,D38,0)),"",OFFSET($AT$2,D38,0))</f>
        <v/>
      </c>
      <c r="E44" s="2539"/>
      <c r="F44" s="2536" t="str">
        <f ca="1">IF(ISBLANK(OFFSET($AP$2,D38,0)),"",OFFSET($AT$2,D38,0)-OFFSET($AZ$2,D38,0))</f>
        <v/>
      </c>
      <c r="G44" s="2537"/>
      <c r="H44" s="2538" t="str">
        <f ca="1">IF(ISBLANK(OFFSET($AP$2,H38,0)),"",OFFSET($AT$2,H38,0))</f>
        <v/>
      </c>
      <c r="I44" s="2539"/>
      <c r="J44" s="2536" t="str">
        <f ca="1">IF(ISBLANK(OFFSET($AP$2,H38,0)),"",OFFSET($AT$2,H38,0)-OFFSET($AZ$2,H38,0))</f>
        <v/>
      </c>
      <c r="K44" s="2537"/>
      <c r="L44" s="2538" t="str">
        <f ca="1">IF(ISBLANK(OFFSET($AP$2,L38,0)),"",OFFSET($AT$2,L38,0))</f>
        <v/>
      </c>
      <c r="M44" s="2539"/>
      <c r="N44" s="2536" t="str">
        <f ca="1">IF(ISBLANK(OFFSET($AP$2,L38,0)),"",OFFSET($AT$2,L38,0)-OFFSET($AZ$2,L38,0))</f>
        <v/>
      </c>
      <c r="O44" s="2537"/>
      <c r="P44" s="2538" t="str">
        <f ca="1">IF(ISBLANK(OFFSET($AP$2,P38,0)),"",OFFSET($AT$2,P38,0))</f>
        <v/>
      </c>
      <c r="Q44" s="2539"/>
      <c r="R44" s="2536" t="str">
        <f ca="1">IF(ISBLANK(OFFSET($AP$2,P38,0)),"",OFFSET($AT$2,P38,0)-OFFSET($AZ$2,P38,0))</f>
        <v/>
      </c>
      <c r="S44" s="2537"/>
      <c r="T44" s="2538" t="str">
        <f ca="1">IF(ISBLANK(OFFSET($AP$2,T38,0)),"",OFFSET($AT$2,T38,0))</f>
        <v/>
      </c>
      <c r="U44" s="2539"/>
      <c r="V44" s="2536" t="str">
        <f ca="1">IF(ISBLANK(OFFSET($AP$2,T38,0)),"",OFFSET($AT$2,T38,0)-OFFSET($AZ$2,T38,0))</f>
        <v/>
      </c>
      <c r="W44" s="2537"/>
      <c r="X44" s="2538" t="str">
        <f ca="1">IF(ISBLANK(OFFSET($AP$2,X38,0)),"",OFFSET($AT$2,X38,0))</f>
        <v/>
      </c>
      <c r="Y44" s="2539"/>
      <c r="Z44" s="2536" t="str">
        <f ca="1">IF(ISBLANK(OFFSET($AP$2,X38,0)),"",OFFSET($AT$2,X38,0)-OFFSET($AZ$2,X38,0))</f>
        <v/>
      </c>
      <c r="AA44" s="2537"/>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56" t="s">
        <v>439</v>
      </c>
      <c r="C45" s="2557"/>
      <c r="D45" s="2549" t="str">
        <f ca="1">IF(ISBLANK(OFFSET($AP$2,D38,0)),"",OFFSET($AV$2,D38,0))</f>
        <v/>
      </c>
      <c r="E45" s="2550"/>
      <c r="F45" s="2551" t="str">
        <f ca="1">IF(ISBLANK(OFFSET($AP$2,D38,0)),"",OFFSET($AV$2,D38,0)-OFFSET($BB$2,D38,0))</f>
        <v/>
      </c>
      <c r="G45" s="2552"/>
      <c r="H45" s="2549" t="str">
        <f ca="1">IF(ISBLANK(OFFSET($AP$2,H38,0)),"",OFFSET($AV$2,H38,0))</f>
        <v/>
      </c>
      <c r="I45" s="2550"/>
      <c r="J45" s="2551" t="str">
        <f ca="1">IF(ISBLANK(OFFSET($AP$2,H38,0)),"",OFFSET($AV$2,H38,0)-OFFSET($BB$2,H38,0))</f>
        <v/>
      </c>
      <c r="K45" s="2552"/>
      <c r="L45" s="2549" t="str">
        <f ca="1">IF(ISBLANK(OFFSET($AP$2,L38,0)),"",OFFSET($AV$2,L38,0))</f>
        <v/>
      </c>
      <c r="M45" s="2550"/>
      <c r="N45" s="2551" t="str">
        <f ca="1">IF(ISBLANK(OFFSET($AP$2,L38,0)),"",OFFSET($AV$2,L38,0)-OFFSET($BB$2,L38,0))</f>
        <v/>
      </c>
      <c r="O45" s="2552"/>
      <c r="P45" s="2549" t="str">
        <f ca="1">IF(ISBLANK(OFFSET($AP$2,P38,0)),"",OFFSET($AV$2,P38,0))</f>
        <v/>
      </c>
      <c r="Q45" s="2550"/>
      <c r="R45" s="2551" t="str">
        <f ca="1">IF(ISBLANK(OFFSET($AP$2,P38,0)),"",OFFSET($AV$2,P38,0)-OFFSET($BB$2,P38,0))</f>
        <v/>
      </c>
      <c r="S45" s="2552"/>
      <c r="T45" s="2549" t="str">
        <f ca="1">IF(ISBLANK(OFFSET($AP$2,T38,0)),"",OFFSET($AV$2,T38,0))</f>
        <v/>
      </c>
      <c r="U45" s="2550"/>
      <c r="V45" s="2551" t="str">
        <f ca="1">IF(ISBLANK(OFFSET($AP$2,T38,0)),"",OFFSET($AV$2,T38,0)-OFFSET($BB$2,T38,0))</f>
        <v/>
      </c>
      <c r="W45" s="2552"/>
      <c r="X45" s="2549" t="str">
        <f ca="1">IF(ISBLANK(OFFSET($AP$2,X38,0)),"",OFFSET($AV$2,X38,0))</f>
        <v/>
      </c>
      <c r="Y45" s="2550"/>
      <c r="Z45" s="2551" t="str">
        <f ca="1">IF(ISBLANK(OFFSET($AP$2,X38,0)),"",OFFSET($AV$2,X38,0)-OFFSET($BB$2,X38,0))</f>
        <v/>
      </c>
      <c r="AA45" s="2552"/>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53" t="str">
        <f ca="1">IF(ISBLANK(OFFSET($AP$2,D46,0)),"",CONCATENATE("Seq. ",OFFSET($AP$2,D46,0)))</f>
        <v/>
      </c>
      <c r="E47" s="2554"/>
      <c r="F47" s="2554"/>
      <c r="G47" s="2555"/>
      <c r="H47" s="2553" t="str">
        <f ca="1">IF(ISBLANK(OFFSET($AP$2,H46,0)),"",CONCATENATE("Seq. ",OFFSET($AP$2,H46,0)))</f>
        <v/>
      </c>
      <c r="I47" s="2554"/>
      <c r="J47" s="2554"/>
      <c r="K47" s="2555"/>
      <c r="L47" s="2553" t="str">
        <f ca="1">IF(ISBLANK(OFFSET($AP$2,L46,0)),"",CONCATENATE("Seq. ",OFFSET($AP$2,L46,0)))</f>
        <v/>
      </c>
      <c r="M47" s="2554"/>
      <c r="N47" s="2554"/>
      <c r="O47" s="2555"/>
      <c r="P47" s="2553" t="str">
        <f ca="1">IF(ISBLANK(OFFSET($AP$2,P46,0)),"",CONCATENATE("Seq. ",OFFSET($AP$2,P46,0)))</f>
        <v/>
      </c>
      <c r="Q47" s="2554"/>
      <c r="R47" s="2554"/>
      <c r="S47" s="2555"/>
      <c r="T47" s="2553" t="str">
        <f ca="1">IF(ISBLANK(OFFSET($AP$2,T46,0)),"",CONCATENATE("Seq. ",OFFSET($AP$2,T46,0)))</f>
        <v/>
      </c>
      <c r="U47" s="2554"/>
      <c r="V47" s="2554"/>
      <c r="W47" s="2555"/>
      <c r="X47" s="2553" t="str">
        <f ca="1">IF(ISBLANK(OFFSET($AP$2,X46,0)),"",CONCATENATE("Seq. ",OFFSET($AP$2,X46,0)))</f>
        <v/>
      </c>
      <c r="Y47" s="2554"/>
      <c r="Z47" s="2554"/>
      <c r="AA47" s="2555"/>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42" t="s">
        <v>440</v>
      </c>
      <c r="E48" s="2543"/>
      <c r="F48" s="2543" t="s">
        <v>441</v>
      </c>
      <c r="G48" s="2544"/>
      <c r="H48" s="2542" t="s">
        <v>440</v>
      </c>
      <c r="I48" s="2543"/>
      <c r="J48" s="2543" t="s">
        <v>441</v>
      </c>
      <c r="K48" s="2544"/>
      <c r="L48" s="2542" t="s">
        <v>440</v>
      </c>
      <c r="M48" s="2543"/>
      <c r="N48" s="2543" t="s">
        <v>441</v>
      </c>
      <c r="O48" s="2544"/>
      <c r="P48" s="2542" t="s">
        <v>440</v>
      </c>
      <c r="Q48" s="2543"/>
      <c r="R48" s="2543" t="s">
        <v>441</v>
      </c>
      <c r="S48" s="2544"/>
      <c r="T48" s="2542" t="s">
        <v>440</v>
      </c>
      <c r="U48" s="2543"/>
      <c r="V48" s="2543" t="s">
        <v>441</v>
      </c>
      <c r="W48" s="2544"/>
      <c r="X48" s="2542" t="s">
        <v>440</v>
      </c>
      <c r="Y48" s="2543"/>
      <c r="Z48" s="2543" t="s">
        <v>441</v>
      </c>
      <c r="AA48" s="2544"/>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47" t="s">
        <v>73</v>
      </c>
      <c r="C49" s="2548"/>
      <c r="D49" s="2538" t="str">
        <f ca="1">IF(ISBLANK(OFFSET($AP$2,D46,0)),"",OFFSET($AQ$2,D46,0)+OFFSET($AU$2,D46,0))</f>
        <v/>
      </c>
      <c r="E49" s="2539"/>
      <c r="F49" s="2536" t="str">
        <f ca="1">IF(ISBLANK(OFFSET($AP$2,D46,0)),"",(OFFSET($AQ$2,D46,0)+OFFSET($AU$2,D46,0))-(OFFSET($AW$2,D46,0)+OFFSET($BA$2,D46,0)))</f>
        <v/>
      </c>
      <c r="G49" s="2537"/>
      <c r="H49" s="2538" t="str">
        <f ca="1">IF(ISBLANK(OFFSET($AP$2,H46,0)),"",OFFSET($AQ$2,H46,0)+OFFSET($AU$2,H46,0))</f>
        <v/>
      </c>
      <c r="I49" s="2539"/>
      <c r="J49" s="2536" t="str">
        <f ca="1">IF(ISBLANK(OFFSET($AP$2,H46,0)),"",(OFFSET($AQ$2,H46,0)+OFFSET($AU$2,H46,0))-(OFFSET($AW$2,H46,0)+OFFSET($BA$2,H46,0)))</f>
        <v/>
      </c>
      <c r="K49" s="2537"/>
      <c r="L49" s="2538" t="str">
        <f ca="1">IF(ISBLANK(OFFSET($AP$2,L46,0)),"",OFFSET($AQ$2,L46,0)+OFFSET($AU$2,L46,0))</f>
        <v/>
      </c>
      <c r="M49" s="2539"/>
      <c r="N49" s="2536" t="str">
        <f ca="1">IF(ISBLANK(OFFSET($AP$2,L46,0)),"",(OFFSET($AQ$2,L46,0)+OFFSET($AU$2,L46,0))-(OFFSET($AW$2,L46,0)+OFFSET($BA$2,L46,0)))</f>
        <v/>
      </c>
      <c r="O49" s="2537"/>
      <c r="P49" s="2538" t="str">
        <f ca="1">IF(ISBLANK(OFFSET($AP$2,P46,0)),"",OFFSET($AQ$2,P46,0)+OFFSET($AU$2,P46,0))</f>
        <v/>
      </c>
      <c r="Q49" s="2539"/>
      <c r="R49" s="2536" t="str">
        <f ca="1">IF(ISBLANK(OFFSET($AP$2,P46,0)),"",(OFFSET($AQ$2,P46,0)+OFFSET($AU$2,P46,0))-(OFFSET($AW$2,P46,0)+OFFSET($BA$2,P46,0)))</f>
        <v/>
      </c>
      <c r="S49" s="2537"/>
      <c r="T49" s="2538" t="str">
        <f ca="1">IF(ISBLANK(OFFSET($AP$2,T46,0)),"",OFFSET($AQ$2,T46,0)+OFFSET($AU$2,T46,0))</f>
        <v/>
      </c>
      <c r="U49" s="2539"/>
      <c r="V49" s="2536" t="str">
        <f ca="1">IF(ISBLANK(OFFSET($AP$2,T46,0)),"",(OFFSET($AQ$2,T46,0)+OFFSET($AU$2,T46,0))-(OFFSET($AW$2,T46,0)+OFFSET($BA$2,T46,0)))</f>
        <v/>
      </c>
      <c r="W49" s="2537"/>
      <c r="X49" s="2538" t="str">
        <f ca="1">IF(ISBLANK(OFFSET($AP$2,X46,0)),"",OFFSET($AQ$2,X46,0)+OFFSET($AU$2,X46,0))</f>
        <v/>
      </c>
      <c r="Y49" s="2539"/>
      <c r="Z49" s="2536" t="str">
        <f ca="1">IF(ISBLANK(OFFSET($AP$2,X46,0)),"",(OFFSET($AQ$2,X46,0)+OFFSET($AU$2,X46,0))-(OFFSET($AW$2,X46,0)+OFFSET($BA$2,X46,0)))</f>
        <v/>
      </c>
      <c r="AA49" s="2537"/>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40" t="s">
        <v>437</v>
      </c>
      <c r="C50" s="2541"/>
      <c r="D50" s="2538" t="str">
        <f ca="1">IF(ISBLANK(OFFSET($AP$2,D46,0)),"",OFFSET($AR$2,D46,0))</f>
        <v/>
      </c>
      <c r="E50" s="2539"/>
      <c r="F50" s="2536" t="str">
        <f ca="1">IF(ISBLANK(OFFSET($AP$2,D46,0)),"",OFFSET($AR$2,D46,0)-OFFSET($AX$2,D46,0))</f>
        <v/>
      </c>
      <c r="G50" s="2537"/>
      <c r="H50" s="2538" t="str">
        <f ca="1">IF(ISBLANK(OFFSET($AP$2,H46,0)),"",OFFSET($AR$2,H46,0))</f>
        <v/>
      </c>
      <c r="I50" s="2539"/>
      <c r="J50" s="2536" t="str">
        <f ca="1">IF(ISBLANK(OFFSET($AP$2,H46,0)),"",OFFSET($AR$2,H46,0)-OFFSET($AX$2,H46,0))</f>
        <v/>
      </c>
      <c r="K50" s="2537"/>
      <c r="L50" s="2538" t="str">
        <f ca="1">IF(ISBLANK(OFFSET($AP$2,L46,0)),"",OFFSET($AR$2,L46,0))</f>
        <v/>
      </c>
      <c r="M50" s="2539"/>
      <c r="N50" s="2536" t="str">
        <f ca="1">IF(ISBLANK(OFFSET($AP$2,L46,0)),"",OFFSET($AR$2,L46,0)-OFFSET($AX$2,L46,0))</f>
        <v/>
      </c>
      <c r="O50" s="2537"/>
      <c r="P50" s="2538" t="str">
        <f ca="1">IF(ISBLANK(OFFSET($AP$2,P46,0)),"",OFFSET($AR$2,P46,0))</f>
        <v/>
      </c>
      <c r="Q50" s="2539"/>
      <c r="R50" s="2536" t="str">
        <f ca="1">IF(ISBLANK(OFFSET($AP$2,P46,0)),"",OFFSET($AR$2,P46,0)-OFFSET($AX$2,P46,0))</f>
        <v/>
      </c>
      <c r="S50" s="2537"/>
      <c r="T50" s="2538" t="str">
        <f ca="1">IF(ISBLANK(OFFSET($AP$2,T46,0)),"",OFFSET($AR$2,T46,0))</f>
        <v/>
      </c>
      <c r="U50" s="2539"/>
      <c r="V50" s="2536" t="str">
        <f ca="1">IF(ISBLANK(OFFSET($AP$2,T46,0)),"",OFFSET($AR$2,T46,0)-OFFSET($AX$2,T46,0))</f>
        <v/>
      </c>
      <c r="W50" s="2537"/>
      <c r="X50" s="2538" t="str">
        <f ca="1">IF(ISBLANK(OFFSET($AP$2,X46,0)),"",OFFSET($AR$2,X46,0))</f>
        <v/>
      </c>
      <c r="Y50" s="2539"/>
      <c r="Z50" s="2536" t="str">
        <f ca="1">IF(ISBLANK(OFFSET($AP$2,X46,0)),"",OFFSET($AR$2,X46,0)-OFFSET($AX$2,X46,0))</f>
        <v/>
      </c>
      <c r="AA50" s="2537"/>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40" t="s">
        <v>438</v>
      </c>
      <c r="C51" s="2541"/>
      <c r="D51" s="2538" t="str">
        <f ca="1">IF(ISBLANK(OFFSET($AP$2,D46,0)),"",OFFSET($AS$2,D46,0))</f>
        <v/>
      </c>
      <c r="E51" s="2539"/>
      <c r="F51" s="2536" t="str">
        <f ca="1">IF(ISBLANK(OFFSET($AP$2,D46,0)),"",OFFSET($AS$2,D46,0)-OFFSET($AY$2,D46,0))</f>
        <v/>
      </c>
      <c r="G51" s="2537"/>
      <c r="H51" s="2538" t="str">
        <f ca="1">IF(ISBLANK(OFFSET($AP$2,H46,0)),"",OFFSET($AS$2,H46,0))</f>
        <v/>
      </c>
      <c r="I51" s="2539"/>
      <c r="J51" s="2536" t="str">
        <f ca="1">IF(ISBLANK(OFFSET($AP$2,H46,0)),"",OFFSET($AS$2,H46,0)-OFFSET($AY$2,H46,0))</f>
        <v/>
      </c>
      <c r="K51" s="2537"/>
      <c r="L51" s="2538" t="str">
        <f ca="1">IF(ISBLANK(OFFSET($AP$2,L46,0)),"",OFFSET($AS$2,L46,0))</f>
        <v/>
      </c>
      <c r="M51" s="2539"/>
      <c r="N51" s="2536" t="str">
        <f ca="1">IF(ISBLANK(OFFSET($AP$2,L46,0)),"",OFFSET($AS$2,L46,0)-OFFSET($AY$2,L46,0))</f>
        <v/>
      </c>
      <c r="O51" s="2537"/>
      <c r="P51" s="2538" t="str">
        <f ca="1">IF(ISBLANK(OFFSET($AP$2,P46,0)),"",OFFSET($AS$2,P46,0))</f>
        <v/>
      </c>
      <c r="Q51" s="2539"/>
      <c r="R51" s="2536" t="str">
        <f ca="1">IF(ISBLANK(OFFSET($AP$2,P46,0)),"",OFFSET($AS$2,P46,0)-OFFSET($AY$2,P46,0))</f>
        <v/>
      </c>
      <c r="S51" s="2537"/>
      <c r="T51" s="2538" t="str">
        <f ca="1">IF(ISBLANK(OFFSET($AP$2,T46,0)),"",OFFSET($AS$2,T46,0))</f>
        <v/>
      </c>
      <c r="U51" s="2539"/>
      <c r="V51" s="2536" t="str">
        <f ca="1">IF(ISBLANK(OFFSET($AP$2,T46,0)),"",OFFSET($AS$2,T46,0)-OFFSET($AY$2,T46,0))</f>
        <v/>
      </c>
      <c r="W51" s="2537"/>
      <c r="X51" s="2538" t="str">
        <f ca="1">IF(ISBLANK(OFFSET($AP$2,X46,0)),"",OFFSET($AS$2,X46,0))</f>
        <v/>
      </c>
      <c r="Y51" s="2539"/>
      <c r="Z51" s="2536" t="str">
        <f ca="1">IF(ISBLANK(OFFSET($AP$2,X46,0)),"",OFFSET($AS$2,X46,0)-OFFSET($AY$2,X46,0))</f>
        <v/>
      </c>
      <c r="AA51" s="2537"/>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40" t="s">
        <v>75</v>
      </c>
      <c r="C52" s="2541"/>
      <c r="D52" s="2538" t="str">
        <f ca="1">IF(ISBLANK(OFFSET($AP$2,D46,0)),"",OFFSET($AT$2,D46,0))</f>
        <v/>
      </c>
      <c r="E52" s="2539"/>
      <c r="F52" s="2536" t="str">
        <f ca="1">IF(ISBLANK(OFFSET($AP$2,D46,0)),"",OFFSET($AT$2,D46,0)-OFFSET($AZ$2,D46,0))</f>
        <v/>
      </c>
      <c r="G52" s="2537"/>
      <c r="H52" s="2538" t="str">
        <f ca="1">IF(ISBLANK(OFFSET($AP$2,H46,0)),"",OFFSET($AT$2,H46,0))</f>
        <v/>
      </c>
      <c r="I52" s="2539"/>
      <c r="J52" s="2536" t="str">
        <f ca="1">IF(ISBLANK(OFFSET($AP$2,H46,0)),"",OFFSET($AT$2,H46,0)-OFFSET($AZ$2,H46,0))</f>
        <v/>
      </c>
      <c r="K52" s="2537"/>
      <c r="L52" s="2538" t="str">
        <f ca="1">IF(ISBLANK(OFFSET($AP$2,L46,0)),"",OFFSET($AT$2,L46,0))</f>
        <v/>
      </c>
      <c r="M52" s="2539"/>
      <c r="N52" s="2536" t="str">
        <f ca="1">IF(ISBLANK(OFFSET($AP$2,L46,0)),"",OFFSET($AT$2,L46,0)-OFFSET($AZ$2,L46,0))</f>
        <v/>
      </c>
      <c r="O52" s="2537"/>
      <c r="P52" s="2538" t="str">
        <f ca="1">IF(ISBLANK(OFFSET($AP$2,P46,0)),"",OFFSET($AT$2,P46,0))</f>
        <v/>
      </c>
      <c r="Q52" s="2539"/>
      <c r="R52" s="2536" t="str">
        <f ca="1">IF(ISBLANK(OFFSET($AP$2,P46,0)),"",OFFSET($AT$2,P46,0)-OFFSET($AZ$2,P46,0))</f>
        <v/>
      </c>
      <c r="S52" s="2537"/>
      <c r="T52" s="2538" t="str">
        <f ca="1">IF(ISBLANK(OFFSET($AP$2,T46,0)),"",OFFSET($AT$2,T46,0))</f>
        <v/>
      </c>
      <c r="U52" s="2539"/>
      <c r="V52" s="2536" t="str">
        <f ca="1">IF(ISBLANK(OFFSET($AP$2,T46,0)),"",OFFSET($AT$2,T46,0)-OFFSET($AZ$2,T46,0))</f>
        <v/>
      </c>
      <c r="W52" s="2537"/>
      <c r="X52" s="2538" t="str">
        <f ca="1">IF(ISBLANK(OFFSET($AP$2,X46,0)),"",OFFSET($AT$2,X46,0))</f>
        <v/>
      </c>
      <c r="Y52" s="2539"/>
      <c r="Z52" s="2536" t="str">
        <f ca="1">IF(ISBLANK(OFFSET($AP$2,X46,0)),"",OFFSET($AT$2,X46,0)-OFFSET($AZ$2,X46,0))</f>
        <v/>
      </c>
      <c r="AA52" s="2537"/>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56" t="s">
        <v>439</v>
      </c>
      <c r="C53" s="2557"/>
      <c r="D53" s="2549" t="str">
        <f ca="1">IF(ISBLANK(OFFSET($AP$2,D46,0)),"",OFFSET($AV$2,D46,0))</f>
        <v/>
      </c>
      <c r="E53" s="2550"/>
      <c r="F53" s="2551" t="str">
        <f ca="1">IF(ISBLANK(OFFSET($AP$2,D46,0)),"",OFFSET($AV$2,D46,0)-OFFSET($BB$2,D46,0))</f>
        <v/>
      </c>
      <c r="G53" s="2552"/>
      <c r="H53" s="2549" t="str">
        <f ca="1">IF(ISBLANK(OFFSET($AP$2,H46,0)),"",OFFSET($AV$2,H46,0))</f>
        <v/>
      </c>
      <c r="I53" s="2550"/>
      <c r="J53" s="2551" t="str">
        <f ca="1">IF(ISBLANK(OFFSET($AP$2,H46,0)),"",OFFSET($AV$2,H46,0)-OFFSET($BB$2,H46,0))</f>
        <v/>
      </c>
      <c r="K53" s="2552"/>
      <c r="L53" s="2549" t="str">
        <f ca="1">IF(ISBLANK(OFFSET($AP$2,L46,0)),"",OFFSET($AV$2,L46,0))</f>
        <v/>
      </c>
      <c r="M53" s="2550"/>
      <c r="N53" s="2551" t="str">
        <f ca="1">IF(ISBLANK(OFFSET($AP$2,L46,0)),"",OFFSET($AV$2,L46,0)-OFFSET($BB$2,L46,0))</f>
        <v/>
      </c>
      <c r="O53" s="2552"/>
      <c r="P53" s="2549" t="str">
        <f ca="1">IF(ISBLANK(OFFSET($AP$2,P46,0)),"",OFFSET($AV$2,P46,0))</f>
        <v/>
      </c>
      <c r="Q53" s="2550"/>
      <c r="R53" s="2551" t="str">
        <f ca="1">IF(ISBLANK(OFFSET($AP$2,P46,0)),"",OFFSET($AV$2,P46,0)-OFFSET($BB$2,P46,0))</f>
        <v/>
      </c>
      <c r="S53" s="2552"/>
      <c r="T53" s="2549" t="str">
        <f ca="1">IF(ISBLANK(OFFSET($AP$2,T46,0)),"",OFFSET($AV$2,T46,0))</f>
        <v/>
      </c>
      <c r="U53" s="2550"/>
      <c r="V53" s="2551" t="str">
        <f ca="1">IF(ISBLANK(OFFSET($AP$2,T46,0)),"",OFFSET($AV$2,T46,0)-OFFSET($BB$2,T46,0))</f>
        <v/>
      </c>
      <c r="W53" s="2552"/>
      <c r="X53" s="2549" t="str">
        <f ca="1">IF(ISBLANK(OFFSET($AP$2,X46,0)),"",OFFSET($AV$2,X46,0))</f>
        <v/>
      </c>
      <c r="Y53" s="2550"/>
      <c r="Z53" s="2551" t="str">
        <f ca="1">IF(ISBLANK(OFFSET($AP$2,X46,0)),"",OFFSET($AV$2,X46,0)-OFFSET($BB$2,X46,0))</f>
        <v/>
      </c>
      <c r="AA53" s="2552"/>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71" t="str">
        <f ca="1">X1</f>
        <v>775-428-0600</v>
      </c>
      <c r="Y55" s="2571"/>
      <c r="Z55" s="2571"/>
      <c r="AA55" s="2571"/>
      <c r="AB55" s="2571"/>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71" t="str">
        <f ca="1">X2</f>
        <v>775-867-2140</v>
      </c>
      <c r="Y56" s="2571"/>
      <c r="Z56" s="2571"/>
      <c r="AA56" s="2571"/>
      <c r="AB56" s="2571"/>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71" t="str">
        <f ca="1">X3</f>
        <v>775-867-2169</v>
      </c>
      <c r="Y57" s="2571"/>
      <c r="Z57" s="2571"/>
      <c r="AA57" s="2571"/>
      <c r="AB57" s="2571"/>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71" t="str">
        <f ca="1">X4</f>
        <v>775-867-2060</v>
      </c>
      <c r="Y58" s="2571"/>
      <c r="Z58" s="2571"/>
      <c r="AA58" s="2571"/>
      <c r="AB58" s="2571"/>
      <c r="AP58" s="54"/>
      <c r="AQ58" s="54"/>
      <c r="AR58" s="54"/>
      <c r="AS58" s="54"/>
      <c r="AT58" s="54"/>
      <c r="AU58" s="54"/>
      <c r="AV58" s="76"/>
      <c r="AW58" s="77"/>
      <c r="AX58" s="54"/>
      <c r="AY58" s="54"/>
      <c r="AZ58" s="54"/>
      <c r="BA58" s="54"/>
      <c r="BB58" s="54"/>
    </row>
    <row r="59" spans="1:54" ht="12.95" hidden="1" customHeight="1" x14ac:dyDescent="0.2">
      <c r="A59" s="1833" t="str">
        <f ca="1">A5</f>
        <v>8200 Woolery Way | Fallon, NV 89406 | www.newmill.com</v>
      </c>
      <c r="B59" s="1833"/>
      <c r="C59" s="1833"/>
      <c r="D59" s="1833"/>
      <c r="E59" s="1833"/>
      <c r="F59" s="1833"/>
      <c r="G59" s="1833"/>
      <c r="H59" s="1833"/>
      <c r="I59" s="1833"/>
      <c r="J59" s="1833"/>
      <c r="K59" s="1833"/>
      <c r="L59" s="1833"/>
      <c r="M59" s="1833"/>
      <c r="N59" s="1833"/>
      <c r="O59" s="1833"/>
      <c r="P59"/>
      <c r="Q59"/>
      <c r="R59" s="39"/>
      <c r="S59"/>
      <c r="T59"/>
      <c r="U59"/>
      <c r="V59"/>
      <c r="W59"/>
      <c r="X59" s="50" t="s">
        <v>421</v>
      </c>
      <c r="Y59" s="2564">
        <f>Y5</f>
        <v>45048.61509259259</v>
      </c>
      <c r="Z59" s="2565"/>
      <c r="AA59" s="2565"/>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66"/>
      <c r="Z60" s="2567"/>
      <c r="AA60" s="2567"/>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68"/>
      <c r="Z61" s="1924"/>
      <c r="AA61" s="192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69"/>
      <c r="Z62" s="2570"/>
      <c r="AA62" s="2570"/>
      <c r="AB62"/>
      <c r="AP62" s="54"/>
      <c r="AQ62" s="54"/>
      <c r="AR62" s="54"/>
      <c r="AS62" s="54"/>
      <c r="AT62" s="54"/>
      <c r="AU62" s="54"/>
      <c r="AV62" s="76"/>
      <c r="AW62" s="77"/>
      <c r="AX62" s="54"/>
      <c r="AY62" s="54"/>
      <c r="AZ62" s="54"/>
      <c r="BA62" s="54"/>
      <c r="BB62" s="54"/>
    </row>
    <row r="63" spans="1:54" ht="12.95" hidden="1" customHeight="1" x14ac:dyDescent="0.2">
      <c r="A63" s="2559" t="s">
        <v>1</v>
      </c>
      <c r="B63" s="2291"/>
      <c r="C63" s="2291"/>
      <c r="D63" s="2545" t="str">
        <f>D9</f>
        <v>MINDEN UPS BLDG 1</v>
      </c>
      <c r="E63" s="2545"/>
      <c r="F63" s="2545"/>
      <c r="G63" s="2545"/>
      <c r="H63" s="2545"/>
      <c r="I63" s="2545"/>
      <c r="J63" s="2545"/>
      <c r="K63" s="2545"/>
      <c r="L63" s="2545"/>
      <c r="M63" s="2545"/>
      <c r="N63" s="2545"/>
      <c r="O63" s="2545"/>
      <c r="P63" s="2546"/>
      <c r="Q63" s="96"/>
      <c r="R63" s="20" t="s">
        <v>2</v>
      </c>
      <c r="S63" s="2558" t="str">
        <f>S9</f>
        <v>NN22-0071</v>
      </c>
      <c r="T63" s="2291"/>
      <c r="U63" s="2291"/>
      <c r="V63" s="2291"/>
      <c r="W63" s="2291"/>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59" t="s">
        <v>3</v>
      </c>
      <c r="B64" s="2291"/>
      <c r="C64" s="2291"/>
      <c r="D64" s="2545" t="str">
        <f>D10</f>
        <v>MINDEN, NV</v>
      </c>
      <c r="E64" s="2545"/>
      <c r="F64" s="2545"/>
      <c r="G64" s="2545"/>
      <c r="H64" s="2545"/>
      <c r="I64" s="2545"/>
      <c r="J64" s="2545"/>
      <c r="K64" s="2545"/>
      <c r="L64" s="2545"/>
      <c r="M64" s="2545"/>
      <c r="N64" s="2545"/>
      <c r="O64" s="2545"/>
      <c r="P64" s="2546"/>
      <c r="Q64" s="96"/>
      <c r="R64" s="20" t="s">
        <v>428</v>
      </c>
      <c r="S64" s="2560" t="str">
        <f>S10</f>
        <v>JMM</v>
      </c>
      <c r="T64" s="2291"/>
      <c r="U64" s="96"/>
      <c r="V64" s="98"/>
      <c r="W64" s="20" t="s">
        <v>429</v>
      </c>
      <c r="X64" s="2561" t="str">
        <f>X10</f>
        <v>NR</v>
      </c>
      <c r="Y64" s="2561"/>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53" t="str">
        <f ca="1">IF(ISBLANK(OFFSET($AP$2,D65,0)),"",CONCATENATE("Seq. ",OFFSET($AP$2,D65,0)))</f>
        <v/>
      </c>
      <c r="E66" s="2554"/>
      <c r="F66" s="2554"/>
      <c r="G66" s="2555"/>
      <c r="H66" s="2553" t="str">
        <f ca="1">IF(ISBLANK(OFFSET($AP$2,H65,0)),"",CONCATENATE("Seq. ",OFFSET($AP$2,H65,0)))</f>
        <v/>
      </c>
      <c r="I66" s="2554"/>
      <c r="J66" s="2554"/>
      <c r="K66" s="2555"/>
      <c r="L66" s="2553" t="str">
        <f ca="1">IF(ISBLANK(OFFSET($AP$2,L65,0)),"",CONCATENATE("Seq. ",OFFSET($AP$2,L65,0)))</f>
        <v/>
      </c>
      <c r="M66" s="2554"/>
      <c r="N66" s="2554"/>
      <c r="O66" s="2555"/>
      <c r="P66" s="2553" t="str">
        <f ca="1">IF(ISBLANK(OFFSET($AP$2,P65,0)),"",CONCATENATE("Seq. ",OFFSET($AP$2,P65,0)))</f>
        <v/>
      </c>
      <c r="Q66" s="2554"/>
      <c r="R66" s="2554"/>
      <c r="S66" s="2555"/>
      <c r="T66" s="2553" t="str">
        <f ca="1">IF(ISBLANK(OFFSET($AP$2,T65,0)),"",CONCATENATE("Seq. ",OFFSET($AP$2,T65,0)))</f>
        <v/>
      </c>
      <c r="U66" s="2554"/>
      <c r="V66" s="2554"/>
      <c r="W66" s="2555"/>
      <c r="X66" s="2553" t="str">
        <f ca="1">IF(ISBLANK(OFFSET($AP$2,X65,0)),"",CONCATENATE("Seq. ",OFFSET($AP$2,X65,0)))</f>
        <v/>
      </c>
      <c r="Y66" s="2554"/>
      <c r="Z66" s="2554"/>
      <c r="AA66" s="2555"/>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42" t="s">
        <v>440</v>
      </c>
      <c r="E67" s="2543"/>
      <c r="F67" s="2543" t="s">
        <v>441</v>
      </c>
      <c r="G67" s="2544"/>
      <c r="H67" s="2542" t="s">
        <v>440</v>
      </c>
      <c r="I67" s="2543"/>
      <c r="J67" s="2543" t="s">
        <v>441</v>
      </c>
      <c r="K67" s="2544"/>
      <c r="L67" s="2542" t="s">
        <v>440</v>
      </c>
      <c r="M67" s="2543"/>
      <c r="N67" s="2543" t="s">
        <v>441</v>
      </c>
      <c r="O67" s="2544"/>
      <c r="P67" s="2542" t="s">
        <v>440</v>
      </c>
      <c r="Q67" s="2543"/>
      <c r="R67" s="2543" t="s">
        <v>441</v>
      </c>
      <c r="S67" s="2544"/>
      <c r="T67" s="2542" t="s">
        <v>440</v>
      </c>
      <c r="U67" s="2543"/>
      <c r="V67" s="2543" t="s">
        <v>441</v>
      </c>
      <c r="W67" s="2544"/>
      <c r="X67" s="2542" t="s">
        <v>440</v>
      </c>
      <c r="Y67" s="2543"/>
      <c r="Z67" s="2543" t="s">
        <v>441</v>
      </c>
      <c r="AA67" s="2544"/>
      <c r="AB67" s="57"/>
      <c r="AP67" s="54"/>
      <c r="AQ67" s="54"/>
      <c r="AR67" s="54"/>
      <c r="AS67" s="54"/>
      <c r="AT67" s="54"/>
      <c r="AU67" s="54"/>
      <c r="AV67" s="76"/>
      <c r="AW67" s="77"/>
      <c r="AX67" s="54"/>
      <c r="AY67" s="54"/>
      <c r="AZ67" s="54"/>
      <c r="BA67" s="54"/>
      <c r="BB67" s="54"/>
    </row>
    <row r="68" spans="1:54" ht="12.95" hidden="1" customHeight="1" x14ac:dyDescent="0.2">
      <c r="A68" s="57"/>
      <c r="B68" s="2547" t="s">
        <v>73</v>
      </c>
      <c r="C68" s="2548"/>
      <c r="D68" s="2538" t="str">
        <f ca="1">IF(ISBLANK(OFFSET($AP$2,D65,0)),"",OFFSET($AQ$2,D65,0)+OFFSET($AU$2,D65,0))</f>
        <v/>
      </c>
      <c r="E68" s="2539"/>
      <c r="F68" s="2536" t="str">
        <f ca="1">IF(ISBLANK(OFFSET($AP$2,D65,0)),"",(OFFSET($AQ$2,D65,0)+OFFSET($AU$2,D65,0))-(OFFSET($AW$2,D65,0)+OFFSET($BA$2,D65,0)))</f>
        <v/>
      </c>
      <c r="G68" s="2537"/>
      <c r="H68" s="2538" t="str">
        <f ca="1">IF(ISBLANK(OFFSET($AP$2,H65,0)),"",OFFSET($AQ$2,H65,0)+OFFSET($AU$2,H65,0))</f>
        <v/>
      </c>
      <c r="I68" s="2539"/>
      <c r="J68" s="2536" t="str">
        <f ca="1">IF(ISBLANK(OFFSET($AP$2,H65,0)),"",(OFFSET($AQ$2,H65,0)+OFFSET($AU$2,H65,0))-(OFFSET($AW$2,H65,0)+OFFSET($BA$2,H65,0)))</f>
        <v/>
      </c>
      <c r="K68" s="2537"/>
      <c r="L68" s="2538" t="str">
        <f ca="1">IF(ISBLANK(OFFSET($AP$2,L65,0)),"",OFFSET($AQ$2,L65,0)+OFFSET($AU$2,L65,0))</f>
        <v/>
      </c>
      <c r="M68" s="2539"/>
      <c r="N68" s="2536" t="str">
        <f ca="1">IF(ISBLANK(OFFSET($AP$2,L65,0)),"",(OFFSET($AQ$2,L65,0)+OFFSET($AU$2,L65,0))-(OFFSET($AW$2,L65,0)+OFFSET($BA$2,L65,0)))</f>
        <v/>
      </c>
      <c r="O68" s="2537"/>
      <c r="P68" s="2538" t="str">
        <f ca="1">IF(ISBLANK(OFFSET($AP$2,P65,0)),"",OFFSET($AQ$2,P65,0)+OFFSET($AU$2,P65,0))</f>
        <v/>
      </c>
      <c r="Q68" s="2539"/>
      <c r="R68" s="2536" t="str">
        <f ca="1">IF(ISBLANK(OFFSET($AP$2,P65,0)),"",(OFFSET($AQ$2,P65,0)+OFFSET($AU$2,P65,0))-(OFFSET($AW$2,P65,0)+OFFSET($BA$2,P65,0)))</f>
        <v/>
      </c>
      <c r="S68" s="2537"/>
      <c r="T68" s="2538" t="str">
        <f ca="1">IF(ISBLANK(OFFSET($AP$2,T65,0)),"",OFFSET($AQ$2,T65,0)+OFFSET($AU$2,T65,0))</f>
        <v/>
      </c>
      <c r="U68" s="2539"/>
      <c r="V68" s="2536" t="str">
        <f ca="1">IF(ISBLANK(OFFSET($AP$2,T65,0)),"",(OFFSET($AQ$2,T65,0)+OFFSET($AU$2,T65,0))-(OFFSET($AW$2,T65,0)+OFFSET($BA$2,T65,0)))</f>
        <v/>
      </c>
      <c r="W68" s="2537"/>
      <c r="X68" s="2538" t="str">
        <f ca="1">IF(ISBLANK(OFFSET($AP$2,X65,0)),"",OFFSET($AQ$2,X65,0)+OFFSET($AU$2,X65,0))</f>
        <v/>
      </c>
      <c r="Y68" s="2539"/>
      <c r="Z68" s="2536" t="str">
        <f ca="1">IF(ISBLANK(OFFSET($AP$2,X65,0)),"",(OFFSET($AQ$2,X65,0)+OFFSET($AU$2,X65,0))-(OFFSET($AW$2,X65,0)+OFFSET($BA$2,X65,0)))</f>
        <v/>
      </c>
      <c r="AA68" s="2537"/>
      <c r="AB68" s="57"/>
      <c r="AP68" s="54"/>
      <c r="AQ68" s="54"/>
      <c r="AR68" s="54"/>
      <c r="AS68" s="54"/>
      <c r="AT68" s="54"/>
      <c r="AU68" s="54"/>
      <c r="AV68" s="76"/>
      <c r="AW68" s="77"/>
      <c r="AX68" s="54"/>
      <c r="AY68" s="54"/>
      <c r="AZ68" s="54"/>
      <c r="BA68" s="54"/>
      <c r="BB68" s="54"/>
    </row>
    <row r="69" spans="1:54" ht="12.95" hidden="1" customHeight="1" x14ac:dyDescent="0.2">
      <c r="A69" s="57"/>
      <c r="B69" s="2540" t="s">
        <v>437</v>
      </c>
      <c r="C69" s="2541"/>
      <c r="D69" s="2538" t="str">
        <f ca="1">IF(ISBLANK(OFFSET($AP$2,D65,0)),"",OFFSET($AR$2,D65,0))</f>
        <v/>
      </c>
      <c r="E69" s="2539"/>
      <c r="F69" s="2536" t="str">
        <f ca="1">IF(ISBLANK(OFFSET($AP$2,D65,0)),"",OFFSET($AR$2,D65,0)-OFFSET($AX$2,D65,0))</f>
        <v/>
      </c>
      <c r="G69" s="2537"/>
      <c r="H69" s="2538" t="str">
        <f ca="1">IF(ISBLANK(OFFSET($AP$2,H65,0)),"",OFFSET($AR$2,H65,0))</f>
        <v/>
      </c>
      <c r="I69" s="2539"/>
      <c r="J69" s="2536" t="str">
        <f ca="1">IF(ISBLANK(OFFSET($AP$2,H65,0)),"",OFFSET($AR$2,H65,0)-OFFSET($AX$2,H65,0))</f>
        <v/>
      </c>
      <c r="K69" s="2537"/>
      <c r="L69" s="2538" t="str">
        <f ca="1">IF(ISBLANK(OFFSET($AP$2,L65,0)),"",OFFSET($AR$2,L65,0))</f>
        <v/>
      </c>
      <c r="M69" s="2539"/>
      <c r="N69" s="2536" t="str">
        <f ca="1">IF(ISBLANK(OFFSET($AP$2,L65,0)),"",OFFSET($AR$2,L65,0)-OFFSET($AX$2,L65,0))</f>
        <v/>
      </c>
      <c r="O69" s="2537"/>
      <c r="P69" s="2538" t="str">
        <f ca="1">IF(ISBLANK(OFFSET($AP$2,P65,0)),"",OFFSET($AR$2,P65,0))</f>
        <v/>
      </c>
      <c r="Q69" s="2539"/>
      <c r="R69" s="2536" t="str">
        <f ca="1">IF(ISBLANK(OFFSET($AP$2,P65,0)),"",OFFSET($AR$2,P65,0)-OFFSET($AX$2,P65,0))</f>
        <v/>
      </c>
      <c r="S69" s="2537"/>
      <c r="T69" s="2538" t="str">
        <f ca="1">IF(ISBLANK(OFFSET($AP$2,T65,0)),"",OFFSET($AR$2,T65,0))</f>
        <v/>
      </c>
      <c r="U69" s="2539"/>
      <c r="V69" s="2536" t="str">
        <f ca="1">IF(ISBLANK(OFFSET($AP$2,T65,0)),"",OFFSET($AR$2,T65,0)-OFFSET($AX$2,T65,0))</f>
        <v/>
      </c>
      <c r="W69" s="2537"/>
      <c r="X69" s="2538" t="str">
        <f ca="1">IF(ISBLANK(OFFSET($AP$2,X65,0)),"",OFFSET($AR$2,X65,0))</f>
        <v/>
      </c>
      <c r="Y69" s="2539"/>
      <c r="Z69" s="2536" t="str">
        <f ca="1">IF(ISBLANK(OFFSET($AP$2,X65,0)),"",OFFSET($AR$2,X65,0)-OFFSET($AX$2,X65,0))</f>
        <v/>
      </c>
      <c r="AA69" s="2537"/>
      <c r="AB69" s="57"/>
      <c r="AP69" s="54"/>
      <c r="AQ69" s="54"/>
      <c r="AR69" s="54"/>
      <c r="AS69" s="54"/>
      <c r="AT69" s="54"/>
      <c r="AU69" s="54"/>
      <c r="AV69" s="76"/>
      <c r="AW69" s="77"/>
      <c r="AX69" s="54"/>
      <c r="AY69" s="54"/>
      <c r="AZ69" s="54"/>
      <c r="BA69" s="54"/>
      <c r="BB69" s="54"/>
    </row>
    <row r="70" spans="1:54" ht="12.95" hidden="1" customHeight="1" x14ac:dyDescent="0.2">
      <c r="A70" s="57"/>
      <c r="B70" s="2540" t="s">
        <v>438</v>
      </c>
      <c r="C70" s="2541"/>
      <c r="D70" s="2538" t="str">
        <f ca="1">IF(ISBLANK(OFFSET($AP$2,D65,0)),"",OFFSET($AS$2,D65,0))</f>
        <v/>
      </c>
      <c r="E70" s="2539"/>
      <c r="F70" s="2536" t="str">
        <f ca="1">IF(ISBLANK(OFFSET($AP$2,D65,0)),"",OFFSET($AS$2,D65,0)-OFFSET($AY$2,D65,0))</f>
        <v/>
      </c>
      <c r="G70" s="2537"/>
      <c r="H70" s="2538" t="str">
        <f ca="1">IF(ISBLANK(OFFSET($AP$2,H65,0)),"",OFFSET($AS$2,H65,0))</f>
        <v/>
      </c>
      <c r="I70" s="2539"/>
      <c r="J70" s="2536" t="str">
        <f ca="1">IF(ISBLANK(OFFSET($AP$2,H65,0)),"",OFFSET($AS$2,H65,0)-OFFSET($AY$2,H65,0))</f>
        <v/>
      </c>
      <c r="K70" s="2537"/>
      <c r="L70" s="2538" t="str">
        <f ca="1">IF(ISBLANK(OFFSET($AP$2,L65,0)),"",OFFSET($AS$2,L65,0))</f>
        <v/>
      </c>
      <c r="M70" s="2539"/>
      <c r="N70" s="2536" t="str">
        <f ca="1">IF(ISBLANK(OFFSET($AP$2,L65,0)),"",OFFSET($AS$2,L65,0)-OFFSET($AY$2,L65,0))</f>
        <v/>
      </c>
      <c r="O70" s="2537"/>
      <c r="P70" s="2538" t="str">
        <f ca="1">IF(ISBLANK(OFFSET($AP$2,P65,0)),"",OFFSET($AS$2,P65,0))</f>
        <v/>
      </c>
      <c r="Q70" s="2539"/>
      <c r="R70" s="2536" t="str">
        <f ca="1">IF(ISBLANK(OFFSET($AP$2,P65,0)),"",OFFSET($AS$2,P65,0)-OFFSET($AY$2,P65,0))</f>
        <v/>
      </c>
      <c r="S70" s="2537"/>
      <c r="T70" s="2538" t="str">
        <f ca="1">IF(ISBLANK(OFFSET($AP$2,T65,0)),"",OFFSET($AS$2,T65,0))</f>
        <v/>
      </c>
      <c r="U70" s="2539"/>
      <c r="V70" s="2536" t="str">
        <f ca="1">IF(ISBLANK(OFFSET($AP$2,T65,0)),"",OFFSET($AS$2,T65,0)-OFFSET($AY$2,T65,0))</f>
        <v/>
      </c>
      <c r="W70" s="2537"/>
      <c r="X70" s="2538" t="str">
        <f ca="1">IF(ISBLANK(OFFSET($AP$2,X65,0)),"",OFFSET($AS$2,X65,0))</f>
        <v/>
      </c>
      <c r="Y70" s="2539"/>
      <c r="Z70" s="2536" t="str">
        <f ca="1">IF(ISBLANK(OFFSET($AP$2,X65,0)),"",OFFSET($AS$2,X65,0)-OFFSET($AY$2,X65,0))</f>
        <v/>
      </c>
      <c r="AA70" s="2537"/>
      <c r="AB70" s="57"/>
      <c r="AP70" s="54"/>
      <c r="AQ70" s="54"/>
      <c r="AR70" s="54"/>
      <c r="AS70" s="54"/>
      <c r="AT70" s="54"/>
      <c r="AU70" s="54"/>
      <c r="AV70" s="76"/>
      <c r="AW70" s="77"/>
      <c r="AX70" s="54"/>
      <c r="AY70" s="54"/>
      <c r="AZ70" s="54"/>
      <c r="BA70" s="54"/>
      <c r="BB70" s="54"/>
    </row>
    <row r="71" spans="1:54" ht="12.95" hidden="1" customHeight="1" x14ac:dyDescent="0.2">
      <c r="A71" s="57"/>
      <c r="B71" s="2540" t="s">
        <v>75</v>
      </c>
      <c r="C71" s="2541"/>
      <c r="D71" s="2538" t="str">
        <f ca="1">IF(ISBLANK(OFFSET($AP$2,D65,0)),"",OFFSET($AT$2,D65,0))</f>
        <v/>
      </c>
      <c r="E71" s="2539"/>
      <c r="F71" s="2536" t="str">
        <f ca="1">IF(ISBLANK(OFFSET($AP$2,D65,0)),"",OFFSET($AT$2,D65,0)-OFFSET($AZ$2,D65,0))</f>
        <v/>
      </c>
      <c r="G71" s="2537"/>
      <c r="H71" s="2538" t="str">
        <f ca="1">IF(ISBLANK(OFFSET($AP$2,H65,0)),"",OFFSET($AT$2,H65,0))</f>
        <v/>
      </c>
      <c r="I71" s="2539"/>
      <c r="J71" s="2536" t="str">
        <f ca="1">IF(ISBLANK(OFFSET($AP$2,H65,0)),"",OFFSET($AT$2,H65,0)-OFFSET($AZ$2,H65,0))</f>
        <v/>
      </c>
      <c r="K71" s="2537"/>
      <c r="L71" s="2538" t="str">
        <f ca="1">IF(ISBLANK(OFFSET($AP$2,L65,0)),"",OFFSET($AT$2,L65,0))</f>
        <v/>
      </c>
      <c r="M71" s="2539"/>
      <c r="N71" s="2536" t="str">
        <f ca="1">IF(ISBLANK(OFFSET($AP$2,L65,0)),"",OFFSET($AT$2,L65,0)-OFFSET($AZ$2,L65,0))</f>
        <v/>
      </c>
      <c r="O71" s="2537"/>
      <c r="P71" s="2538" t="str">
        <f ca="1">IF(ISBLANK(OFFSET($AP$2,P65,0)),"",OFFSET($AT$2,P65,0))</f>
        <v/>
      </c>
      <c r="Q71" s="2539"/>
      <c r="R71" s="2536" t="str">
        <f ca="1">IF(ISBLANK(OFFSET($AP$2,P65,0)),"",OFFSET($AT$2,P65,0)-OFFSET($AZ$2,P65,0))</f>
        <v/>
      </c>
      <c r="S71" s="2537"/>
      <c r="T71" s="2538" t="str">
        <f ca="1">IF(ISBLANK(OFFSET($AP$2,T65,0)),"",OFFSET($AT$2,T65,0))</f>
        <v/>
      </c>
      <c r="U71" s="2539"/>
      <c r="V71" s="2536" t="str">
        <f ca="1">IF(ISBLANK(OFFSET($AP$2,T65,0)),"",OFFSET($AT$2,T65,0)-OFFSET($AZ$2,T65,0))</f>
        <v/>
      </c>
      <c r="W71" s="2537"/>
      <c r="X71" s="2538" t="str">
        <f ca="1">IF(ISBLANK(OFFSET($AP$2,X65,0)),"",OFFSET($AT$2,X65,0))</f>
        <v/>
      </c>
      <c r="Y71" s="2539"/>
      <c r="Z71" s="2536" t="str">
        <f ca="1">IF(ISBLANK(OFFSET($AP$2,X65,0)),"",OFFSET($AT$2,X65,0)-OFFSET($AZ$2,X65,0))</f>
        <v/>
      </c>
      <c r="AA71" s="2537"/>
      <c r="AB71" s="57"/>
      <c r="AP71" s="54"/>
      <c r="AQ71" s="54"/>
      <c r="AR71" s="54"/>
      <c r="AS71" s="54"/>
      <c r="AT71" s="54"/>
      <c r="AU71" s="54"/>
      <c r="AV71" s="76"/>
      <c r="AW71" s="77"/>
      <c r="AX71" s="54"/>
      <c r="AY71" s="54"/>
      <c r="AZ71" s="54"/>
      <c r="BA71" s="54"/>
      <c r="BB71" s="54"/>
    </row>
    <row r="72" spans="1:54" ht="12.95" hidden="1" customHeight="1" thickBot="1" x14ac:dyDescent="0.25">
      <c r="A72" s="57"/>
      <c r="B72" s="2556" t="s">
        <v>439</v>
      </c>
      <c r="C72" s="2557"/>
      <c r="D72" s="2549" t="str">
        <f ca="1">IF(ISBLANK(OFFSET($AP$2,D65,0)),"",OFFSET($AV$2,D65,0))</f>
        <v/>
      </c>
      <c r="E72" s="2550"/>
      <c r="F72" s="2551" t="str">
        <f ca="1">IF(ISBLANK(OFFSET($AP$2,D65,0)),"",OFFSET($AV$2,D65,0)-OFFSET($BB$2,D65,0))</f>
        <v/>
      </c>
      <c r="G72" s="2552"/>
      <c r="H72" s="2549" t="str">
        <f ca="1">IF(ISBLANK(OFFSET($AP$2,H65,0)),"",OFFSET($AV$2,H65,0))</f>
        <v/>
      </c>
      <c r="I72" s="2550"/>
      <c r="J72" s="2551" t="str">
        <f ca="1">IF(ISBLANK(OFFSET($AP$2,H65,0)),"",OFFSET($AV$2,H65,0)-OFFSET($BB$2,H65,0))</f>
        <v/>
      </c>
      <c r="K72" s="2552"/>
      <c r="L72" s="2549" t="str">
        <f ca="1">IF(ISBLANK(OFFSET($AP$2,L65,0)),"",OFFSET($AV$2,L65,0))</f>
        <v/>
      </c>
      <c r="M72" s="2550"/>
      <c r="N72" s="2551" t="str">
        <f ca="1">IF(ISBLANK(OFFSET($AP$2,L65,0)),"",OFFSET($AV$2,L65,0)-OFFSET($BB$2,L65,0))</f>
        <v/>
      </c>
      <c r="O72" s="2552"/>
      <c r="P72" s="2549" t="str">
        <f ca="1">IF(ISBLANK(OFFSET($AP$2,P65,0)),"",OFFSET($AV$2,P65,0))</f>
        <v/>
      </c>
      <c r="Q72" s="2550"/>
      <c r="R72" s="2551" t="str">
        <f ca="1">IF(ISBLANK(OFFSET($AP$2,P65,0)),"",OFFSET($AV$2,P65,0)-OFFSET($BB$2,P65,0))</f>
        <v/>
      </c>
      <c r="S72" s="2552"/>
      <c r="T72" s="2549" t="str">
        <f ca="1">IF(ISBLANK(OFFSET($AP$2,T65,0)),"",OFFSET($AV$2,T65,0))</f>
        <v/>
      </c>
      <c r="U72" s="2550"/>
      <c r="V72" s="2551" t="str">
        <f ca="1">IF(ISBLANK(OFFSET($AP$2,T65,0)),"",OFFSET($AV$2,T65,0)-OFFSET($BB$2,T65,0))</f>
        <v/>
      </c>
      <c r="W72" s="2552"/>
      <c r="X72" s="2549" t="str">
        <f ca="1">IF(ISBLANK(OFFSET($AP$2,X65,0)),"",OFFSET($AV$2,X65,0))</f>
        <v/>
      </c>
      <c r="Y72" s="2550"/>
      <c r="Z72" s="2551" t="str">
        <f ca="1">IF(ISBLANK(OFFSET($AP$2,X65,0)),"",OFFSET($AV$2,X65,0)-OFFSET($BB$2,X65,0))</f>
        <v/>
      </c>
      <c r="AA72" s="2552"/>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53" t="str">
        <f ca="1">IF(ISBLANK(OFFSET($AP$2,D73,0)),"",CONCATENATE("Seq. ",OFFSET($AP$2,D73,0)))</f>
        <v/>
      </c>
      <c r="E74" s="2554"/>
      <c r="F74" s="2554"/>
      <c r="G74" s="2555"/>
      <c r="H74" s="2553" t="str">
        <f ca="1">IF(ISBLANK(OFFSET($AP$2,H73,0)),"",CONCATENATE("Seq. ",OFFSET($AP$2,H73,0)))</f>
        <v/>
      </c>
      <c r="I74" s="2554"/>
      <c r="J74" s="2554"/>
      <c r="K74" s="2555"/>
      <c r="L74" s="2553" t="str">
        <f ca="1">IF(ISBLANK(OFFSET($AP$2,L73,0)),"",CONCATENATE("Seq. ",OFFSET($AP$2,L73,0)))</f>
        <v/>
      </c>
      <c r="M74" s="2554"/>
      <c r="N74" s="2554"/>
      <c r="O74" s="2555"/>
      <c r="P74" s="2553" t="str">
        <f ca="1">IF(ISBLANK(OFFSET($AP$2,P73,0)),"",CONCATENATE("Seq. ",OFFSET($AP$2,P73,0)))</f>
        <v/>
      </c>
      <c r="Q74" s="2554"/>
      <c r="R74" s="2554"/>
      <c r="S74" s="2555"/>
      <c r="T74" s="2553" t="str">
        <f ca="1">IF(ISBLANK(OFFSET($AP$2,T73,0)),"",CONCATENATE("Seq. ",OFFSET($AP$2,T73,0)))</f>
        <v/>
      </c>
      <c r="U74" s="2554"/>
      <c r="V74" s="2554"/>
      <c r="W74" s="2555"/>
      <c r="X74" s="2553" t="str">
        <f ca="1">IF(ISBLANK(OFFSET($AP$2,X73,0)),"",CONCATENATE("Seq. ",OFFSET($AP$2,X73,0)))</f>
        <v/>
      </c>
      <c r="Y74" s="2554"/>
      <c r="Z74" s="2554"/>
      <c r="AA74" s="2555"/>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42" t="s">
        <v>440</v>
      </c>
      <c r="E75" s="2543"/>
      <c r="F75" s="2543" t="s">
        <v>441</v>
      </c>
      <c r="G75" s="2544"/>
      <c r="H75" s="2542" t="s">
        <v>440</v>
      </c>
      <c r="I75" s="2543"/>
      <c r="J75" s="2543" t="s">
        <v>441</v>
      </c>
      <c r="K75" s="2544"/>
      <c r="L75" s="2542" t="s">
        <v>440</v>
      </c>
      <c r="M75" s="2543"/>
      <c r="N75" s="2543" t="s">
        <v>441</v>
      </c>
      <c r="O75" s="2544"/>
      <c r="P75" s="2542" t="s">
        <v>440</v>
      </c>
      <c r="Q75" s="2543"/>
      <c r="R75" s="2543" t="s">
        <v>441</v>
      </c>
      <c r="S75" s="2544"/>
      <c r="T75" s="2542" t="s">
        <v>440</v>
      </c>
      <c r="U75" s="2543"/>
      <c r="V75" s="2543" t="s">
        <v>441</v>
      </c>
      <c r="W75" s="2544"/>
      <c r="X75" s="2542" t="s">
        <v>440</v>
      </c>
      <c r="Y75" s="2543"/>
      <c r="Z75" s="2543" t="s">
        <v>441</v>
      </c>
      <c r="AA75" s="2544"/>
      <c r="AB75" s="57"/>
      <c r="AP75" s="54"/>
      <c r="AQ75" s="54"/>
      <c r="AR75" s="54"/>
      <c r="AS75" s="54"/>
      <c r="AT75" s="54"/>
      <c r="AU75" s="54"/>
      <c r="AV75" s="76"/>
      <c r="AW75" s="77"/>
      <c r="AX75" s="54"/>
      <c r="AY75" s="54"/>
      <c r="AZ75" s="54"/>
      <c r="BA75" s="54"/>
      <c r="BB75" s="54"/>
    </row>
    <row r="76" spans="1:54" ht="12.95" hidden="1" customHeight="1" x14ac:dyDescent="0.2">
      <c r="A76" s="57"/>
      <c r="B76" s="2547" t="s">
        <v>73</v>
      </c>
      <c r="C76" s="2548"/>
      <c r="D76" s="2538" t="str">
        <f ca="1">IF(ISBLANK(OFFSET($AP$2,D73,0)),"",OFFSET($AQ$2,D73,0)+OFFSET($AU$2,D73,0))</f>
        <v/>
      </c>
      <c r="E76" s="2539"/>
      <c r="F76" s="2536" t="str">
        <f ca="1">IF(ISBLANK(OFFSET($AP$2,D73,0)),"",(OFFSET($AQ$2,D73,0)+OFFSET($AU$2,D73,0))-(OFFSET($AW$2,D73,0)+OFFSET($BA$2,D73,0)))</f>
        <v/>
      </c>
      <c r="G76" s="2537"/>
      <c r="H76" s="2538" t="str">
        <f ca="1">IF(ISBLANK(OFFSET($AP$2,H73,0)),"",OFFSET($AQ$2,H73,0)+OFFSET($AU$2,H73,0))</f>
        <v/>
      </c>
      <c r="I76" s="2539"/>
      <c r="J76" s="2536" t="str">
        <f ca="1">IF(ISBLANK(OFFSET($AP$2,H73,0)),"",(OFFSET($AQ$2,H73,0)+OFFSET($AU$2,H73,0))-(OFFSET($AW$2,H73,0)+OFFSET($BA$2,H73,0)))</f>
        <v/>
      </c>
      <c r="K76" s="2537"/>
      <c r="L76" s="2538" t="str">
        <f ca="1">IF(ISBLANK(OFFSET($AP$2,L73,0)),"",OFFSET($AQ$2,L73,0)+OFFSET($AU$2,L73,0))</f>
        <v/>
      </c>
      <c r="M76" s="2539"/>
      <c r="N76" s="2536" t="str">
        <f ca="1">IF(ISBLANK(OFFSET($AP$2,L73,0)),"",(OFFSET($AQ$2,L73,0)+OFFSET($AU$2,L73,0))-(OFFSET($AW$2,L73,0)+OFFSET($BA$2,L73,0)))</f>
        <v/>
      </c>
      <c r="O76" s="2537"/>
      <c r="P76" s="2538" t="str">
        <f ca="1">IF(ISBLANK(OFFSET($AP$2,P73,0)),"",OFFSET($AQ$2,P73,0)+OFFSET($AU$2,P73,0))</f>
        <v/>
      </c>
      <c r="Q76" s="2539"/>
      <c r="R76" s="2536" t="str">
        <f ca="1">IF(ISBLANK(OFFSET($AP$2,P73,0)),"",(OFFSET($AQ$2,P73,0)+OFFSET($AU$2,P73,0))-(OFFSET($AW$2,P73,0)+OFFSET($BA$2,P73,0)))</f>
        <v/>
      </c>
      <c r="S76" s="2537"/>
      <c r="T76" s="2538" t="str">
        <f ca="1">IF(ISBLANK(OFFSET($AP$2,T73,0)),"",OFFSET($AQ$2,T73,0)+OFFSET($AU$2,T73,0))</f>
        <v/>
      </c>
      <c r="U76" s="2539"/>
      <c r="V76" s="2536" t="str">
        <f ca="1">IF(ISBLANK(OFFSET($AP$2,T73,0)),"",(OFFSET($AQ$2,T73,0)+OFFSET($AU$2,T73,0))-(OFFSET($AW$2,T73,0)+OFFSET($BA$2,T73,0)))</f>
        <v/>
      </c>
      <c r="W76" s="2537"/>
      <c r="X76" s="2538" t="str">
        <f ca="1">IF(ISBLANK(OFFSET($AP$2,X73,0)),"",OFFSET($AQ$2,X73,0)+OFFSET($AU$2,X73,0))</f>
        <v/>
      </c>
      <c r="Y76" s="2539"/>
      <c r="Z76" s="2536" t="str">
        <f ca="1">IF(ISBLANK(OFFSET($AP$2,X73,0)),"",(OFFSET($AQ$2,X73,0)+OFFSET($AU$2,X73,0))-(OFFSET($AW$2,X73,0)+OFFSET($BA$2,X73,0)))</f>
        <v/>
      </c>
      <c r="AA76" s="2537"/>
      <c r="AB76" s="57"/>
      <c r="AP76" s="54"/>
      <c r="AQ76" s="54"/>
      <c r="AR76" s="54"/>
      <c r="AS76" s="54"/>
      <c r="AT76" s="54"/>
      <c r="AU76" s="54"/>
      <c r="AV76" s="76"/>
      <c r="AW76" s="77"/>
      <c r="AX76" s="54"/>
      <c r="AY76" s="54"/>
      <c r="AZ76" s="54"/>
      <c r="BA76" s="54"/>
      <c r="BB76" s="54"/>
    </row>
    <row r="77" spans="1:54" ht="12.95" hidden="1" customHeight="1" x14ac:dyDescent="0.2">
      <c r="A77" s="57"/>
      <c r="B77" s="2540" t="s">
        <v>437</v>
      </c>
      <c r="C77" s="2541"/>
      <c r="D77" s="2538" t="str">
        <f ca="1">IF(ISBLANK(OFFSET($AP$2,D73,0)),"",OFFSET($AR$2,D73,0))</f>
        <v/>
      </c>
      <c r="E77" s="2539"/>
      <c r="F77" s="2536" t="str">
        <f ca="1">IF(ISBLANK(OFFSET($AP$2,D73,0)),"",OFFSET($AR$2,D73,0)-OFFSET($AX$2,D73,0))</f>
        <v/>
      </c>
      <c r="G77" s="2537"/>
      <c r="H77" s="2538" t="str">
        <f ca="1">IF(ISBLANK(OFFSET($AP$2,H73,0)),"",OFFSET($AR$2,H73,0))</f>
        <v/>
      </c>
      <c r="I77" s="2539"/>
      <c r="J77" s="2536" t="str">
        <f ca="1">IF(ISBLANK(OFFSET($AP$2,H73,0)),"",OFFSET($AR$2,H73,0)-OFFSET($AX$2,H73,0))</f>
        <v/>
      </c>
      <c r="K77" s="2537"/>
      <c r="L77" s="2538" t="str">
        <f ca="1">IF(ISBLANK(OFFSET($AP$2,L73,0)),"",OFFSET($AR$2,L73,0))</f>
        <v/>
      </c>
      <c r="M77" s="2539"/>
      <c r="N77" s="2536" t="str">
        <f ca="1">IF(ISBLANK(OFFSET($AP$2,L73,0)),"",OFFSET($AR$2,L73,0)-OFFSET($AX$2,L73,0))</f>
        <v/>
      </c>
      <c r="O77" s="2537"/>
      <c r="P77" s="2538" t="str">
        <f ca="1">IF(ISBLANK(OFFSET($AP$2,P73,0)),"",OFFSET($AR$2,P73,0))</f>
        <v/>
      </c>
      <c r="Q77" s="2539"/>
      <c r="R77" s="2536" t="str">
        <f ca="1">IF(ISBLANK(OFFSET($AP$2,P73,0)),"",OFFSET($AR$2,P73,0)-OFFSET($AX$2,P73,0))</f>
        <v/>
      </c>
      <c r="S77" s="2537"/>
      <c r="T77" s="2538" t="str">
        <f ca="1">IF(ISBLANK(OFFSET($AP$2,T73,0)),"",OFFSET($AR$2,T73,0))</f>
        <v/>
      </c>
      <c r="U77" s="2539"/>
      <c r="V77" s="2536" t="str">
        <f ca="1">IF(ISBLANK(OFFSET($AP$2,T73,0)),"",OFFSET($AR$2,T73,0)-OFFSET($AX$2,T73,0))</f>
        <v/>
      </c>
      <c r="W77" s="2537"/>
      <c r="X77" s="2538" t="str">
        <f ca="1">IF(ISBLANK(OFFSET($AP$2,X73,0)),"",OFFSET($AR$2,X73,0))</f>
        <v/>
      </c>
      <c r="Y77" s="2539"/>
      <c r="Z77" s="2536" t="str">
        <f ca="1">IF(ISBLANK(OFFSET($AP$2,X73,0)),"",OFFSET($AR$2,X73,0)-OFFSET($AX$2,X73,0))</f>
        <v/>
      </c>
      <c r="AA77" s="2537"/>
      <c r="AB77" s="57"/>
      <c r="AP77" s="54"/>
      <c r="AQ77" s="54"/>
      <c r="AR77" s="54"/>
      <c r="AS77" s="54"/>
      <c r="AT77" s="54"/>
      <c r="AU77" s="54"/>
      <c r="AV77" s="76"/>
      <c r="AW77" s="77"/>
      <c r="AX77" s="54"/>
      <c r="AY77" s="54"/>
      <c r="AZ77" s="54"/>
      <c r="BA77" s="54"/>
      <c r="BB77" s="54"/>
    </row>
    <row r="78" spans="1:54" ht="12.95" hidden="1" customHeight="1" x14ac:dyDescent="0.2">
      <c r="A78" s="57"/>
      <c r="B78" s="2540" t="s">
        <v>438</v>
      </c>
      <c r="C78" s="2541"/>
      <c r="D78" s="2538" t="str">
        <f ca="1">IF(ISBLANK(OFFSET($AP$2,D73,0)),"",OFFSET($AS$2,D73,0))</f>
        <v/>
      </c>
      <c r="E78" s="2539"/>
      <c r="F78" s="2536" t="str">
        <f ca="1">IF(ISBLANK(OFFSET($AP$2,D73,0)),"",OFFSET($AS$2,D73,0)-OFFSET($AY$2,D73,0))</f>
        <v/>
      </c>
      <c r="G78" s="2537"/>
      <c r="H78" s="2538" t="str">
        <f ca="1">IF(ISBLANK(OFFSET($AP$2,H73,0)),"",OFFSET($AS$2,H73,0))</f>
        <v/>
      </c>
      <c r="I78" s="2539"/>
      <c r="J78" s="2536" t="str">
        <f ca="1">IF(ISBLANK(OFFSET($AP$2,H73,0)),"",OFFSET($AS$2,H73,0)-OFFSET($AY$2,H73,0))</f>
        <v/>
      </c>
      <c r="K78" s="2537"/>
      <c r="L78" s="2538" t="str">
        <f ca="1">IF(ISBLANK(OFFSET($AP$2,L73,0)),"",OFFSET($AS$2,L73,0))</f>
        <v/>
      </c>
      <c r="M78" s="2539"/>
      <c r="N78" s="2536" t="str">
        <f ca="1">IF(ISBLANK(OFFSET($AP$2,L73,0)),"",OFFSET($AS$2,L73,0)-OFFSET($AY$2,L73,0))</f>
        <v/>
      </c>
      <c r="O78" s="2537"/>
      <c r="P78" s="2538" t="str">
        <f ca="1">IF(ISBLANK(OFFSET($AP$2,P73,0)),"",OFFSET($AS$2,P73,0))</f>
        <v/>
      </c>
      <c r="Q78" s="2539"/>
      <c r="R78" s="2536" t="str">
        <f ca="1">IF(ISBLANK(OFFSET($AP$2,P73,0)),"",OFFSET($AS$2,P73,0)-OFFSET($AY$2,P73,0))</f>
        <v/>
      </c>
      <c r="S78" s="2537"/>
      <c r="T78" s="2538" t="str">
        <f ca="1">IF(ISBLANK(OFFSET($AP$2,T73,0)),"",OFFSET($AS$2,T73,0))</f>
        <v/>
      </c>
      <c r="U78" s="2539"/>
      <c r="V78" s="2536" t="str">
        <f ca="1">IF(ISBLANK(OFFSET($AP$2,T73,0)),"",OFFSET($AS$2,T73,0)-OFFSET($AY$2,T73,0))</f>
        <v/>
      </c>
      <c r="W78" s="2537"/>
      <c r="X78" s="2538" t="str">
        <f ca="1">IF(ISBLANK(OFFSET($AP$2,X73,0)),"",OFFSET($AS$2,X73,0))</f>
        <v/>
      </c>
      <c r="Y78" s="2539"/>
      <c r="Z78" s="2536" t="str">
        <f ca="1">IF(ISBLANK(OFFSET($AP$2,X73,0)),"",OFFSET($AS$2,X73,0)-OFFSET($AY$2,X73,0))</f>
        <v/>
      </c>
      <c r="AA78" s="2537"/>
      <c r="AB78" s="57"/>
      <c r="AP78" s="54"/>
      <c r="AQ78" s="54"/>
      <c r="AR78" s="54"/>
      <c r="AS78" s="54"/>
      <c r="AT78" s="54"/>
      <c r="AU78" s="54"/>
      <c r="AV78" s="76"/>
      <c r="AW78" s="77"/>
      <c r="AX78" s="54"/>
      <c r="AY78" s="54"/>
      <c r="AZ78" s="54"/>
      <c r="BA78" s="54"/>
      <c r="BB78" s="54"/>
    </row>
    <row r="79" spans="1:54" ht="12.95" hidden="1" customHeight="1" x14ac:dyDescent="0.2">
      <c r="A79" s="57"/>
      <c r="B79" s="2540" t="s">
        <v>75</v>
      </c>
      <c r="C79" s="2541"/>
      <c r="D79" s="2538" t="str">
        <f ca="1">IF(ISBLANK(OFFSET($AP$2,D73,0)),"",OFFSET($AT$2,D73,0))</f>
        <v/>
      </c>
      <c r="E79" s="2539"/>
      <c r="F79" s="2536" t="str">
        <f ca="1">IF(ISBLANK(OFFSET($AP$2,D73,0)),"",OFFSET($AT$2,D73,0)-OFFSET($AZ$2,D73,0))</f>
        <v/>
      </c>
      <c r="G79" s="2537"/>
      <c r="H79" s="2538" t="str">
        <f ca="1">IF(ISBLANK(OFFSET($AP$2,H73,0)),"",OFFSET($AT$2,H73,0))</f>
        <v/>
      </c>
      <c r="I79" s="2539"/>
      <c r="J79" s="2536" t="str">
        <f ca="1">IF(ISBLANK(OFFSET($AP$2,H73,0)),"",OFFSET($AT$2,H73,0)-OFFSET($AZ$2,H73,0))</f>
        <v/>
      </c>
      <c r="K79" s="2537"/>
      <c r="L79" s="2538" t="str">
        <f ca="1">IF(ISBLANK(OFFSET($AP$2,L73,0)),"",OFFSET($AT$2,L73,0))</f>
        <v/>
      </c>
      <c r="M79" s="2539"/>
      <c r="N79" s="2536" t="str">
        <f ca="1">IF(ISBLANK(OFFSET($AP$2,L73,0)),"",OFFSET($AT$2,L73,0)-OFFSET($AZ$2,L73,0))</f>
        <v/>
      </c>
      <c r="O79" s="2537"/>
      <c r="P79" s="2538" t="str">
        <f ca="1">IF(ISBLANK(OFFSET($AP$2,P73,0)),"",OFFSET($AT$2,P73,0))</f>
        <v/>
      </c>
      <c r="Q79" s="2539"/>
      <c r="R79" s="2536" t="str">
        <f ca="1">IF(ISBLANK(OFFSET($AP$2,P73,0)),"",OFFSET($AT$2,P73,0)-OFFSET($AZ$2,P73,0))</f>
        <v/>
      </c>
      <c r="S79" s="2537"/>
      <c r="T79" s="2538" t="str">
        <f ca="1">IF(ISBLANK(OFFSET($AP$2,T73,0)),"",OFFSET($AT$2,T73,0))</f>
        <v/>
      </c>
      <c r="U79" s="2539"/>
      <c r="V79" s="2536" t="str">
        <f ca="1">IF(ISBLANK(OFFSET($AP$2,T73,0)),"",OFFSET($AT$2,T73,0)-OFFSET($AZ$2,T73,0))</f>
        <v/>
      </c>
      <c r="W79" s="2537"/>
      <c r="X79" s="2538" t="str">
        <f ca="1">IF(ISBLANK(OFFSET($AP$2,X73,0)),"",OFFSET($AT$2,X73,0))</f>
        <v/>
      </c>
      <c r="Y79" s="2539"/>
      <c r="Z79" s="2536" t="str">
        <f ca="1">IF(ISBLANK(OFFSET($AP$2,X73,0)),"",OFFSET($AT$2,X73,0)-OFFSET($AZ$2,X73,0))</f>
        <v/>
      </c>
      <c r="AA79" s="2537"/>
      <c r="AB79" s="57"/>
      <c r="AP79" s="54"/>
      <c r="AQ79" s="54"/>
      <c r="AR79" s="54"/>
      <c r="AS79" s="54"/>
      <c r="AT79" s="54"/>
      <c r="AU79" s="54"/>
      <c r="AV79" s="76"/>
      <c r="AW79" s="77"/>
      <c r="AX79" s="54"/>
      <c r="AY79" s="54"/>
      <c r="AZ79" s="54"/>
      <c r="BA79" s="54"/>
      <c r="BB79" s="54"/>
    </row>
    <row r="80" spans="1:54" ht="12.95" hidden="1" customHeight="1" thickBot="1" x14ac:dyDescent="0.25">
      <c r="A80" s="57"/>
      <c r="B80" s="2556" t="s">
        <v>439</v>
      </c>
      <c r="C80" s="2557"/>
      <c r="D80" s="2549" t="str">
        <f ca="1">IF(ISBLANK(OFFSET($AP$2,D73,0)),"",OFFSET($AV$2,D73,0))</f>
        <v/>
      </c>
      <c r="E80" s="2550"/>
      <c r="F80" s="2551" t="str">
        <f ca="1">IF(ISBLANK(OFFSET($AP$2,D73,0)),"",OFFSET($AV$2,D73,0)-OFFSET($BB$2,D73,0))</f>
        <v/>
      </c>
      <c r="G80" s="2552"/>
      <c r="H80" s="2549" t="str">
        <f ca="1">IF(ISBLANK(OFFSET($AP$2,H73,0)),"",OFFSET($AV$2,H73,0))</f>
        <v/>
      </c>
      <c r="I80" s="2550"/>
      <c r="J80" s="2551" t="str">
        <f ca="1">IF(ISBLANK(OFFSET($AP$2,H73,0)),"",OFFSET($AV$2,H73,0)-OFFSET($BB$2,H73,0))</f>
        <v/>
      </c>
      <c r="K80" s="2552"/>
      <c r="L80" s="2549" t="str">
        <f ca="1">IF(ISBLANK(OFFSET($AP$2,L73,0)),"",OFFSET($AV$2,L73,0))</f>
        <v/>
      </c>
      <c r="M80" s="2550"/>
      <c r="N80" s="2551" t="str">
        <f ca="1">IF(ISBLANK(OFFSET($AP$2,L73,0)),"",OFFSET($AV$2,L73,0)-OFFSET($BB$2,L73,0))</f>
        <v/>
      </c>
      <c r="O80" s="2552"/>
      <c r="P80" s="2549" t="str">
        <f ca="1">IF(ISBLANK(OFFSET($AP$2,P73,0)),"",OFFSET($AV$2,P73,0))</f>
        <v/>
      </c>
      <c r="Q80" s="2550"/>
      <c r="R80" s="2551" t="str">
        <f ca="1">IF(ISBLANK(OFFSET($AP$2,P73,0)),"",OFFSET($AV$2,P73,0)-OFFSET($BB$2,P73,0))</f>
        <v/>
      </c>
      <c r="S80" s="2552"/>
      <c r="T80" s="2549" t="str">
        <f ca="1">IF(ISBLANK(OFFSET($AP$2,T73,0)),"",OFFSET($AV$2,T73,0))</f>
        <v/>
      </c>
      <c r="U80" s="2550"/>
      <c r="V80" s="2551" t="str">
        <f ca="1">IF(ISBLANK(OFFSET($AP$2,T73,0)),"",OFFSET($AV$2,T73,0)-OFFSET($BB$2,T73,0))</f>
        <v/>
      </c>
      <c r="W80" s="2552"/>
      <c r="X80" s="2549" t="str">
        <f ca="1">IF(ISBLANK(OFFSET($AP$2,X73,0)),"",OFFSET($AV$2,X73,0))</f>
        <v/>
      </c>
      <c r="Y80" s="2550"/>
      <c r="Z80" s="2551" t="str">
        <f ca="1">IF(ISBLANK(OFFSET($AP$2,X73,0)),"",OFFSET($AV$2,X73,0)-OFFSET($BB$2,X73,0))</f>
        <v/>
      </c>
      <c r="AA80" s="2552"/>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53" t="str">
        <f ca="1">IF(ISBLANK(OFFSET($AP$2,D81,0)),"",CONCATENATE("Seq. ",OFFSET($AP$2,D81,0)))</f>
        <v/>
      </c>
      <c r="E82" s="2554"/>
      <c r="F82" s="2554"/>
      <c r="G82" s="2555"/>
      <c r="H82" s="2553" t="str">
        <f ca="1">IF(ISBLANK(OFFSET($AP$2,H81,0)),"",CONCATENATE("Seq. ",OFFSET($AP$2,H81,0)))</f>
        <v/>
      </c>
      <c r="I82" s="2554"/>
      <c r="J82" s="2554"/>
      <c r="K82" s="2555"/>
      <c r="L82" s="2553" t="str">
        <f ca="1">IF(ISBLANK(OFFSET($AP$2,L81,0)),"",CONCATENATE("Seq. ",OFFSET($AP$2,L81,0)))</f>
        <v/>
      </c>
      <c r="M82" s="2554"/>
      <c r="N82" s="2554"/>
      <c r="O82" s="2555"/>
      <c r="P82" s="2553" t="str">
        <f ca="1">IF(ISBLANK(OFFSET($AP$2,P81,0)),"",CONCATENATE("Seq. ",OFFSET($AP$2,P81,0)))</f>
        <v/>
      </c>
      <c r="Q82" s="2554"/>
      <c r="R82" s="2554"/>
      <c r="S82" s="2555"/>
      <c r="T82" s="2553" t="str">
        <f ca="1">IF(ISBLANK(OFFSET($AP$2,T81,0)),"",CONCATENATE("Seq. ",OFFSET($AP$2,T81,0)))</f>
        <v/>
      </c>
      <c r="U82" s="2554"/>
      <c r="V82" s="2554"/>
      <c r="W82" s="2555"/>
      <c r="X82" s="2553" t="str">
        <f ca="1">IF(ISBLANK(OFFSET($AP$2,X81,0)),"",CONCATENATE("Seq. ",OFFSET($AP$2,X81,0)))</f>
        <v/>
      </c>
      <c r="Y82" s="2554"/>
      <c r="Z82" s="2554"/>
      <c r="AA82" s="2555"/>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42" t="s">
        <v>440</v>
      </c>
      <c r="E83" s="2543"/>
      <c r="F83" s="2543" t="s">
        <v>441</v>
      </c>
      <c r="G83" s="2544"/>
      <c r="H83" s="2542" t="s">
        <v>440</v>
      </c>
      <c r="I83" s="2543"/>
      <c r="J83" s="2543" t="s">
        <v>441</v>
      </c>
      <c r="K83" s="2544"/>
      <c r="L83" s="2542" t="s">
        <v>440</v>
      </c>
      <c r="M83" s="2543"/>
      <c r="N83" s="2543" t="s">
        <v>441</v>
      </c>
      <c r="O83" s="2544"/>
      <c r="P83" s="2542" t="s">
        <v>440</v>
      </c>
      <c r="Q83" s="2543"/>
      <c r="R83" s="2543" t="s">
        <v>441</v>
      </c>
      <c r="S83" s="2544"/>
      <c r="T83" s="2542" t="s">
        <v>440</v>
      </c>
      <c r="U83" s="2543"/>
      <c r="V83" s="2543" t="s">
        <v>441</v>
      </c>
      <c r="W83" s="2544"/>
      <c r="X83" s="2542" t="s">
        <v>440</v>
      </c>
      <c r="Y83" s="2543"/>
      <c r="Z83" s="2543" t="s">
        <v>441</v>
      </c>
      <c r="AA83" s="2544"/>
      <c r="AB83" s="57"/>
      <c r="AP83" s="54"/>
      <c r="AQ83" s="54"/>
      <c r="AR83" s="54"/>
      <c r="AS83" s="54"/>
      <c r="AT83" s="54"/>
      <c r="AU83" s="54"/>
      <c r="AV83" s="76"/>
      <c r="AW83" s="77"/>
      <c r="AX83" s="54"/>
      <c r="AY83" s="54"/>
      <c r="AZ83" s="54"/>
      <c r="BA83" s="54"/>
      <c r="BB83" s="54"/>
    </row>
    <row r="84" spans="1:54" ht="12.95" hidden="1" customHeight="1" x14ac:dyDescent="0.2">
      <c r="A84" s="57"/>
      <c r="B84" s="2547" t="s">
        <v>73</v>
      </c>
      <c r="C84" s="2548"/>
      <c r="D84" s="2538" t="str">
        <f ca="1">IF(ISBLANK(OFFSET($AP$2,D81,0)),"",OFFSET($AQ$2,D81,0)+OFFSET($AU$2,D81,0))</f>
        <v/>
      </c>
      <c r="E84" s="2539"/>
      <c r="F84" s="2536" t="str">
        <f ca="1">IF(ISBLANK(OFFSET($AP$2,D81,0)),"",(OFFSET($AQ$2,D81,0)+OFFSET($AU$2,D81,0))-(OFFSET($AW$2,D81,0)+OFFSET($BA$2,D81,0)))</f>
        <v/>
      </c>
      <c r="G84" s="2537"/>
      <c r="H84" s="2538" t="str">
        <f ca="1">IF(ISBLANK(OFFSET($AP$2,H81,0)),"",OFFSET($AQ$2,H81,0)+OFFSET($AU$2,H81,0))</f>
        <v/>
      </c>
      <c r="I84" s="2539"/>
      <c r="J84" s="2536" t="str">
        <f ca="1">IF(ISBLANK(OFFSET($AP$2,H81,0)),"",(OFFSET($AQ$2,H81,0)+OFFSET($AU$2,H81,0))-(OFFSET($AW$2,H81,0)+OFFSET($BA$2,H81,0)))</f>
        <v/>
      </c>
      <c r="K84" s="2537"/>
      <c r="L84" s="2538" t="str">
        <f ca="1">IF(ISBLANK(OFFSET($AP$2,L81,0)),"",OFFSET($AQ$2,L81,0)+OFFSET($AU$2,L81,0))</f>
        <v/>
      </c>
      <c r="M84" s="2539"/>
      <c r="N84" s="2536" t="str">
        <f ca="1">IF(ISBLANK(OFFSET($AP$2,L81,0)),"",(OFFSET($AQ$2,L81,0)+OFFSET($AU$2,L81,0))-(OFFSET($AW$2,L81,0)+OFFSET($BA$2,L81,0)))</f>
        <v/>
      </c>
      <c r="O84" s="2537"/>
      <c r="P84" s="2538" t="str">
        <f ca="1">IF(ISBLANK(OFFSET($AP$2,P81,0)),"",OFFSET($AQ$2,P81,0)+OFFSET($AU$2,P81,0))</f>
        <v/>
      </c>
      <c r="Q84" s="2539"/>
      <c r="R84" s="2536" t="str">
        <f ca="1">IF(ISBLANK(OFFSET($AP$2,P81,0)),"",(OFFSET($AQ$2,P81,0)+OFFSET($AU$2,P81,0))-(OFFSET($AW$2,P81,0)+OFFSET($BA$2,P81,0)))</f>
        <v/>
      </c>
      <c r="S84" s="2537"/>
      <c r="T84" s="2538" t="str">
        <f ca="1">IF(ISBLANK(OFFSET($AP$2,T81,0)),"",OFFSET($AQ$2,T81,0)+OFFSET($AU$2,T81,0))</f>
        <v/>
      </c>
      <c r="U84" s="2539"/>
      <c r="V84" s="2536" t="str">
        <f ca="1">IF(ISBLANK(OFFSET($AP$2,T81,0)),"",(OFFSET($AQ$2,T81,0)+OFFSET($AU$2,T81,0))-(OFFSET($AW$2,T81,0)+OFFSET($BA$2,T81,0)))</f>
        <v/>
      </c>
      <c r="W84" s="2537"/>
      <c r="X84" s="2538" t="str">
        <f ca="1">IF(ISBLANK(OFFSET($AP$2,X81,0)),"",OFFSET($AQ$2,X81,0)+OFFSET($AU$2,X81,0))</f>
        <v/>
      </c>
      <c r="Y84" s="2539"/>
      <c r="Z84" s="2536" t="str">
        <f ca="1">IF(ISBLANK(OFFSET($AP$2,X81,0)),"",(OFFSET($AQ$2,X81,0)+OFFSET($AU$2,X81,0))-(OFFSET($AW$2,X81,0)+OFFSET($BA$2,X81,0)))</f>
        <v/>
      </c>
      <c r="AA84" s="2537"/>
      <c r="AB84" s="57"/>
      <c r="AP84" s="54"/>
      <c r="AQ84" s="54"/>
      <c r="AR84" s="54"/>
      <c r="AS84" s="54"/>
      <c r="AT84" s="54"/>
      <c r="AU84" s="54"/>
      <c r="AV84" s="76"/>
      <c r="AW84" s="77"/>
      <c r="AX84" s="54"/>
      <c r="AY84" s="54"/>
      <c r="AZ84" s="54"/>
      <c r="BA84" s="54"/>
      <c r="BB84" s="54"/>
    </row>
    <row r="85" spans="1:54" ht="12.95" hidden="1" customHeight="1" x14ac:dyDescent="0.2">
      <c r="A85" s="57"/>
      <c r="B85" s="2540" t="s">
        <v>437</v>
      </c>
      <c r="C85" s="2541"/>
      <c r="D85" s="2538" t="str">
        <f ca="1">IF(ISBLANK(OFFSET($AP$2,D81,0)),"",OFFSET($AR$2,D81,0))</f>
        <v/>
      </c>
      <c r="E85" s="2539"/>
      <c r="F85" s="2536" t="str">
        <f ca="1">IF(ISBLANK(OFFSET($AP$2,D81,0)),"",OFFSET($AR$2,D81,0)-OFFSET($AX$2,D81,0))</f>
        <v/>
      </c>
      <c r="G85" s="2537"/>
      <c r="H85" s="2538" t="str">
        <f ca="1">IF(ISBLANK(OFFSET($AP$2,H81,0)),"",OFFSET($AR$2,H81,0))</f>
        <v/>
      </c>
      <c r="I85" s="2539"/>
      <c r="J85" s="2536" t="str">
        <f ca="1">IF(ISBLANK(OFFSET($AP$2,H81,0)),"",OFFSET($AR$2,H81,0)-OFFSET($AX$2,H81,0))</f>
        <v/>
      </c>
      <c r="K85" s="2537"/>
      <c r="L85" s="2538" t="str">
        <f ca="1">IF(ISBLANK(OFFSET($AP$2,L81,0)),"",OFFSET($AR$2,L81,0))</f>
        <v/>
      </c>
      <c r="M85" s="2539"/>
      <c r="N85" s="2536" t="str">
        <f ca="1">IF(ISBLANK(OFFSET($AP$2,L81,0)),"",OFFSET($AR$2,L81,0)-OFFSET($AX$2,L81,0))</f>
        <v/>
      </c>
      <c r="O85" s="2537"/>
      <c r="P85" s="2538" t="str">
        <f ca="1">IF(ISBLANK(OFFSET($AP$2,P81,0)),"",OFFSET($AR$2,P81,0))</f>
        <v/>
      </c>
      <c r="Q85" s="2539"/>
      <c r="R85" s="2536" t="str">
        <f ca="1">IF(ISBLANK(OFFSET($AP$2,P81,0)),"",OFFSET($AR$2,P81,0)-OFFSET($AX$2,P81,0))</f>
        <v/>
      </c>
      <c r="S85" s="2537"/>
      <c r="T85" s="2538" t="str">
        <f ca="1">IF(ISBLANK(OFFSET($AP$2,T81,0)),"",OFFSET($AR$2,T81,0))</f>
        <v/>
      </c>
      <c r="U85" s="2539"/>
      <c r="V85" s="2536" t="str">
        <f ca="1">IF(ISBLANK(OFFSET($AP$2,T81,0)),"",OFFSET($AR$2,T81,0)-OFFSET($AX$2,T81,0))</f>
        <v/>
      </c>
      <c r="W85" s="2537"/>
      <c r="X85" s="2538" t="str">
        <f ca="1">IF(ISBLANK(OFFSET($AP$2,X81,0)),"",OFFSET($AR$2,X81,0))</f>
        <v/>
      </c>
      <c r="Y85" s="2539"/>
      <c r="Z85" s="2536" t="str">
        <f ca="1">IF(ISBLANK(OFFSET($AP$2,X81,0)),"",OFFSET($AR$2,X81,0)-OFFSET($AX$2,X81,0))</f>
        <v/>
      </c>
      <c r="AA85" s="2537"/>
      <c r="AB85" s="57"/>
      <c r="AP85" s="54"/>
      <c r="AQ85" s="54"/>
      <c r="AR85" s="54"/>
      <c r="AS85" s="54"/>
      <c r="AT85" s="54"/>
      <c r="AU85" s="54"/>
      <c r="AV85" s="76"/>
      <c r="AW85" s="77"/>
      <c r="AX85" s="54"/>
      <c r="AY85" s="54"/>
      <c r="AZ85" s="54"/>
      <c r="BA85" s="54"/>
      <c r="BB85" s="54"/>
    </row>
    <row r="86" spans="1:54" ht="12.95" hidden="1" customHeight="1" x14ac:dyDescent="0.2">
      <c r="A86" s="57"/>
      <c r="B86" s="2540" t="s">
        <v>438</v>
      </c>
      <c r="C86" s="2541"/>
      <c r="D86" s="2538" t="str">
        <f ca="1">IF(ISBLANK(OFFSET($AP$2,D81,0)),"",OFFSET($AS$2,D81,0))</f>
        <v/>
      </c>
      <c r="E86" s="2539"/>
      <c r="F86" s="2536" t="str">
        <f ca="1">IF(ISBLANK(OFFSET($AP$2,D81,0)),"",OFFSET($AS$2,D81,0)-OFFSET($AY$2,D81,0))</f>
        <v/>
      </c>
      <c r="G86" s="2537"/>
      <c r="H86" s="2538" t="str">
        <f ca="1">IF(ISBLANK(OFFSET($AP$2,H81,0)),"",OFFSET($AS$2,H81,0))</f>
        <v/>
      </c>
      <c r="I86" s="2539"/>
      <c r="J86" s="2536" t="str">
        <f ca="1">IF(ISBLANK(OFFSET($AP$2,H81,0)),"",OFFSET($AS$2,H81,0)-OFFSET($AY$2,H81,0))</f>
        <v/>
      </c>
      <c r="K86" s="2537"/>
      <c r="L86" s="2538" t="str">
        <f ca="1">IF(ISBLANK(OFFSET($AP$2,L81,0)),"",OFFSET($AS$2,L81,0))</f>
        <v/>
      </c>
      <c r="M86" s="2539"/>
      <c r="N86" s="2536" t="str">
        <f ca="1">IF(ISBLANK(OFFSET($AP$2,L81,0)),"",OFFSET($AS$2,L81,0)-OFFSET($AY$2,L81,0))</f>
        <v/>
      </c>
      <c r="O86" s="2537"/>
      <c r="P86" s="2538" t="str">
        <f ca="1">IF(ISBLANK(OFFSET($AP$2,P81,0)),"",OFFSET($AS$2,P81,0))</f>
        <v/>
      </c>
      <c r="Q86" s="2539"/>
      <c r="R86" s="2536" t="str">
        <f ca="1">IF(ISBLANK(OFFSET($AP$2,P81,0)),"",OFFSET($AS$2,P81,0)-OFFSET($AY$2,P81,0))</f>
        <v/>
      </c>
      <c r="S86" s="2537"/>
      <c r="T86" s="2538" t="str">
        <f ca="1">IF(ISBLANK(OFFSET($AP$2,T81,0)),"",OFFSET($AS$2,T81,0))</f>
        <v/>
      </c>
      <c r="U86" s="2539"/>
      <c r="V86" s="2536" t="str">
        <f ca="1">IF(ISBLANK(OFFSET($AP$2,T81,0)),"",OFFSET($AS$2,T81,0)-OFFSET($AY$2,T81,0))</f>
        <v/>
      </c>
      <c r="W86" s="2537"/>
      <c r="X86" s="2538" t="str">
        <f ca="1">IF(ISBLANK(OFFSET($AP$2,X81,0)),"",OFFSET($AS$2,X81,0))</f>
        <v/>
      </c>
      <c r="Y86" s="2539"/>
      <c r="Z86" s="2536" t="str">
        <f ca="1">IF(ISBLANK(OFFSET($AP$2,X81,0)),"",OFFSET($AS$2,X81,0)-OFFSET($AY$2,X81,0))</f>
        <v/>
      </c>
      <c r="AA86" s="2537"/>
      <c r="AB86" s="57"/>
      <c r="AP86" s="54"/>
      <c r="AQ86" s="54"/>
      <c r="AR86" s="54"/>
      <c r="AS86" s="54"/>
      <c r="AT86" s="54"/>
      <c r="AU86" s="54"/>
      <c r="AV86" s="76"/>
      <c r="AW86" s="77"/>
      <c r="AX86" s="54"/>
      <c r="AY86" s="54"/>
      <c r="AZ86" s="54"/>
      <c r="BA86" s="54"/>
      <c r="BB86" s="54"/>
    </row>
    <row r="87" spans="1:54" ht="12.95" hidden="1" customHeight="1" x14ac:dyDescent="0.2">
      <c r="A87" s="57"/>
      <c r="B87" s="2540" t="s">
        <v>75</v>
      </c>
      <c r="C87" s="2541"/>
      <c r="D87" s="2538" t="str">
        <f ca="1">IF(ISBLANK(OFFSET($AP$2,D81,0)),"",OFFSET($AT$2,D81,0))</f>
        <v/>
      </c>
      <c r="E87" s="2539"/>
      <c r="F87" s="2536" t="str">
        <f ca="1">IF(ISBLANK(OFFSET($AP$2,D81,0)),"",OFFSET($AT$2,D81,0)-OFFSET($AZ$2,D81,0))</f>
        <v/>
      </c>
      <c r="G87" s="2537"/>
      <c r="H87" s="2538" t="str">
        <f ca="1">IF(ISBLANK(OFFSET($AP$2,H81,0)),"",OFFSET($AT$2,H81,0))</f>
        <v/>
      </c>
      <c r="I87" s="2539"/>
      <c r="J87" s="2536" t="str">
        <f ca="1">IF(ISBLANK(OFFSET($AP$2,H81,0)),"",OFFSET($AT$2,H81,0)-OFFSET($AZ$2,H81,0))</f>
        <v/>
      </c>
      <c r="K87" s="2537"/>
      <c r="L87" s="2538" t="str">
        <f ca="1">IF(ISBLANK(OFFSET($AP$2,L81,0)),"",OFFSET($AT$2,L81,0))</f>
        <v/>
      </c>
      <c r="M87" s="2539"/>
      <c r="N87" s="2536" t="str">
        <f ca="1">IF(ISBLANK(OFFSET($AP$2,L81,0)),"",OFFSET($AT$2,L81,0)-OFFSET($AZ$2,L81,0))</f>
        <v/>
      </c>
      <c r="O87" s="2537"/>
      <c r="P87" s="2538" t="str">
        <f ca="1">IF(ISBLANK(OFFSET($AP$2,P81,0)),"",OFFSET($AT$2,P81,0))</f>
        <v/>
      </c>
      <c r="Q87" s="2539"/>
      <c r="R87" s="2536" t="str">
        <f ca="1">IF(ISBLANK(OFFSET($AP$2,P81,0)),"",OFFSET($AT$2,P81,0)-OFFSET($AZ$2,P81,0))</f>
        <v/>
      </c>
      <c r="S87" s="2537"/>
      <c r="T87" s="2538" t="str">
        <f ca="1">IF(ISBLANK(OFFSET($AP$2,T81,0)),"",OFFSET($AT$2,T81,0))</f>
        <v/>
      </c>
      <c r="U87" s="2539"/>
      <c r="V87" s="2536" t="str">
        <f ca="1">IF(ISBLANK(OFFSET($AP$2,T81,0)),"",OFFSET($AT$2,T81,0)-OFFSET($AZ$2,T81,0))</f>
        <v/>
      </c>
      <c r="W87" s="2537"/>
      <c r="X87" s="2538" t="str">
        <f ca="1">IF(ISBLANK(OFFSET($AP$2,X81,0)),"",OFFSET($AT$2,X81,0))</f>
        <v/>
      </c>
      <c r="Y87" s="2539"/>
      <c r="Z87" s="2536" t="str">
        <f ca="1">IF(ISBLANK(OFFSET($AP$2,X81,0)),"",OFFSET($AT$2,X81,0)-OFFSET($AZ$2,X81,0))</f>
        <v/>
      </c>
      <c r="AA87" s="2537"/>
      <c r="AB87" s="57"/>
      <c r="AP87" s="54"/>
      <c r="AQ87" s="54"/>
      <c r="AR87" s="54"/>
      <c r="AS87" s="54"/>
      <c r="AT87" s="54"/>
      <c r="AU87" s="54"/>
      <c r="AV87" s="76"/>
      <c r="AW87" s="77"/>
      <c r="AX87" s="54"/>
      <c r="AY87" s="54"/>
      <c r="AZ87" s="54"/>
      <c r="BA87" s="54"/>
      <c r="BB87" s="54"/>
    </row>
    <row r="88" spans="1:54" ht="12.95" hidden="1" customHeight="1" thickBot="1" x14ac:dyDescent="0.25">
      <c r="A88" s="57"/>
      <c r="B88" s="2556" t="s">
        <v>439</v>
      </c>
      <c r="C88" s="2557"/>
      <c r="D88" s="2549" t="str">
        <f ca="1">IF(ISBLANK(OFFSET($AP$2,D81,0)),"",OFFSET($AV$2,D81,0))</f>
        <v/>
      </c>
      <c r="E88" s="2550"/>
      <c r="F88" s="2551" t="str">
        <f ca="1">IF(ISBLANK(OFFSET($AP$2,D81,0)),"",OFFSET($AV$2,D81,0)-OFFSET($BB$2,D81,0))</f>
        <v/>
      </c>
      <c r="G88" s="2552"/>
      <c r="H88" s="2549" t="str">
        <f ca="1">IF(ISBLANK(OFFSET($AP$2,H81,0)),"",OFFSET($AV$2,H81,0))</f>
        <v/>
      </c>
      <c r="I88" s="2550"/>
      <c r="J88" s="2551" t="str">
        <f ca="1">IF(ISBLANK(OFFSET($AP$2,H81,0)),"",OFFSET($AV$2,H81,0)-OFFSET($BB$2,H81,0))</f>
        <v/>
      </c>
      <c r="K88" s="2552"/>
      <c r="L88" s="2549" t="str">
        <f ca="1">IF(ISBLANK(OFFSET($AP$2,L81,0)),"",OFFSET($AV$2,L81,0))</f>
        <v/>
      </c>
      <c r="M88" s="2550"/>
      <c r="N88" s="2551" t="str">
        <f ca="1">IF(ISBLANK(OFFSET($AP$2,L81,0)),"",OFFSET($AV$2,L81,0)-OFFSET($BB$2,L81,0))</f>
        <v/>
      </c>
      <c r="O88" s="2552"/>
      <c r="P88" s="2549" t="str">
        <f ca="1">IF(ISBLANK(OFFSET($AP$2,P81,0)),"",OFFSET($AV$2,P81,0))</f>
        <v/>
      </c>
      <c r="Q88" s="2550"/>
      <c r="R88" s="2551" t="str">
        <f ca="1">IF(ISBLANK(OFFSET($AP$2,P81,0)),"",OFFSET($AV$2,P81,0)-OFFSET($BB$2,P81,0))</f>
        <v/>
      </c>
      <c r="S88" s="2552"/>
      <c r="T88" s="2549" t="str">
        <f ca="1">IF(ISBLANK(OFFSET($AP$2,T81,0)),"",OFFSET($AV$2,T81,0))</f>
        <v/>
      </c>
      <c r="U88" s="2550"/>
      <c r="V88" s="2551" t="str">
        <f ca="1">IF(ISBLANK(OFFSET($AP$2,T81,0)),"",OFFSET($AV$2,T81,0)-OFFSET($BB$2,T81,0))</f>
        <v/>
      </c>
      <c r="W88" s="2552"/>
      <c r="X88" s="2549" t="str">
        <f ca="1">IF(ISBLANK(OFFSET($AP$2,X81,0)),"",OFFSET($AV$2,X81,0))</f>
        <v/>
      </c>
      <c r="Y88" s="2550"/>
      <c r="Z88" s="2551" t="str">
        <f ca="1">IF(ISBLANK(OFFSET($AP$2,X81,0)),"",OFFSET($AV$2,X81,0)-OFFSET($BB$2,X81,0))</f>
        <v/>
      </c>
      <c r="AA88" s="2552"/>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53" t="str">
        <f ca="1">IF(ISBLANK(OFFSET($AP$2,D89,0)),"",CONCATENATE("Seq. ",OFFSET($AP$2,D89,0)))</f>
        <v/>
      </c>
      <c r="E90" s="2554"/>
      <c r="F90" s="2554"/>
      <c r="G90" s="2555"/>
      <c r="H90" s="2553" t="str">
        <f ca="1">IF(ISBLANK(OFFSET($AP$2,H89,0)),"",CONCATENATE("Seq. ",OFFSET($AP$2,H89,0)))</f>
        <v/>
      </c>
      <c r="I90" s="2554"/>
      <c r="J90" s="2554"/>
      <c r="K90" s="2555"/>
      <c r="L90" s="2553" t="str">
        <f ca="1">IF(ISBLANK(OFFSET($AP$2,L89,0)),"",CONCATENATE("Seq. ",OFFSET($AP$2,L89,0)))</f>
        <v/>
      </c>
      <c r="M90" s="2554"/>
      <c r="N90" s="2554"/>
      <c r="O90" s="2555"/>
      <c r="P90" s="2553" t="str">
        <f ca="1">IF(ISBLANK(OFFSET($AP$2,P89,0)),"",CONCATENATE("Seq. ",OFFSET($AP$2,P89,0)))</f>
        <v/>
      </c>
      <c r="Q90" s="2554"/>
      <c r="R90" s="2554"/>
      <c r="S90" s="2555"/>
      <c r="T90" s="2553" t="str">
        <f ca="1">IF(ISBLANK(OFFSET($AP$2,T89,0)),"",CONCATENATE("Seq. ",OFFSET($AP$2,T89,0)))</f>
        <v/>
      </c>
      <c r="U90" s="2554"/>
      <c r="V90" s="2554"/>
      <c r="W90" s="2555"/>
      <c r="X90" s="2553" t="str">
        <f ca="1">IF(ISBLANK(OFFSET($AP$2,X89,0)),"",CONCATENATE("Seq. ",OFFSET($AP$2,X89,0)))</f>
        <v/>
      </c>
      <c r="Y90" s="2554"/>
      <c r="Z90" s="2554"/>
      <c r="AA90" s="2555"/>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42" t="s">
        <v>440</v>
      </c>
      <c r="E91" s="2543"/>
      <c r="F91" s="2543" t="s">
        <v>441</v>
      </c>
      <c r="G91" s="2544"/>
      <c r="H91" s="2542" t="s">
        <v>440</v>
      </c>
      <c r="I91" s="2543"/>
      <c r="J91" s="2543" t="s">
        <v>441</v>
      </c>
      <c r="K91" s="2544"/>
      <c r="L91" s="2542" t="s">
        <v>440</v>
      </c>
      <c r="M91" s="2543"/>
      <c r="N91" s="2543" t="s">
        <v>441</v>
      </c>
      <c r="O91" s="2544"/>
      <c r="P91" s="2542" t="s">
        <v>440</v>
      </c>
      <c r="Q91" s="2543"/>
      <c r="R91" s="2543" t="s">
        <v>441</v>
      </c>
      <c r="S91" s="2544"/>
      <c r="T91" s="2542" t="s">
        <v>440</v>
      </c>
      <c r="U91" s="2543"/>
      <c r="V91" s="2543" t="s">
        <v>441</v>
      </c>
      <c r="W91" s="2544"/>
      <c r="X91" s="2542" t="s">
        <v>440</v>
      </c>
      <c r="Y91" s="2543"/>
      <c r="Z91" s="2543" t="s">
        <v>441</v>
      </c>
      <c r="AA91" s="2544"/>
      <c r="AB91" s="57"/>
      <c r="AP91" s="54"/>
      <c r="AQ91" s="54"/>
      <c r="AR91" s="54"/>
      <c r="AS91" s="54"/>
      <c r="AT91" s="54"/>
      <c r="AU91" s="54"/>
      <c r="AV91" s="76"/>
      <c r="AW91" s="77"/>
      <c r="AX91" s="54"/>
      <c r="AY91" s="54"/>
      <c r="AZ91" s="54"/>
      <c r="BA91" s="54"/>
      <c r="BB91" s="54"/>
    </row>
    <row r="92" spans="1:54" ht="12.95" hidden="1" customHeight="1" x14ac:dyDescent="0.2">
      <c r="A92" s="57"/>
      <c r="B92" s="2547" t="s">
        <v>73</v>
      </c>
      <c r="C92" s="2548"/>
      <c r="D92" s="2538" t="str">
        <f ca="1">IF(ISBLANK(OFFSET($AP$2,D89,0)),"",OFFSET($AQ$2,D89,0)+OFFSET($AU$2,D89,0))</f>
        <v/>
      </c>
      <c r="E92" s="2539"/>
      <c r="F92" s="2536" t="str">
        <f ca="1">IF(ISBLANK(OFFSET($AP$2,D89,0)),"",(OFFSET($AQ$2,D89,0)+OFFSET($AU$2,D89,0))-(OFFSET($AW$2,D89,0)+OFFSET($BA$2,D89,0)))</f>
        <v/>
      </c>
      <c r="G92" s="2537"/>
      <c r="H92" s="2538" t="str">
        <f ca="1">IF(ISBLANK(OFFSET($AP$2,H89,0)),"",OFFSET($AQ$2,H89,0)+OFFSET($AU$2,H89,0))</f>
        <v/>
      </c>
      <c r="I92" s="2539"/>
      <c r="J92" s="2536" t="str">
        <f ca="1">IF(ISBLANK(OFFSET($AP$2,H89,0)),"",(OFFSET($AQ$2,H89,0)+OFFSET($AU$2,H89,0))-(OFFSET($AW$2,H89,0)+OFFSET($BA$2,H89,0)))</f>
        <v/>
      </c>
      <c r="K92" s="2537"/>
      <c r="L92" s="2538" t="str">
        <f ca="1">IF(ISBLANK(OFFSET($AP$2,L89,0)),"",OFFSET($AQ$2,L89,0)+OFFSET($AU$2,L89,0))</f>
        <v/>
      </c>
      <c r="M92" s="2539"/>
      <c r="N92" s="2536" t="str">
        <f ca="1">IF(ISBLANK(OFFSET($AP$2,L89,0)),"",(OFFSET($AQ$2,L89,0)+OFFSET($AU$2,L89,0))-(OFFSET($AW$2,L89,0)+OFFSET($BA$2,L89,0)))</f>
        <v/>
      </c>
      <c r="O92" s="2537"/>
      <c r="P92" s="2538" t="str">
        <f ca="1">IF(ISBLANK(OFFSET($AP$2,P89,0)),"",OFFSET($AQ$2,P89,0)+OFFSET($AU$2,P89,0))</f>
        <v/>
      </c>
      <c r="Q92" s="2539"/>
      <c r="R92" s="2536" t="str">
        <f ca="1">IF(ISBLANK(OFFSET($AP$2,P89,0)),"",(OFFSET($AQ$2,P89,0)+OFFSET($AU$2,P89,0))-(OFFSET($AW$2,P89,0)+OFFSET($BA$2,P89,0)))</f>
        <v/>
      </c>
      <c r="S92" s="2537"/>
      <c r="T92" s="2538" t="str">
        <f ca="1">IF(ISBLANK(OFFSET($AP$2,T89,0)),"",OFFSET($AQ$2,T89,0)+OFFSET($AU$2,T89,0))</f>
        <v/>
      </c>
      <c r="U92" s="2539"/>
      <c r="V92" s="2536" t="str">
        <f ca="1">IF(ISBLANK(OFFSET($AP$2,T89,0)),"",(OFFSET($AQ$2,T89,0)+OFFSET($AU$2,T89,0))-(OFFSET($AW$2,T89,0)+OFFSET($BA$2,T89,0)))</f>
        <v/>
      </c>
      <c r="W92" s="2537"/>
      <c r="X92" s="2538" t="str">
        <f ca="1">IF(ISBLANK(OFFSET($AP$2,X89,0)),"",OFFSET($AQ$2,X89,0)+OFFSET($AU$2,X89,0))</f>
        <v/>
      </c>
      <c r="Y92" s="2539"/>
      <c r="Z92" s="2536" t="str">
        <f ca="1">IF(ISBLANK(OFFSET($AP$2,X89,0)),"",(OFFSET($AQ$2,X89,0)+OFFSET($AU$2,X89,0))-(OFFSET($AW$2,X89,0)+OFFSET($BA$2,X89,0)))</f>
        <v/>
      </c>
      <c r="AA92" s="2537"/>
      <c r="AB92" s="57"/>
      <c r="AP92" s="54"/>
      <c r="AQ92" s="54"/>
      <c r="AR92" s="54"/>
      <c r="AS92" s="54"/>
      <c r="AT92" s="54"/>
      <c r="AU92" s="54"/>
      <c r="AV92" s="76"/>
      <c r="AW92" s="77"/>
      <c r="AX92" s="54"/>
      <c r="AY92" s="54"/>
      <c r="AZ92" s="54"/>
      <c r="BA92" s="54"/>
      <c r="BB92" s="54"/>
    </row>
    <row r="93" spans="1:54" ht="12.95" hidden="1" customHeight="1" x14ac:dyDescent="0.2">
      <c r="A93" s="57"/>
      <c r="B93" s="2540" t="s">
        <v>437</v>
      </c>
      <c r="C93" s="2541"/>
      <c r="D93" s="2538" t="str">
        <f ca="1">IF(ISBLANK(OFFSET($AP$2,D89,0)),"",OFFSET($AR$2,D89,0))</f>
        <v/>
      </c>
      <c r="E93" s="2539"/>
      <c r="F93" s="2536" t="str">
        <f ca="1">IF(ISBLANK(OFFSET($AP$2,D89,0)),"",OFFSET($AR$2,D89,0)-OFFSET($AX$2,D89,0))</f>
        <v/>
      </c>
      <c r="G93" s="2537"/>
      <c r="H93" s="2538" t="str">
        <f ca="1">IF(ISBLANK(OFFSET($AP$2,H89,0)),"",OFFSET($AR$2,H89,0))</f>
        <v/>
      </c>
      <c r="I93" s="2539"/>
      <c r="J93" s="2536" t="str">
        <f ca="1">IF(ISBLANK(OFFSET($AP$2,H89,0)),"",OFFSET($AR$2,H89,0)-OFFSET($AX$2,H89,0))</f>
        <v/>
      </c>
      <c r="K93" s="2537"/>
      <c r="L93" s="2538" t="str">
        <f ca="1">IF(ISBLANK(OFFSET($AP$2,L89,0)),"",OFFSET($AR$2,L89,0))</f>
        <v/>
      </c>
      <c r="M93" s="2539"/>
      <c r="N93" s="2536" t="str">
        <f ca="1">IF(ISBLANK(OFFSET($AP$2,L89,0)),"",OFFSET($AR$2,L89,0)-OFFSET($AX$2,L89,0))</f>
        <v/>
      </c>
      <c r="O93" s="2537"/>
      <c r="P93" s="2538" t="str">
        <f ca="1">IF(ISBLANK(OFFSET($AP$2,P89,0)),"",OFFSET($AR$2,P89,0))</f>
        <v/>
      </c>
      <c r="Q93" s="2539"/>
      <c r="R93" s="2536" t="str">
        <f ca="1">IF(ISBLANK(OFFSET($AP$2,P89,0)),"",OFFSET($AR$2,P89,0)-OFFSET($AX$2,P89,0))</f>
        <v/>
      </c>
      <c r="S93" s="2537"/>
      <c r="T93" s="2538" t="str">
        <f ca="1">IF(ISBLANK(OFFSET($AP$2,T89,0)),"",OFFSET($AR$2,T89,0))</f>
        <v/>
      </c>
      <c r="U93" s="2539"/>
      <c r="V93" s="2536" t="str">
        <f ca="1">IF(ISBLANK(OFFSET($AP$2,T89,0)),"",OFFSET($AR$2,T89,0)-OFFSET($AX$2,T89,0))</f>
        <v/>
      </c>
      <c r="W93" s="2537"/>
      <c r="X93" s="2538" t="str">
        <f ca="1">IF(ISBLANK(OFFSET($AP$2,X89,0)),"",OFFSET($AR$2,X89,0))</f>
        <v/>
      </c>
      <c r="Y93" s="2539"/>
      <c r="Z93" s="2536" t="str">
        <f ca="1">IF(ISBLANK(OFFSET($AP$2,X89,0)),"",OFFSET($AR$2,X89,0)-OFFSET($AX$2,X89,0))</f>
        <v/>
      </c>
      <c r="AA93" s="2537"/>
      <c r="AB93" s="57"/>
      <c r="AP93" s="54"/>
      <c r="AQ93" s="54"/>
      <c r="AR93" s="54"/>
      <c r="AS93" s="54"/>
      <c r="AT93" s="54"/>
      <c r="AU93" s="54"/>
      <c r="AV93" s="76"/>
      <c r="AW93" s="77"/>
      <c r="AX93" s="54"/>
      <c r="AY93" s="54"/>
      <c r="AZ93" s="54"/>
      <c r="BA93" s="54"/>
      <c r="BB93" s="54"/>
    </row>
    <row r="94" spans="1:54" ht="12.95" hidden="1" customHeight="1" x14ac:dyDescent="0.2">
      <c r="A94" s="57"/>
      <c r="B94" s="2540" t="s">
        <v>438</v>
      </c>
      <c r="C94" s="2541"/>
      <c r="D94" s="2538" t="str">
        <f ca="1">IF(ISBLANK(OFFSET($AP$2,D89,0)),"",OFFSET($AS$2,D89,0))</f>
        <v/>
      </c>
      <c r="E94" s="2539"/>
      <c r="F94" s="2536" t="str">
        <f ca="1">IF(ISBLANK(OFFSET($AP$2,D89,0)),"",OFFSET($AS$2,D89,0)-OFFSET($AY$2,D89,0))</f>
        <v/>
      </c>
      <c r="G94" s="2537"/>
      <c r="H94" s="2538" t="str">
        <f ca="1">IF(ISBLANK(OFFSET($AP$2,H89,0)),"",OFFSET($AS$2,H89,0))</f>
        <v/>
      </c>
      <c r="I94" s="2539"/>
      <c r="J94" s="2536" t="str">
        <f ca="1">IF(ISBLANK(OFFSET($AP$2,H89,0)),"",OFFSET($AS$2,H89,0)-OFFSET($AY$2,H89,0))</f>
        <v/>
      </c>
      <c r="K94" s="2537"/>
      <c r="L94" s="2538" t="str">
        <f ca="1">IF(ISBLANK(OFFSET($AP$2,L89,0)),"",OFFSET($AS$2,L89,0))</f>
        <v/>
      </c>
      <c r="M94" s="2539"/>
      <c r="N94" s="2536" t="str">
        <f ca="1">IF(ISBLANK(OFFSET($AP$2,L89,0)),"",OFFSET($AS$2,L89,0)-OFFSET($AY$2,L89,0))</f>
        <v/>
      </c>
      <c r="O94" s="2537"/>
      <c r="P94" s="2538" t="str">
        <f ca="1">IF(ISBLANK(OFFSET($AP$2,P89,0)),"",OFFSET($AS$2,P89,0))</f>
        <v/>
      </c>
      <c r="Q94" s="2539"/>
      <c r="R94" s="2536" t="str">
        <f ca="1">IF(ISBLANK(OFFSET($AP$2,P89,0)),"",OFFSET($AS$2,P89,0)-OFFSET($AY$2,P89,0))</f>
        <v/>
      </c>
      <c r="S94" s="2537"/>
      <c r="T94" s="2538" t="str">
        <f ca="1">IF(ISBLANK(OFFSET($AP$2,T89,0)),"",OFFSET($AS$2,T89,0))</f>
        <v/>
      </c>
      <c r="U94" s="2539"/>
      <c r="V94" s="2536" t="str">
        <f ca="1">IF(ISBLANK(OFFSET($AP$2,T89,0)),"",OFFSET($AS$2,T89,0)-OFFSET($AY$2,T89,0))</f>
        <v/>
      </c>
      <c r="W94" s="2537"/>
      <c r="X94" s="2538" t="str">
        <f ca="1">IF(ISBLANK(OFFSET($AP$2,X89,0)),"",OFFSET($AS$2,X89,0))</f>
        <v/>
      </c>
      <c r="Y94" s="2539"/>
      <c r="Z94" s="2536" t="str">
        <f ca="1">IF(ISBLANK(OFFSET($AP$2,X89,0)),"",OFFSET($AS$2,X89,0)-OFFSET($AY$2,X89,0))</f>
        <v/>
      </c>
      <c r="AA94" s="2537"/>
      <c r="AB94" s="57"/>
      <c r="AP94" s="54"/>
      <c r="AQ94" s="54"/>
      <c r="AR94" s="54"/>
      <c r="AS94" s="54"/>
      <c r="AT94" s="54"/>
      <c r="AU94" s="54"/>
      <c r="AV94" s="76"/>
      <c r="AW94" s="77"/>
      <c r="AX94" s="54"/>
      <c r="AY94" s="54"/>
      <c r="AZ94" s="54"/>
      <c r="BA94" s="54"/>
      <c r="BB94" s="54"/>
    </row>
    <row r="95" spans="1:54" ht="12.95" hidden="1" customHeight="1" x14ac:dyDescent="0.2">
      <c r="A95" s="57"/>
      <c r="B95" s="2540" t="s">
        <v>75</v>
      </c>
      <c r="C95" s="2541"/>
      <c r="D95" s="2538" t="str">
        <f ca="1">IF(ISBLANK(OFFSET($AP$2,D89,0)),"",OFFSET($AT$2,D89,0))</f>
        <v/>
      </c>
      <c r="E95" s="2539"/>
      <c r="F95" s="2536" t="str">
        <f ca="1">IF(ISBLANK(OFFSET($AP$2,D89,0)),"",OFFSET($AT$2,D89,0)-OFFSET($AZ$2,D89,0))</f>
        <v/>
      </c>
      <c r="G95" s="2537"/>
      <c r="H95" s="2538" t="str">
        <f ca="1">IF(ISBLANK(OFFSET($AP$2,H89,0)),"",OFFSET($AT$2,H89,0))</f>
        <v/>
      </c>
      <c r="I95" s="2539"/>
      <c r="J95" s="2536" t="str">
        <f ca="1">IF(ISBLANK(OFFSET($AP$2,H89,0)),"",OFFSET($AT$2,H89,0)-OFFSET($AZ$2,H89,0))</f>
        <v/>
      </c>
      <c r="K95" s="2537"/>
      <c r="L95" s="2538" t="str">
        <f ca="1">IF(ISBLANK(OFFSET($AP$2,L89,0)),"",OFFSET($AT$2,L89,0))</f>
        <v/>
      </c>
      <c r="M95" s="2539"/>
      <c r="N95" s="2536" t="str">
        <f ca="1">IF(ISBLANK(OFFSET($AP$2,L89,0)),"",OFFSET($AT$2,L89,0)-OFFSET($AZ$2,L89,0))</f>
        <v/>
      </c>
      <c r="O95" s="2537"/>
      <c r="P95" s="2538" t="str">
        <f ca="1">IF(ISBLANK(OFFSET($AP$2,P89,0)),"",OFFSET($AT$2,P89,0))</f>
        <v/>
      </c>
      <c r="Q95" s="2539"/>
      <c r="R95" s="2536" t="str">
        <f ca="1">IF(ISBLANK(OFFSET($AP$2,P89,0)),"",OFFSET($AT$2,P89,0)-OFFSET($AZ$2,P89,0))</f>
        <v/>
      </c>
      <c r="S95" s="2537"/>
      <c r="T95" s="2538" t="str">
        <f ca="1">IF(ISBLANK(OFFSET($AP$2,T89,0)),"",OFFSET($AT$2,T89,0))</f>
        <v/>
      </c>
      <c r="U95" s="2539"/>
      <c r="V95" s="2536" t="str">
        <f ca="1">IF(ISBLANK(OFFSET($AP$2,T89,0)),"",OFFSET($AT$2,T89,0)-OFFSET($AZ$2,T89,0))</f>
        <v/>
      </c>
      <c r="W95" s="2537"/>
      <c r="X95" s="2538" t="str">
        <f ca="1">IF(ISBLANK(OFFSET($AP$2,X89,0)),"",OFFSET($AT$2,X89,0))</f>
        <v/>
      </c>
      <c r="Y95" s="2539"/>
      <c r="Z95" s="2536" t="str">
        <f ca="1">IF(ISBLANK(OFFSET($AP$2,X89,0)),"",OFFSET($AT$2,X89,0)-OFFSET($AZ$2,X89,0))</f>
        <v/>
      </c>
      <c r="AA95" s="2537"/>
      <c r="AB95" s="57"/>
      <c r="AP95" s="54"/>
      <c r="AQ95" s="54"/>
      <c r="AR95" s="54"/>
      <c r="AS95" s="54"/>
      <c r="AT95" s="54"/>
      <c r="AU95" s="54"/>
      <c r="AV95" s="76"/>
      <c r="AW95" s="77"/>
      <c r="AX95" s="54"/>
      <c r="AY95" s="54"/>
      <c r="AZ95" s="54"/>
      <c r="BA95" s="54"/>
      <c r="BB95" s="54"/>
    </row>
    <row r="96" spans="1:54" ht="12.95" hidden="1" customHeight="1" thickBot="1" x14ac:dyDescent="0.25">
      <c r="A96" s="57"/>
      <c r="B96" s="2556" t="s">
        <v>439</v>
      </c>
      <c r="C96" s="2557"/>
      <c r="D96" s="2549" t="str">
        <f ca="1">IF(ISBLANK(OFFSET($AP$2,D89,0)),"",OFFSET($AV$2,D89,0))</f>
        <v/>
      </c>
      <c r="E96" s="2550"/>
      <c r="F96" s="2551" t="str">
        <f ca="1">IF(ISBLANK(OFFSET($AP$2,D89,0)),"",OFFSET($AV$2,D89,0)-OFFSET($BB$2,D89,0))</f>
        <v/>
      </c>
      <c r="G96" s="2552"/>
      <c r="H96" s="2549" t="str">
        <f ca="1">IF(ISBLANK(OFFSET($AP$2,H89,0)),"",OFFSET($AV$2,H89,0))</f>
        <v/>
      </c>
      <c r="I96" s="2550"/>
      <c r="J96" s="2551" t="str">
        <f ca="1">IF(ISBLANK(OFFSET($AP$2,H89,0)),"",OFFSET($AV$2,H89,0)-OFFSET($BB$2,H89,0))</f>
        <v/>
      </c>
      <c r="K96" s="2552"/>
      <c r="L96" s="2549" t="str">
        <f ca="1">IF(ISBLANK(OFFSET($AP$2,L89,0)),"",OFFSET($AV$2,L89,0))</f>
        <v/>
      </c>
      <c r="M96" s="2550"/>
      <c r="N96" s="2551" t="str">
        <f ca="1">IF(ISBLANK(OFFSET($AP$2,L89,0)),"",OFFSET($AV$2,L89,0)-OFFSET($BB$2,L89,0))</f>
        <v/>
      </c>
      <c r="O96" s="2552"/>
      <c r="P96" s="2549" t="str">
        <f ca="1">IF(ISBLANK(OFFSET($AP$2,P89,0)),"",OFFSET($AV$2,P89,0))</f>
        <v/>
      </c>
      <c r="Q96" s="2550"/>
      <c r="R96" s="2551" t="str">
        <f ca="1">IF(ISBLANK(OFFSET($AP$2,P89,0)),"",OFFSET($AV$2,P89,0)-OFFSET($BB$2,P89,0))</f>
        <v/>
      </c>
      <c r="S96" s="2552"/>
      <c r="T96" s="2549" t="str">
        <f ca="1">IF(ISBLANK(OFFSET($AP$2,T89,0)),"",OFFSET($AV$2,T89,0))</f>
        <v/>
      </c>
      <c r="U96" s="2550"/>
      <c r="V96" s="2551" t="str">
        <f ca="1">IF(ISBLANK(OFFSET($AP$2,T89,0)),"",OFFSET($AV$2,T89,0)-OFFSET($BB$2,T89,0))</f>
        <v/>
      </c>
      <c r="W96" s="2552"/>
      <c r="X96" s="2549" t="str">
        <f ca="1">IF(ISBLANK(OFFSET($AP$2,X89,0)),"",OFFSET($AV$2,X89,0))</f>
        <v/>
      </c>
      <c r="Y96" s="2550"/>
      <c r="Z96" s="2551" t="str">
        <f ca="1">IF(ISBLANK(OFFSET($AP$2,X89,0)),"",OFFSET($AV$2,X89,0)-OFFSET($BB$2,X89,0))</f>
        <v/>
      </c>
      <c r="AA96" s="2552"/>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53" t="str">
        <f ca="1">IF(ISBLANK(OFFSET($AP$2,D97,0)),"",CONCATENATE("Seq. ",OFFSET($AP$2,D97,0)))</f>
        <v/>
      </c>
      <c r="E98" s="2554"/>
      <c r="F98" s="2554"/>
      <c r="G98" s="2555"/>
      <c r="H98" s="2553" t="str">
        <f ca="1">IF(ISBLANK(OFFSET($AP$2,H97,0)),"",CONCATENATE("Seq. ",OFFSET($AP$2,H97,0)))</f>
        <v/>
      </c>
      <c r="I98" s="2554"/>
      <c r="J98" s="2554"/>
      <c r="K98" s="2555"/>
      <c r="L98" s="2553" t="str">
        <f ca="1">IF(ISBLANK(OFFSET($AP$2,L97,0)),"",CONCATENATE("Seq. ",OFFSET($AP$2,L97,0)))</f>
        <v/>
      </c>
      <c r="M98" s="2554"/>
      <c r="N98" s="2554"/>
      <c r="O98" s="2555"/>
      <c r="P98" s="2553" t="str">
        <f ca="1">IF(ISBLANK(OFFSET($AP$2,P97,0)),"",CONCATENATE("Seq. ",OFFSET($AP$2,P97,0)))</f>
        <v/>
      </c>
      <c r="Q98" s="2554"/>
      <c r="R98" s="2554"/>
      <c r="S98" s="2555"/>
      <c r="T98" s="2553" t="str">
        <f ca="1">IF(ISBLANK(OFFSET($AP$2,T97,0)),"",CONCATENATE("Seq. ",OFFSET($AP$2,T97,0)))</f>
        <v/>
      </c>
      <c r="U98" s="2554"/>
      <c r="V98" s="2554"/>
      <c r="W98" s="2555"/>
      <c r="X98" s="2553" t="str">
        <f ca="1">IF(ISBLANK(OFFSET($AP$2,X97,0)),"",CONCATENATE("Seq. ",OFFSET($AP$2,X97,0)))</f>
        <v/>
      </c>
      <c r="Y98" s="2554"/>
      <c r="Z98" s="2554"/>
      <c r="AA98" s="2555"/>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42" t="s">
        <v>440</v>
      </c>
      <c r="E99" s="2543"/>
      <c r="F99" s="2543" t="s">
        <v>441</v>
      </c>
      <c r="G99" s="2544"/>
      <c r="H99" s="2542" t="s">
        <v>440</v>
      </c>
      <c r="I99" s="2543"/>
      <c r="J99" s="2543" t="s">
        <v>441</v>
      </c>
      <c r="K99" s="2544"/>
      <c r="L99" s="2542" t="s">
        <v>440</v>
      </c>
      <c r="M99" s="2543"/>
      <c r="N99" s="2543" t="s">
        <v>441</v>
      </c>
      <c r="O99" s="2544"/>
      <c r="P99" s="2542" t="s">
        <v>440</v>
      </c>
      <c r="Q99" s="2543"/>
      <c r="R99" s="2543" t="s">
        <v>441</v>
      </c>
      <c r="S99" s="2544"/>
      <c r="T99" s="2542" t="s">
        <v>440</v>
      </c>
      <c r="U99" s="2543"/>
      <c r="V99" s="2543" t="s">
        <v>441</v>
      </c>
      <c r="W99" s="2544"/>
      <c r="X99" s="2542" t="s">
        <v>440</v>
      </c>
      <c r="Y99" s="2543"/>
      <c r="Z99" s="2543" t="s">
        <v>441</v>
      </c>
      <c r="AA99" s="2544"/>
      <c r="AB99" s="57"/>
    </row>
    <row r="100" spans="1:54" ht="12.95" hidden="1" customHeight="1" x14ac:dyDescent="0.2">
      <c r="A100" s="57"/>
      <c r="B100" s="2547" t="s">
        <v>73</v>
      </c>
      <c r="C100" s="2548"/>
      <c r="D100" s="2538" t="str">
        <f ca="1">IF(ISBLANK(OFFSET($AP$2,D97,0)),"",OFFSET($AQ$2,D97,0)+OFFSET($AU$2,D97,0))</f>
        <v/>
      </c>
      <c r="E100" s="2539"/>
      <c r="F100" s="2536" t="str">
        <f ca="1">IF(ISBLANK(OFFSET($AP$2,D97,0)),"",(OFFSET($AQ$2,D97,0)+OFFSET($AU$2,D97,0))-(OFFSET($AW$2,D97,0)+OFFSET($BA$2,D97,0)))</f>
        <v/>
      </c>
      <c r="G100" s="2537"/>
      <c r="H100" s="2538" t="str">
        <f ca="1">IF(ISBLANK(OFFSET($AP$2,H97,0)),"",OFFSET($AQ$2,H97,0)+OFFSET($AU$2,H97,0))</f>
        <v/>
      </c>
      <c r="I100" s="2539"/>
      <c r="J100" s="2536" t="str">
        <f ca="1">IF(ISBLANK(OFFSET($AP$2,H97,0)),"",(OFFSET($AQ$2,H97,0)+OFFSET($AU$2,H97,0))-(OFFSET($AW$2,H97,0)+OFFSET($BA$2,H97,0)))</f>
        <v/>
      </c>
      <c r="K100" s="2537"/>
      <c r="L100" s="2538" t="str">
        <f ca="1">IF(ISBLANK(OFFSET($AP$2,L97,0)),"",OFFSET($AQ$2,L97,0)+OFFSET($AU$2,L97,0))</f>
        <v/>
      </c>
      <c r="M100" s="2539"/>
      <c r="N100" s="2536" t="str">
        <f ca="1">IF(ISBLANK(OFFSET($AP$2,L97,0)),"",(OFFSET($AQ$2,L97,0)+OFFSET($AU$2,L97,0))-(OFFSET($AW$2,L97,0)+OFFSET($BA$2,L97,0)))</f>
        <v/>
      </c>
      <c r="O100" s="2537"/>
      <c r="P100" s="2538" t="str">
        <f ca="1">IF(ISBLANK(OFFSET($AP$2,P97,0)),"",OFFSET($AQ$2,P97,0)+OFFSET($AU$2,P97,0))</f>
        <v/>
      </c>
      <c r="Q100" s="2539"/>
      <c r="R100" s="2536" t="str">
        <f ca="1">IF(ISBLANK(OFFSET($AP$2,P97,0)),"",(OFFSET($AQ$2,P97,0)+OFFSET($AU$2,P97,0))-(OFFSET($AW$2,P97,0)+OFFSET($BA$2,P97,0)))</f>
        <v/>
      </c>
      <c r="S100" s="2537"/>
      <c r="T100" s="2538" t="str">
        <f ca="1">IF(ISBLANK(OFFSET($AP$2,T97,0)),"",OFFSET($AQ$2,T97,0)+OFFSET($AU$2,T97,0))</f>
        <v/>
      </c>
      <c r="U100" s="2539"/>
      <c r="V100" s="2536" t="str">
        <f ca="1">IF(ISBLANK(OFFSET($AP$2,T97,0)),"",(OFFSET($AQ$2,T97,0)+OFFSET($AU$2,T97,0))-(OFFSET($AW$2,T97,0)+OFFSET($BA$2,T97,0)))</f>
        <v/>
      </c>
      <c r="W100" s="2537"/>
      <c r="X100" s="2538" t="str">
        <f ca="1">IF(ISBLANK(OFFSET($AP$2,X97,0)),"",OFFSET($AQ$2,X97,0)+OFFSET($AU$2,X97,0))</f>
        <v/>
      </c>
      <c r="Y100" s="2539"/>
      <c r="Z100" s="2536" t="str">
        <f ca="1">IF(ISBLANK(OFFSET($AP$2,X97,0)),"",(OFFSET($AQ$2,X97,0)+OFFSET($AU$2,X97,0))-(OFFSET($AW$2,X97,0)+OFFSET($BA$2,X97,0)))</f>
        <v/>
      </c>
      <c r="AA100" s="2537"/>
      <c r="AB100" s="57"/>
    </row>
    <row r="101" spans="1:54" ht="12.95" hidden="1" customHeight="1" x14ac:dyDescent="0.2">
      <c r="A101" s="57"/>
      <c r="B101" s="2540" t="s">
        <v>437</v>
      </c>
      <c r="C101" s="2541"/>
      <c r="D101" s="2538" t="str">
        <f ca="1">IF(ISBLANK(OFFSET($AP$2,D97,0)),"",OFFSET($AR$2,D97,0))</f>
        <v/>
      </c>
      <c r="E101" s="2539"/>
      <c r="F101" s="2536" t="str">
        <f ca="1">IF(ISBLANK(OFFSET($AP$2,D97,0)),"",OFFSET($AR$2,D97,0)-OFFSET($AX$2,D97,0))</f>
        <v/>
      </c>
      <c r="G101" s="2537"/>
      <c r="H101" s="2538" t="str">
        <f ca="1">IF(ISBLANK(OFFSET($AP$2,H97,0)),"",OFFSET($AR$2,H97,0))</f>
        <v/>
      </c>
      <c r="I101" s="2539"/>
      <c r="J101" s="2536" t="str">
        <f ca="1">IF(ISBLANK(OFFSET($AP$2,H97,0)),"",OFFSET($AR$2,H97,0)-OFFSET($AX$2,H97,0))</f>
        <v/>
      </c>
      <c r="K101" s="2537"/>
      <c r="L101" s="2538" t="str">
        <f ca="1">IF(ISBLANK(OFFSET($AP$2,L97,0)),"",OFFSET($AR$2,L97,0))</f>
        <v/>
      </c>
      <c r="M101" s="2539"/>
      <c r="N101" s="2536" t="str">
        <f ca="1">IF(ISBLANK(OFFSET($AP$2,L97,0)),"",OFFSET($AR$2,L97,0)-OFFSET($AX$2,L97,0))</f>
        <v/>
      </c>
      <c r="O101" s="2537"/>
      <c r="P101" s="2538" t="str">
        <f ca="1">IF(ISBLANK(OFFSET($AP$2,P97,0)),"",OFFSET($AR$2,P97,0))</f>
        <v/>
      </c>
      <c r="Q101" s="2539"/>
      <c r="R101" s="2536" t="str">
        <f ca="1">IF(ISBLANK(OFFSET($AP$2,P97,0)),"",OFFSET($AR$2,P97,0)-OFFSET($AX$2,P97,0))</f>
        <v/>
      </c>
      <c r="S101" s="2537"/>
      <c r="T101" s="2538" t="str">
        <f ca="1">IF(ISBLANK(OFFSET($AP$2,T97,0)),"",OFFSET($AR$2,T97,0))</f>
        <v/>
      </c>
      <c r="U101" s="2539"/>
      <c r="V101" s="2536" t="str">
        <f ca="1">IF(ISBLANK(OFFSET($AP$2,T97,0)),"",OFFSET($AR$2,T97,0)-OFFSET($AX$2,T97,0))</f>
        <v/>
      </c>
      <c r="W101" s="2537"/>
      <c r="X101" s="2538" t="str">
        <f ca="1">IF(ISBLANK(OFFSET($AP$2,X97,0)),"",OFFSET($AR$2,X97,0))</f>
        <v/>
      </c>
      <c r="Y101" s="2539"/>
      <c r="Z101" s="2536" t="str">
        <f ca="1">IF(ISBLANK(OFFSET($AP$2,X97,0)),"",OFFSET($AR$2,X97,0)-OFFSET($AX$2,X97,0))</f>
        <v/>
      </c>
      <c r="AA101" s="2537"/>
      <c r="AB101" s="57"/>
    </row>
    <row r="102" spans="1:54" ht="12.95" hidden="1" customHeight="1" x14ac:dyDescent="0.2">
      <c r="A102" s="57"/>
      <c r="B102" s="2540" t="s">
        <v>438</v>
      </c>
      <c r="C102" s="2541"/>
      <c r="D102" s="2538" t="str">
        <f ca="1">IF(ISBLANK(OFFSET($AP$2,D97,0)),"",OFFSET($AS$2,D97,0))</f>
        <v/>
      </c>
      <c r="E102" s="2539"/>
      <c r="F102" s="2536" t="str">
        <f ca="1">IF(ISBLANK(OFFSET($AP$2,D97,0)),"",OFFSET($AS$2,D97,0)-OFFSET($AY$2,D97,0))</f>
        <v/>
      </c>
      <c r="G102" s="2537"/>
      <c r="H102" s="2538" t="str">
        <f ca="1">IF(ISBLANK(OFFSET($AP$2,H97,0)),"",OFFSET($AS$2,H97,0))</f>
        <v/>
      </c>
      <c r="I102" s="2539"/>
      <c r="J102" s="2536" t="str">
        <f ca="1">IF(ISBLANK(OFFSET($AP$2,H97,0)),"",OFFSET($AS$2,H97,0)-OFFSET($AY$2,H97,0))</f>
        <v/>
      </c>
      <c r="K102" s="2537"/>
      <c r="L102" s="2538" t="str">
        <f ca="1">IF(ISBLANK(OFFSET($AP$2,L97,0)),"",OFFSET($AS$2,L97,0))</f>
        <v/>
      </c>
      <c r="M102" s="2539"/>
      <c r="N102" s="2536" t="str">
        <f ca="1">IF(ISBLANK(OFFSET($AP$2,L97,0)),"",OFFSET($AS$2,L97,0)-OFFSET($AY$2,L97,0))</f>
        <v/>
      </c>
      <c r="O102" s="2537"/>
      <c r="P102" s="2538" t="str">
        <f ca="1">IF(ISBLANK(OFFSET($AP$2,P97,0)),"",OFFSET($AS$2,P97,0))</f>
        <v/>
      </c>
      <c r="Q102" s="2539"/>
      <c r="R102" s="2536" t="str">
        <f ca="1">IF(ISBLANK(OFFSET($AP$2,P97,0)),"",OFFSET($AS$2,P97,0)-OFFSET($AY$2,P97,0))</f>
        <v/>
      </c>
      <c r="S102" s="2537"/>
      <c r="T102" s="2538" t="str">
        <f ca="1">IF(ISBLANK(OFFSET($AP$2,T97,0)),"",OFFSET($AS$2,T97,0))</f>
        <v/>
      </c>
      <c r="U102" s="2539"/>
      <c r="V102" s="2536" t="str">
        <f ca="1">IF(ISBLANK(OFFSET($AP$2,T97,0)),"",OFFSET($AS$2,T97,0)-OFFSET($AY$2,T97,0))</f>
        <v/>
      </c>
      <c r="W102" s="2537"/>
      <c r="X102" s="2538" t="str">
        <f ca="1">IF(ISBLANK(OFFSET($AP$2,X97,0)),"",OFFSET($AS$2,X97,0))</f>
        <v/>
      </c>
      <c r="Y102" s="2539"/>
      <c r="Z102" s="2536" t="str">
        <f ca="1">IF(ISBLANK(OFFSET($AP$2,X97,0)),"",OFFSET($AS$2,X97,0)-OFFSET($AY$2,X97,0))</f>
        <v/>
      </c>
      <c r="AA102" s="2537"/>
      <c r="AB102" s="57"/>
    </row>
    <row r="103" spans="1:54" ht="12.95" hidden="1" customHeight="1" x14ac:dyDescent="0.2">
      <c r="A103" s="57"/>
      <c r="B103" s="2540" t="s">
        <v>75</v>
      </c>
      <c r="C103" s="2541"/>
      <c r="D103" s="2538" t="str">
        <f ca="1">IF(ISBLANK(OFFSET($AP$2,D97,0)),"",OFFSET($AT$2,D97,0))</f>
        <v/>
      </c>
      <c r="E103" s="2539"/>
      <c r="F103" s="2536" t="str">
        <f ca="1">IF(ISBLANK(OFFSET($AP$2,D97,0)),"",OFFSET($AT$2,D97,0)-OFFSET($AZ$2,D97,0))</f>
        <v/>
      </c>
      <c r="G103" s="2537"/>
      <c r="H103" s="2538" t="str">
        <f ca="1">IF(ISBLANK(OFFSET($AP$2,H97,0)),"",OFFSET($AT$2,H97,0))</f>
        <v/>
      </c>
      <c r="I103" s="2539"/>
      <c r="J103" s="2536" t="str">
        <f ca="1">IF(ISBLANK(OFFSET($AP$2,H97,0)),"",OFFSET($AT$2,H97,0)-OFFSET($AZ$2,H97,0))</f>
        <v/>
      </c>
      <c r="K103" s="2537"/>
      <c r="L103" s="2538" t="str">
        <f ca="1">IF(ISBLANK(OFFSET($AP$2,L97,0)),"",OFFSET($AT$2,L97,0))</f>
        <v/>
      </c>
      <c r="M103" s="2539"/>
      <c r="N103" s="2536" t="str">
        <f ca="1">IF(ISBLANK(OFFSET($AP$2,L97,0)),"",OFFSET($AT$2,L97,0)-OFFSET($AZ$2,L97,0))</f>
        <v/>
      </c>
      <c r="O103" s="2537"/>
      <c r="P103" s="2538" t="str">
        <f ca="1">IF(ISBLANK(OFFSET($AP$2,P97,0)),"",OFFSET($AT$2,P97,0))</f>
        <v/>
      </c>
      <c r="Q103" s="2539"/>
      <c r="R103" s="2536" t="str">
        <f ca="1">IF(ISBLANK(OFFSET($AP$2,P97,0)),"",OFFSET($AT$2,P97,0)-OFFSET($AZ$2,P97,0))</f>
        <v/>
      </c>
      <c r="S103" s="2537"/>
      <c r="T103" s="2538" t="str">
        <f ca="1">IF(ISBLANK(OFFSET($AP$2,T97,0)),"",OFFSET($AT$2,T97,0))</f>
        <v/>
      </c>
      <c r="U103" s="2539"/>
      <c r="V103" s="2536" t="str">
        <f ca="1">IF(ISBLANK(OFFSET($AP$2,T97,0)),"",OFFSET($AT$2,T97,0)-OFFSET($AZ$2,T97,0))</f>
        <v/>
      </c>
      <c r="W103" s="2537"/>
      <c r="X103" s="2538" t="str">
        <f ca="1">IF(ISBLANK(OFFSET($AP$2,X97,0)),"",OFFSET($AT$2,X97,0))</f>
        <v/>
      </c>
      <c r="Y103" s="2539"/>
      <c r="Z103" s="2536" t="str">
        <f ca="1">IF(ISBLANK(OFFSET($AP$2,X97,0)),"",OFFSET($AT$2,X97,0)-OFFSET($AZ$2,X97,0))</f>
        <v/>
      </c>
      <c r="AA103" s="2537"/>
      <c r="AB103" s="57"/>
    </row>
    <row r="104" spans="1:54" ht="12.95" hidden="1" customHeight="1" thickBot="1" x14ac:dyDescent="0.25">
      <c r="A104" s="57"/>
      <c r="B104" s="2556" t="s">
        <v>439</v>
      </c>
      <c r="C104" s="2557"/>
      <c r="D104" s="2549" t="str">
        <f ca="1">IF(ISBLANK(OFFSET($AP$2,D97,0)),"",OFFSET($AV$2,D97,0))</f>
        <v/>
      </c>
      <c r="E104" s="2550"/>
      <c r="F104" s="2551" t="str">
        <f ca="1">IF(ISBLANK(OFFSET($AP$2,D97,0)),"",OFFSET($AV$2,D97,0)-OFFSET($BB$2,D97,0))</f>
        <v/>
      </c>
      <c r="G104" s="2552"/>
      <c r="H104" s="2549" t="str">
        <f ca="1">IF(ISBLANK(OFFSET($AP$2,H97,0)),"",OFFSET($AV$2,H97,0))</f>
        <v/>
      </c>
      <c r="I104" s="2550"/>
      <c r="J104" s="2551" t="str">
        <f ca="1">IF(ISBLANK(OFFSET($AP$2,H97,0)),"",OFFSET($AV$2,H97,0)-OFFSET($BB$2,H97,0))</f>
        <v/>
      </c>
      <c r="K104" s="2552"/>
      <c r="L104" s="2549" t="str">
        <f ca="1">IF(ISBLANK(OFFSET($AP$2,L97,0)),"",OFFSET($AV$2,L97,0))</f>
        <v/>
      </c>
      <c r="M104" s="2550"/>
      <c r="N104" s="2551" t="str">
        <f ca="1">IF(ISBLANK(OFFSET($AP$2,L97,0)),"",OFFSET($AV$2,L97,0)-OFFSET($BB$2,L97,0))</f>
        <v/>
      </c>
      <c r="O104" s="2552"/>
      <c r="P104" s="2549" t="str">
        <f ca="1">IF(ISBLANK(OFFSET($AP$2,P97,0)),"",OFFSET($AV$2,P97,0))</f>
        <v/>
      </c>
      <c r="Q104" s="2550"/>
      <c r="R104" s="2551" t="str">
        <f ca="1">IF(ISBLANK(OFFSET($AP$2,P97,0)),"",OFFSET($AV$2,P97,0)-OFFSET($BB$2,P97,0))</f>
        <v/>
      </c>
      <c r="S104" s="2552"/>
      <c r="T104" s="2549" t="str">
        <f ca="1">IF(ISBLANK(OFFSET($AP$2,T97,0)),"",OFFSET($AV$2,T97,0))</f>
        <v/>
      </c>
      <c r="U104" s="2550"/>
      <c r="V104" s="2551" t="str">
        <f ca="1">IF(ISBLANK(OFFSET($AP$2,T97,0)),"",OFFSET($AV$2,T97,0)-OFFSET($BB$2,T97,0))</f>
        <v/>
      </c>
      <c r="W104" s="2552"/>
      <c r="X104" s="2549" t="str">
        <f ca="1">IF(ISBLANK(OFFSET($AP$2,X97,0)),"",OFFSET($AV$2,X97,0))</f>
        <v/>
      </c>
      <c r="Y104" s="2550"/>
      <c r="Z104" s="2551" t="str">
        <f ca="1">IF(ISBLANK(OFFSET($AP$2,X97,0)),"",OFFSET($AV$2,X97,0)-OFFSET($BB$2,X97,0))</f>
        <v/>
      </c>
      <c r="AA104" s="2552"/>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53" t="str">
        <f ca="1">IF(ISBLANK(OFFSET($AP$2,D105,0)),"",CONCATENATE("Seq. ",OFFSET($AP$2,D105,0)))</f>
        <v/>
      </c>
      <c r="E106" s="2554"/>
      <c r="F106" s="2554"/>
      <c r="G106" s="2555"/>
      <c r="H106" s="2553" t="str">
        <f ca="1">IF(ISBLANK(OFFSET($AP$2,H105,0)),"",CONCATENATE("Seq. ",OFFSET($AP$2,H105,0)))</f>
        <v/>
      </c>
      <c r="I106" s="2554"/>
      <c r="J106" s="2554"/>
      <c r="K106" s="2555"/>
      <c r="L106" s="2553" t="str">
        <f ca="1">IF(ISBLANK(OFFSET($AP$2,L105,0)),"",CONCATENATE("Seq. ",OFFSET($AP$2,L105,0)))</f>
        <v/>
      </c>
      <c r="M106" s="2554"/>
      <c r="N106" s="2554"/>
      <c r="O106" s="2555"/>
      <c r="P106" s="2553" t="str">
        <f ca="1">IF(ISBLANK(OFFSET($AP$2,P105,0)),"",CONCATENATE("Seq. ",OFFSET($AP$2,P105,0)))</f>
        <v/>
      </c>
      <c r="Q106" s="2554"/>
      <c r="R106" s="2554"/>
      <c r="S106" s="2555"/>
      <c r="T106" s="2553" t="str">
        <f ca="1">IF(ISBLANK(OFFSET($AP$2,T105,0)),"",CONCATENATE("Seq. ",OFFSET($AP$2,T105,0)))</f>
        <v/>
      </c>
      <c r="U106" s="2554"/>
      <c r="V106" s="2554"/>
      <c r="W106" s="2555"/>
      <c r="X106" s="2553" t="str">
        <f ca="1">IF(ISBLANK(OFFSET($AP$2,X105,0)),"",CONCATENATE("Seq. ",OFFSET($AP$2,X105,0)))</f>
        <v/>
      </c>
      <c r="Y106" s="2554"/>
      <c r="Z106" s="2554"/>
      <c r="AA106" s="2555"/>
      <c r="AB106" s="57"/>
    </row>
    <row r="107" spans="1:54" ht="12.95" hidden="1" customHeight="1" thickBot="1" x14ac:dyDescent="0.25">
      <c r="A107" s="57"/>
      <c r="B107" s="41"/>
      <c r="C107" s="42"/>
      <c r="D107" s="2542" t="s">
        <v>440</v>
      </c>
      <c r="E107" s="2543"/>
      <c r="F107" s="2543" t="s">
        <v>441</v>
      </c>
      <c r="G107" s="2544"/>
      <c r="H107" s="2542" t="s">
        <v>440</v>
      </c>
      <c r="I107" s="2543"/>
      <c r="J107" s="2543" t="s">
        <v>441</v>
      </c>
      <c r="K107" s="2544"/>
      <c r="L107" s="2542" t="s">
        <v>440</v>
      </c>
      <c r="M107" s="2543"/>
      <c r="N107" s="2543" t="s">
        <v>441</v>
      </c>
      <c r="O107" s="2544"/>
      <c r="P107" s="2542" t="s">
        <v>440</v>
      </c>
      <c r="Q107" s="2543"/>
      <c r="R107" s="2543" t="s">
        <v>441</v>
      </c>
      <c r="S107" s="2544"/>
      <c r="T107" s="2542" t="s">
        <v>440</v>
      </c>
      <c r="U107" s="2543"/>
      <c r="V107" s="2543" t="s">
        <v>441</v>
      </c>
      <c r="W107" s="2544"/>
      <c r="X107" s="2542" t="s">
        <v>440</v>
      </c>
      <c r="Y107" s="2543"/>
      <c r="Z107" s="2543" t="s">
        <v>441</v>
      </c>
      <c r="AA107" s="2544"/>
      <c r="AB107" s="57"/>
    </row>
    <row r="108" spans="1:54" ht="12.95" hidden="1" customHeight="1" x14ac:dyDescent="0.2">
      <c r="A108" s="57"/>
      <c r="B108" s="2547" t="s">
        <v>73</v>
      </c>
      <c r="C108" s="2548"/>
      <c r="D108" s="2538" t="str">
        <f ca="1">IF(ISBLANK(OFFSET($AP$2,D105,0)),"",OFFSET($AQ$2,D105,0)+OFFSET($AU$2,D105,0))</f>
        <v/>
      </c>
      <c r="E108" s="2539"/>
      <c r="F108" s="2536" t="str">
        <f ca="1">IF(ISBLANK(OFFSET($AP$2,D105,0)),"",(OFFSET($AQ$2,D105,0)+OFFSET($AU$2,D105,0))-(OFFSET($AW$2,D105,0)+OFFSET($BA$2,D105,0)))</f>
        <v/>
      </c>
      <c r="G108" s="2537"/>
      <c r="H108" s="2538" t="str">
        <f ca="1">IF(ISBLANK(OFFSET($AP$2,H105,0)),"",OFFSET($AQ$2,H105,0)+OFFSET($AU$2,H105,0))</f>
        <v/>
      </c>
      <c r="I108" s="2539"/>
      <c r="J108" s="2536" t="str">
        <f ca="1">IF(ISBLANK(OFFSET($AP$2,H105,0)),"",(OFFSET($AQ$2,H105,0)+OFFSET($AU$2,H105,0))-(OFFSET($AW$2,H105,0)+OFFSET($BA$2,H105,0)))</f>
        <v/>
      </c>
      <c r="K108" s="2537"/>
      <c r="L108" s="2538" t="str">
        <f ca="1">IF(ISBLANK(OFFSET($AP$2,L105,0)),"",OFFSET($AQ$2,L105,0)+OFFSET($AU$2,L105,0))</f>
        <v/>
      </c>
      <c r="M108" s="2539"/>
      <c r="N108" s="2536" t="str">
        <f ca="1">IF(ISBLANK(OFFSET($AP$2,L105,0)),"",(OFFSET($AQ$2,L105,0)+OFFSET($AU$2,L105,0))-(OFFSET($AW$2,L105,0)+OFFSET($BA$2,L105,0)))</f>
        <v/>
      </c>
      <c r="O108" s="2537"/>
      <c r="P108" s="2538" t="str">
        <f ca="1">IF(ISBLANK(OFFSET($AP$2,P105,0)),"",OFFSET($AQ$2,P105,0)+OFFSET($AU$2,P105,0))</f>
        <v/>
      </c>
      <c r="Q108" s="2539"/>
      <c r="R108" s="2536" t="str">
        <f ca="1">IF(ISBLANK(OFFSET($AP$2,P105,0)),"",(OFFSET($AQ$2,P105,0)+OFFSET($AU$2,P105,0))-(OFFSET($AW$2,P105,0)+OFFSET($BA$2,P105,0)))</f>
        <v/>
      </c>
      <c r="S108" s="2537"/>
      <c r="T108" s="2538" t="str">
        <f ca="1">IF(ISBLANK(OFFSET($AP$2,T105,0)),"",OFFSET($AQ$2,T105,0)+OFFSET($AU$2,T105,0))</f>
        <v/>
      </c>
      <c r="U108" s="2539"/>
      <c r="V108" s="2536" t="str">
        <f ca="1">IF(ISBLANK(OFFSET($AP$2,T105,0)),"",(OFFSET($AQ$2,T105,0)+OFFSET($AU$2,T105,0))-(OFFSET($AW$2,T105,0)+OFFSET($BA$2,T105,0)))</f>
        <v/>
      </c>
      <c r="W108" s="2537"/>
      <c r="X108" s="2538" t="str">
        <f ca="1">IF(ISBLANK(OFFSET($AP$2,X105,0)),"",OFFSET($AQ$2,X105,0)+OFFSET($AU$2,X105,0))</f>
        <v/>
      </c>
      <c r="Y108" s="2539"/>
      <c r="Z108" s="2536" t="str">
        <f ca="1">IF(ISBLANK(OFFSET($AP$2,X105,0)),"",(OFFSET($AQ$2,X105,0)+OFFSET($AU$2,X105,0))-(OFFSET($AW$2,X105,0)+OFFSET($BA$2,X105,0)))</f>
        <v/>
      </c>
      <c r="AA108" s="2537"/>
      <c r="AB108" s="57"/>
    </row>
    <row r="109" spans="1:54" ht="12.95" hidden="1" customHeight="1" x14ac:dyDescent="0.2">
      <c r="A109" s="57"/>
      <c r="B109" s="2540" t="s">
        <v>437</v>
      </c>
      <c r="C109" s="2541"/>
      <c r="D109" s="2538" t="str">
        <f ca="1">IF(ISBLANK(OFFSET($AP$2,D105,0)),"",OFFSET($AR$2,D105,0))</f>
        <v/>
      </c>
      <c r="E109" s="2539"/>
      <c r="F109" s="2536" t="str">
        <f ca="1">IF(ISBLANK(OFFSET($AP$2,D105,0)),"",OFFSET($AR$2,D105,0)-OFFSET($AX$2,D105,0))</f>
        <v/>
      </c>
      <c r="G109" s="2537"/>
      <c r="H109" s="2538" t="str">
        <f ca="1">IF(ISBLANK(OFFSET($AP$2,H105,0)),"",OFFSET($AR$2,H105,0))</f>
        <v/>
      </c>
      <c r="I109" s="2539"/>
      <c r="J109" s="2536" t="str">
        <f ca="1">IF(ISBLANK(OFFSET($AP$2,H105,0)),"",OFFSET($AR$2,H105,0)-OFFSET($AX$2,H105,0))</f>
        <v/>
      </c>
      <c r="K109" s="2537"/>
      <c r="L109" s="2538" t="str">
        <f ca="1">IF(ISBLANK(OFFSET($AP$2,L105,0)),"",OFFSET($AR$2,L105,0))</f>
        <v/>
      </c>
      <c r="M109" s="2539"/>
      <c r="N109" s="2536" t="str">
        <f ca="1">IF(ISBLANK(OFFSET($AP$2,L105,0)),"",OFFSET($AR$2,L105,0)-OFFSET($AX$2,L105,0))</f>
        <v/>
      </c>
      <c r="O109" s="2537"/>
      <c r="P109" s="2538" t="str">
        <f ca="1">IF(ISBLANK(OFFSET($AP$2,P105,0)),"",OFFSET($AR$2,P105,0))</f>
        <v/>
      </c>
      <c r="Q109" s="2539"/>
      <c r="R109" s="2536" t="str">
        <f ca="1">IF(ISBLANK(OFFSET($AP$2,P105,0)),"",OFFSET($AR$2,P105,0)-OFFSET($AX$2,P105,0))</f>
        <v/>
      </c>
      <c r="S109" s="2537"/>
      <c r="T109" s="2538" t="str">
        <f ca="1">IF(ISBLANK(OFFSET($AP$2,T105,0)),"",OFFSET($AR$2,T105,0))</f>
        <v/>
      </c>
      <c r="U109" s="2539"/>
      <c r="V109" s="2536" t="str">
        <f ca="1">IF(ISBLANK(OFFSET($AP$2,T105,0)),"",OFFSET($AR$2,T105,0)-OFFSET($AX$2,T105,0))</f>
        <v/>
      </c>
      <c r="W109" s="2537"/>
      <c r="X109" s="2538" t="str">
        <f ca="1">IF(ISBLANK(OFFSET($AP$2,X105,0)),"",OFFSET($AR$2,X105,0))</f>
        <v/>
      </c>
      <c r="Y109" s="2539"/>
      <c r="Z109" s="2536" t="str">
        <f ca="1">IF(ISBLANK(OFFSET($AP$2,X105,0)),"",OFFSET($AR$2,X105,0)-OFFSET($AX$2,X105,0))</f>
        <v/>
      </c>
      <c r="AA109" s="2537"/>
      <c r="AB109" s="57"/>
    </row>
    <row r="110" spans="1:54" ht="12.95" hidden="1" customHeight="1" x14ac:dyDescent="0.2">
      <c r="A110" s="57"/>
      <c r="B110" s="2540" t="s">
        <v>438</v>
      </c>
      <c r="C110" s="2541"/>
      <c r="D110" s="2538" t="str">
        <f ca="1">IF(ISBLANK(OFFSET($AP$2,D105,0)),"",OFFSET($AS$2,D105,0))</f>
        <v/>
      </c>
      <c r="E110" s="2539"/>
      <c r="F110" s="2536" t="str">
        <f ca="1">IF(ISBLANK(OFFSET($AP$2,D105,0)),"",OFFSET($AS$2,D105,0)-OFFSET($AY$2,D105,0))</f>
        <v/>
      </c>
      <c r="G110" s="2537"/>
      <c r="H110" s="2538" t="str">
        <f ca="1">IF(ISBLANK(OFFSET($AP$2,H105,0)),"",OFFSET($AS$2,H105,0))</f>
        <v/>
      </c>
      <c r="I110" s="2539"/>
      <c r="J110" s="2536" t="str">
        <f ca="1">IF(ISBLANK(OFFSET($AP$2,H105,0)),"",OFFSET($AS$2,H105,0)-OFFSET($AY$2,H105,0))</f>
        <v/>
      </c>
      <c r="K110" s="2537"/>
      <c r="L110" s="2538" t="str">
        <f ca="1">IF(ISBLANK(OFFSET($AP$2,L105,0)),"",OFFSET($AS$2,L105,0))</f>
        <v/>
      </c>
      <c r="M110" s="2539"/>
      <c r="N110" s="2536" t="str">
        <f ca="1">IF(ISBLANK(OFFSET($AP$2,L105,0)),"",OFFSET($AS$2,L105,0)-OFFSET($AY$2,L105,0))</f>
        <v/>
      </c>
      <c r="O110" s="2537"/>
      <c r="P110" s="2538" t="str">
        <f ca="1">IF(ISBLANK(OFFSET($AP$2,P105,0)),"",OFFSET($AS$2,P105,0))</f>
        <v/>
      </c>
      <c r="Q110" s="2539"/>
      <c r="R110" s="2536" t="str">
        <f ca="1">IF(ISBLANK(OFFSET($AP$2,P105,0)),"",OFFSET($AS$2,P105,0)-OFFSET($AY$2,P105,0))</f>
        <v/>
      </c>
      <c r="S110" s="2537"/>
      <c r="T110" s="2538" t="str">
        <f ca="1">IF(ISBLANK(OFFSET($AP$2,T105,0)),"",OFFSET($AS$2,T105,0))</f>
        <v/>
      </c>
      <c r="U110" s="2539"/>
      <c r="V110" s="2536" t="str">
        <f ca="1">IF(ISBLANK(OFFSET($AP$2,T105,0)),"",OFFSET($AS$2,T105,0)-OFFSET($AY$2,T105,0))</f>
        <v/>
      </c>
      <c r="W110" s="2537"/>
      <c r="X110" s="2538" t="str">
        <f ca="1">IF(ISBLANK(OFFSET($AP$2,X105,0)),"",OFFSET($AS$2,X105,0))</f>
        <v/>
      </c>
      <c r="Y110" s="2539"/>
      <c r="Z110" s="2536" t="str">
        <f ca="1">IF(ISBLANK(OFFSET($AP$2,X105,0)),"",OFFSET($AS$2,X105,0)-OFFSET($AY$2,X105,0))</f>
        <v/>
      </c>
      <c r="AA110" s="2537"/>
      <c r="AB110" s="57"/>
    </row>
    <row r="111" spans="1:54" ht="12.95" hidden="1" customHeight="1" x14ac:dyDescent="0.2">
      <c r="A111" s="57"/>
      <c r="B111" s="2540" t="s">
        <v>75</v>
      </c>
      <c r="C111" s="2541"/>
      <c r="D111" s="2538" t="str">
        <f ca="1">IF(ISBLANK(OFFSET($AP$2,D105,0)),"",OFFSET($AT$2,D105,0))</f>
        <v/>
      </c>
      <c r="E111" s="2539"/>
      <c r="F111" s="2536" t="str">
        <f ca="1">IF(ISBLANK(OFFSET($AP$2,D105,0)),"",OFFSET($AT$2,D105,0)-OFFSET($AZ$2,D105,0))</f>
        <v/>
      </c>
      <c r="G111" s="2537"/>
      <c r="H111" s="2538" t="str">
        <f ca="1">IF(ISBLANK(OFFSET($AP$2,H105,0)),"",OFFSET($AT$2,H105,0))</f>
        <v/>
      </c>
      <c r="I111" s="2539"/>
      <c r="J111" s="2536" t="str">
        <f ca="1">IF(ISBLANK(OFFSET($AP$2,H105,0)),"",OFFSET($AT$2,H105,0)-OFFSET($AZ$2,H105,0))</f>
        <v/>
      </c>
      <c r="K111" s="2537"/>
      <c r="L111" s="2538" t="str">
        <f ca="1">IF(ISBLANK(OFFSET($AP$2,L105,0)),"",OFFSET($AT$2,L105,0))</f>
        <v/>
      </c>
      <c r="M111" s="2539"/>
      <c r="N111" s="2536" t="str">
        <f ca="1">IF(ISBLANK(OFFSET($AP$2,L105,0)),"",OFFSET($AT$2,L105,0)-OFFSET($AZ$2,L105,0))</f>
        <v/>
      </c>
      <c r="O111" s="2537"/>
      <c r="P111" s="2538" t="str">
        <f ca="1">IF(ISBLANK(OFFSET($AP$2,P105,0)),"",OFFSET($AT$2,P105,0))</f>
        <v/>
      </c>
      <c r="Q111" s="2539"/>
      <c r="R111" s="2536" t="str">
        <f ca="1">IF(ISBLANK(OFFSET($AP$2,P105,0)),"",OFFSET($AT$2,P105,0)-OFFSET($AZ$2,P105,0))</f>
        <v/>
      </c>
      <c r="S111" s="2537"/>
      <c r="T111" s="2538" t="str">
        <f ca="1">IF(ISBLANK(OFFSET($AP$2,T105,0)),"",OFFSET($AT$2,T105,0))</f>
        <v/>
      </c>
      <c r="U111" s="2539"/>
      <c r="V111" s="2536" t="str">
        <f ca="1">IF(ISBLANK(OFFSET($AP$2,T105,0)),"",OFFSET($AT$2,T105,0)-OFFSET($AZ$2,T105,0))</f>
        <v/>
      </c>
      <c r="W111" s="2537"/>
      <c r="X111" s="2538" t="str">
        <f ca="1">IF(ISBLANK(OFFSET($AP$2,X105,0)),"",OFFSET($AT$2,X105,0))</f>
        <v/>
      </c>
      <c r="Y111" s="2539"/>
      <c r="Z111" s="2536" t="str">
        <f ca="1">IF(ISBLANK(OFFSET($AP$2,X105,0)),"",OFFSET($AT$2,X105,0)-OFFSET($AZ$2,X105,0))</f>
        <v/>
      </c>
      <c r="AA111" s="2537"/>
      <c r="AB111" s="57"/>
    </row>
    <row r="112" spans="1:54" ht="12.95" hidden="1" customHeight="1" thickBot="1" x14ac:dyDescent="0.25">
      <c r="A112" s="57"/>
      <c r="B112" s="2556" t="s">
        <v>439</v>
      </c>
      <c r="C112" s="2557"/>
      <c r="D112" s="2549" t="str">
        <f ca="1">IF(ISBLANK(OFFSET($AP$2,D105,0)),"",OFFSET($AV$2,D105,0))</f>
        <v/>
      </c>
      <c r="E112" s="2550"/>
      <c r="F112" s="2551" t="str">
        <f ca="1">IF(ISBLANK(OFFSET($AP$2,D105,0)),"",OFFSET($AV$2,D105,0)-OFFSET($BB$2,D105,0))</f>
        <v/>
      </c>
      <c r="G112" s="2552"/>
      <c r="H112" s="2549" t="str">
        <f ca="1">IF(ISBLANK(OFFSET($AP$2,H105,0)),"",OFFSET($AV$2,H105,0))</f>
        <v/>
      </c>
      <c r="I112" s="2550"/>
      <c r="J112" s="2551" t="str">
        <f ca="1">IF(ISBLANK(OFFSET($AP$2,H105,0)),"",OFFSET($AV$2,H105,0)-OFFSET($BB$2,H105,0))</f>
        <v/>
      </c>
      <c r="K112" s="2552"/>
      <c r="L112" s="2549" t="str">
        <f ca="1">IF(ISBLANK(OFFSET($AP$2,L105,0)),"",OFFSET($AV$2,L105,0))</f>
        <v/>
      </c>
      <c r="M112" s="2550"/>
      <c r="N112" s="2551" t="str">
        <f ca="1">IF(ISBLANK(OFFSET($AP$2,L105,0)),"",OFFSET($AV$2,L105,0)-OFFSET($BB$2,L105,0))</f>
        <v/>
      </c>
      <c r="O112" s="2552"/>
      <c r="P112" s="2549" t="str">
        <f ca="1">IF(ISBLANK(OFFSET($AP$2,P105,0)),"",OFFSET($AV$2,P105,0))</f>
        <v/>
      </c>
      <c r="Q112" s="2550"/>
      <c r="R112" s="2551" t="str">
        <f ca="1">IF(ISBLANK(OFFSET($AP$2,P105,0)),"",OFFSET($AV$2,P105,0)-OFFSET($BB$2,P105,0))</f>
        <v/>
      </c>
      <c r="S112" s="2552"/>
      <c r="T112" s="2549" t="str">
        <f ca="1">IF(ISBLANK(OFFSET($AP$2,T105,0)),"",OFFSET($AV$2,T105,0))</f>
        <v/>
      </c>
      <c r="U112" s="2550"/>
      <c r="V112" s="2551" t="str">
        <f ca="1">IF(ISBLANK(OFFSET($AP$2,T105,0)),"",OFFSET($AV$2,T105,0)-OFFSET($BB$2,T105,0))</f>
        <v/>
      </c>
      <c r="W112" s="2552"/>
      <c r="X112" s="2549" t="str">
        <f ca="1">IF(ISBLANK(OFFSET($AP$2,X105,0)),"",OFFSET($AV$2,X105,0))</f>
        <v/>
      </c>
      <c r="Y112" s="2550"/>
      <c r="Z112" s="2551" t="str">
        <f ca="1">IF(ISBLANK(OFFSET($AP$2,X105,0)),"",OFFSET($AV$2,X105,0)-OFFSET($BB$2,X105,0))</f>
        <v/>
      </c>
      <c r="AA112" s="2552"/>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71" t="str">
        <f ca="1">X1</f>
        <v>775-428-0600</v>
      </c>
      <c r="Y113" s="2571"/>
      <c r="Z113" s="2571"/>
      <c r="AA113" s="2571"/>
      <c r="AB113" s="2571"/>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71" t="str">
        <f ca="1">X2</f>
        <v>775-867-2140</v>
      </c>
      <c r="Y114" s="2571"/>
      <c r="Z114" s="2571"/>
      <c r="AA114" s="2571"/>
      <c r="AB114" s="2571"/>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71" t="str">
        <f ca="1">X3</f>
        <v>775-867-2169</v>
      </c>
      <c r="Y115" s="2571"/>
      <c r="Z115" s="2571"/>
      <c r="AA115" s="2571"/>
      <c r="AB115" s="2571"/>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71" t="str">
        <f ca="1">X4</f>
        <v>775-867-2060</v>
      </c>
      <c r="Y116" s="2571"/>
      <c r="Z116" s="2571"/>
      <c r="AA116" s="2571"/>
      <c r="AB116" s="2571"/>
    </row>
    <row r="117" spans="1:28" ht="12.95" hidden="1" customHeight="1" x14ac:dyDescent="0.2">
      <c r="A117" s="1833" t="str">
        <f ca="1">A5</f>
        <v>8200 Woolery Way | Fallon, NV 89406 | www.newmill.com</v>
      </c>
      <c r="B117" s="1833"/>
      <c r="C117" s="1833"/>
      <c r="D117" s="1833"/>
      <c r="E117" s="1833"/>
      <c r="F117" s="1833"/>
      <c r="G117" s="1833"/>
      <c r="H117" s="1833"/>
      <c r="I117" s="1833"/>
      <c r="J117" s="1833"/>
      <c r="K117" s="1833"/>
      <c r="L117" s="1833"/>
      <c r="M117" s="1833"/>
      <c r="N117" s="1833"/>
      <c r="O117" s="1833"/>
      <c r="P117"/>
      <c r="Q117"/>
      <c r="R117" s="39"/>
      <c r="S117"/>
      <c r="T117"/>
      <c r="U117"/>
      <c r="V117"/>
      <c r="W117"/>
      <c r="X117" s="50" t="s">
        <v>421</v>
      </c>
      <c r="Y117" s="2564">
        <f>Y5</f>
        <v>45048.61509259259</v>
      </c>
      <c r="Z117" s="2565"/>
      <c r="AA117" s="2565"/>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66"/>
      <c r="Z118" s="2567"/>
      <c r="AA118" s="2567"/>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68"/>
      <c r="Z119" s="1924"/>
      <c r="AA119" s="192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69"/>
      <c r="Z120" s="2570"/>
      <c r="AA120" s="2570"/>
      <c r="AB120"/>
    </row>
    <row r="121" spans="1:28" ht="12.95" hidden="1" customHeight="1" x14ac:dyDescent="0.2">
      <c r="A121" s="2559" t="s">
        <v>1</v>
      </c>
      <c r="B121" s="2291"/>
      <c r="C121" s="2291"/>
      <c r="D121" s="2545" t="str">
        <f>D9</f>
        <v>MINDEN UPS BLDG 1</v>
      </c>
      <c r="E121" s="2545"/>
      <c r="F121" s="2545"/>
      <c r="G121" s="2545"/>
      <c r="H121" s="2545"/>
      <c r="I121" s="2545"/>
      <c r="J121" s="2545"/>
      <c r="K121" s="2545"/>
      <c r="L121" s="2545"/>
      <c r="M121" s="2545"/>
      <c r="N121" s="2545"/>
      <c r="O121" s="2545"/>
      <c r="P121" s="2546"/>
      <c r="Q121" s="96"/>
      <c r="R121" s="20" t="s">
        <v>2</v>
      </c>
      <c r="S121" s="2558" t="str">
        <f>S9</f>
        <v>NN22-0071</v>
      </c>
      <c r="T121" s="2291"/>
      <c r="U121" s="2291"/>
      <c r="V121" s="2291"/>
      <c r="W121" s="2291"/>
      <c r="X121" s="96"/>
      <c r="Y121" s="96"/>
      <c r="Z121" s="96"/>
      <c r="AA121" s="96"/>
      <c r="AB121" s="97"/>
    </row>
    <row r="122" spans="1:28" ht="12.95" hidden="1" customHeight="1" x14ac:dyDescent="0.2">
      <c r="A122" s="2559" t="s">
        <v>3</v>
      </c>
      <c r="B122" s="2291"/>
      <c r="C122" s="2291"/>
      <c r="D122" s="2545" t="str">
        <f>D10</f>
        <v>MINDEN, NV</v>
      </c>
      <c r="E122" s="2545"/>
      <c r="F122" s="2545"/>
      <c r="G122" s="2545"/>
      <c r="H122" s="2545"/>
      <c r="I122" s="2545"/>
      <c r="J122" s="2545"/>
      <c r="K122" s="2545"/>
      <c r="L122" s="2545"/>
      <c r="M122" s="2545"/>
      <c r="N122" s="2545"/>
      <c r="O122" s="2545"/>
      <c r="P122" s="2546"/>
      <c r="Q122" s="96"/>
      <c r="R122" s="20" t="s">
        <v>428</v>
      </c>
      <c r="S122" s="2560" t="str">
        <f>S10</f>
        <v>JMM</v>
      </c>
      <c r="T122" s="2291"/>
      <c r="U122" s="96"/>
      <c r="V122" s="98"/>
      <c r="W122" s="20" t="s">
        <v>429</v>
      </c>
      <c r="X122" s="2561" t="str">
        <f>X10</f>
        <v>NR</v>
      </c>
      <c r="Y122" s="2561"/>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53" t="str">
        <f ca="1">IF(ISBLANK(OFFSET($AP$2,D123,0)),"",CONCATENATE("Seq. ",OFFSET($AP$2,D123,0)))</f>
        <v/>
      </c>
      <c r="E124" s="2554"/>
      <c r="F124" s="2554"/>
      <c r="G124" s="2555"/>
      <c r="H124" s="2553" t="str">
        <f ca="1">IF(ISBLANK(OFFSET($AP$2,H123,0)),"",CONCATENATE("Seq. ",OFFSET($AP$2,H123,0)))</f>
        <v/>
      </c>
      <c r="I124" s="2554"/>
      <c r="J124" s="2554"/>
      <c r="K124" s="2555"/>
      <c r="L124" s="2553" t="str">
        <f ca="1">IF(ISBLANK(OFFSET($AP$2,L123,0)),"",CONCATENATE("Seq. ",OFFSET($AP$2,L123,0)))</f>
        <v/>
      </c>
      <c r="M124" s="2554"/>
      <c r="N124" s="2554"/>
      <c r="O124" s="2555"/>
      <c r="P124" s="2553" t="str">
        <f ca="1">IF(ISBLANK(OFFSET($AP$2,P123,0)),"",CONCATENATE("Seq. ",OFFSET($AP$2,P123,0)))</f>
        <v/>
      </c>
      <c r="Q124" s="2554"/>
      <c r="R124" s="2554"/>
      <c r="S124" s="2555"/>
      <c r="T124" s="2553" t="str">
        <f ca="1">IF(ISBLANK(OFFSET($AP$2,T123,0)),"",CONCATENATE("Seq. ",OFFSET($AP$2,T123,0)))</f>
        <v/>
      </c>
      <c r="U124" s="2554"/>
      <c r="V124" s="2554"/>
      <c r="W124" s="2555"/>
      <c r="X124" s="2553" t="str">
        <f ca="1">IF(ISBLANK(OFFSET($AP$2,X123,0)),"",CONCATENATE("Seq. ",OFFSET($AP$2,X123,0)))</f>
        <v/>
      </c>
      <c r="Y124" s="2554"/>
      <c r="Z124" s="2554"/>
      <c r="AA124" s="2555"/>
      <c r="AB124" s="57"/>
    </row>
    <row r="125" spans="1:28" ht="12.95" hidden="1" customHeight="1" thickBot="1" x14ac:dyDescent="0.25">
      <c r="A125" s="57"/>
      <c r="B125" s="41"/>
      <c r="C125" s="42"/>
      <c r="D125" s="2542" t="s">
        <v>440</v>
      </c>
      <c r="E125" s="2543"/>
      <c r="F125" s="2543" t="s">
        <v>441</v>
      </c>
      <c r="G125" s="2544"/>
      <c r="H125" s="2542" t="s">
        <v>440</v>
      </c>
      <c r="I125" s="2543"/>
      <c r="J125" s="2543" t="s">
        <v>441</v>
      </c>
      <c r="K125" s="2544"/>
      <c r="L125" s="2542" t="s">
        <v>440</v>
      </c>
      <c r="M125" s="2543"/>
      <c r="N125" s="2543" t="s">
        <v>441</v>
      </c>
      <c r="O125" s="2544"/>
      <c r="P125" s="2542" t="s">
        <v>440</v>
      </c>
      <c r="Q125" s="2543"/>
      <c r="R125" s="2543" t="s">
        <v>441</v>
      </c>
      <c r="S125" s="2544"/>
      <c r="T125" s="2542" t="s">
        <v>440</v>
      </c>
      <c r="U125" s="2543"/>
      <c r="V125" s="2543" t="s">
        <v>441</v>
      </c>
      <c r="W125" s="2544"/>
      <c r="X125" s="2542" t="s">
        <v>440</v>
      </c>
      <c r="Y125" s="2543"/>
      <c r="Z125" s="2543" t="s">
        <v>441</v>
      </c>
      <c r="AA125" s="2544"/>
      <c r="AB125" s="57"/>
    </row>
    <row r="126" spans="1:28" ht="12.95" hidden="1" customHeight="1" x14ac:dyDescent="0.2">
      <c r="A126" s="57"/>
      <c r="B126" s="2547" t="s">
        <v>73</v>
      </c>
      <c r="C126" s="2548"/>
      <c r="D126" s="2538" t="str">
        <f ca="1">IF(ISBLANK(OFFSET($AP$2,D123,0)),"",OFFSET($AQ$2,D123,0)+OFFSET($AU$2,D123,0))</f>
        <v/>
      </c>
      <c r="E126" s="2539"/>
      <c r="F126" s="2536" t="str">
        <f ca="1">IF(ISBLANK(OFFSET($AP$2,D123,0)),"",(OFFSET($AQ$2,D123,0)+OFFSET($AU$2,D123,0))-(OFFSET($AW$2,D123,0)+OFFSET($BA$2,D123,0)))</f>
        <v/>
      </c>
      <c r="G126" s="2537"/>
      <c r="H126" s="2538" t="str">
        <f ca="1">IF(ISBLANK(OFFSET($AP$2,H123,0)),"",OFFSET($AQ$2,H123,0)+OFFSET($AU$2,H123,0))</f>
        <v/>
      </c>
      <c r="I126" s="2539"/>
      <c r="J126" s="2536" t="str">
        <f ca="1">IF(ISBLANK(OFFSET($AP$2,H123,0)),"",(OFFSET($AQ$2,H123,0)+OFFSET($AU$2,H123,0))-(OFFSET($AW$2,H123,0)+OFFSET($BA$2,H123,0)))</f>
        <v/>
      </c>
      <c r="K126" s="2537"/>
      <c r="L126" s="2538" t="str">
        <f ca="1">IF(ISBLANK(OFFSET($AP$2,L123,0)),"",OFFSET($AQ$2,L123,0)+OFFSET($AU$2,L123,0))</f>
        <v/>
      </c>
      <c r="M126" s="2539"/>
      <c r="N126" s="2536" t="str">
        <f ca="1">IF(ISBLANK(OFFSET($AP$2,L123,0)),"",(OFFSET($AQ$2,L123,0)+OFFSET($AU$2,L123,0))-(OFFSET($AW$2,L123,0)+OFFSET($BA$2,L123,0)))</f>
        <v/>
      </c>
      <c r="O126" s="2537"/>
      <c r="P126" s="2538" t="str">
        <f ca="1">IF(ISBLANK(OFFSET($AP$2,P123,0)),"",OFFSET($AQ$2,P123,0)+OFFSET($AU$2,P123,0))</f>
        <v/>
      </c>
      <c r="Q126" s="2539"/>
      <c r="R126" s="2536" t="str">
        <f ca="1">IF(ISBLANK(OFFSET($AP$2,P123,0)),"",(OFFSET($AQ$2,P123,0)+OFFSET($AU$2,P123,0))-(OFFSET($AW$2,P123,0)+OFFSET($BA$2,P123,0)))</f>
        <v/>
      </c>
      <c r="S126" s="2537"/>
      <c r="T126" s="2538" t="str">
        <f ca="1">IF(ISBLANK(OFFSET($AP$2,T123,0)),"",OFFSET($AQ$2,T123,0)+OFFSET($AU$2,T123,0))</f>
        <v/>
      </c>
      <c r="U126" s="2539"/>
      <c r="V126" s="2536" t="str">
        <f ca="1">IF(ISBLANK(OFFSET($AP$2,T123,0)),"",(OFFSET($AQ$2,T123,0)+OFFSET($AU$2,T123,0))-(OFFSET($AW$2,T123,0)+OFFSET($BA$2,T123,0)))</f>
        <v/>
      </c>
      <c r="W126" s="2537"/>
      <c r="X126" s="2538" t="str">
        <f ca="1">IF(ISBLANK(OFFSET($AP$2,X123,0)),"",OFFSET($AQ$2,X123,0)+OFFSET($AU$2,X123,0))</f>
        <v/>
      </c>
      <c r="Y126" s="2539"/>
      <c r="Z126" s="2536" t="str">
        <f ca="1">IF(ISBLANK(OFFSET($AP$2,X123,0)),"",(OFFSET($AQ$2,X123,0)+OFFSET($AU$2,X123,0))-(OFFSET($AW$2,X123,0)+OFFSET($BA$2,X123,0)))</f>
        <v/>
      </c>
      <c r="AA126" s="2537"/>
      <c r="AB126" s="57"/>
    </row>
    <row r="127" spans="1:28" ht="12.95" hidden="1" customHeight="1" x14ac:dyDescent="0.2">
      <c r="A127" s="57"/>
      <c r="B127" s="2540" t="s">
        <v>437</v>
      </c>
      <c r="C127" s="2541"/>
      <c r="D127" s="2538" t="str">
        <f ca="1">IF(ISBLANK(OFFSET($AP$2,D123,0)),"",OFFSET($AR$2,D123,0))</f>
        <v/>
      </c>
      <c r="E127" s="2539"/>
      <c r="F127" s="2536" t="str">
        <f ca="1">IF(ISBLANK(OFFSET($AP$2,D123,0)),"",OFFSET($AR$2,D123,0)-OFFSET($AX$2,D123,0))</f>
        <v/>
      </c>
      <c r="G127" s="2537"/>
      <c r="H127" s="2538" t="str">
        <f ca="1">IF(ISBLANK(OFFSET($AP$2,H123,0)),"",OFFSET($AR$2,H123,0))</f>
        <v/>
      </c>
      <c r="I127" s="2539"/>
      <c r="J127" s="2536" t="str">
        <f ca="1">IF(ISBLANK(OFFSET($AP$2,H123,0)),"",OFFSET($AR$2,H123,0)-OFFSET($AX$2,H123,0))</f>
        <v/>
      </c>
      <c r="K127" s="2537"/>
      <c r="L127" s="2538" t="str">
        <f ca="1">IF(ISBLANK(OFFSET($AP$2,L123,0)),"",OFFSET($AR$2,L123,0))</f>
        <v/>
      </c>
      <c r="M127" s="2539"/>
      <c r="N127" s="2536" t="str">
        <f ca="1">IF(ISBLANK(OFFSET($AP$2,L123,0)),"",OFFSET($AR$2,L123,0)-OFFSET($AX$2,L123,0))</f>
        <v/>
      </c>
      <c r="O127" s="2537"/>
      <c r="P127" s="2538" t="str">
        <f ca="1">IF(ISBLANK(OFFSET($AP$2,P123,0)),"",OFFSET($AR$2,P123,0))</f>
        <v/>
      </c>
      <c r="Q127" s="2539"/>
      <c r="R127" s="2536" t="str">
        <f ca="1">IF(ISBLANK(OFFSET($AP$2,P123,0)),"",OFFSET($AR$2,P123,0)-OFFSET($AX$2,P123,0))</f>
        <v/>
      </c>
      <c r="S127" s="2537"/>
      <c r="T127" s="2538" t="str">
        <f ca="1">IF(ISBLANK(OFFSET($AP$2,T123,0)),"",OFFSET($AR$2,T123,0))</f>
        <v/>
      </c>
      <c r="U127" s="2539"/>
      <c r="V127" s="2536" t="str">
        <f ca="1">IF(ISBLANK(OFFSET($AP$2,T123,0)),"",OFFSET($AR$2,T123,0)-OFFSET($AX$2,T123,0))</f>
        <v/>
      </c>
      <c r="W127" s="2537"/>
      <c r="X127" s="2538" t="str">
        <f ca="1">IF(ISBLANK(OFFSET($AP$2,X123,0)),"",OFFSET($AR$2,X123,0))</f>
        <v/>
      </c>
      <c r="Y127" s="2539"/>
      <c r="Z127" s="2536" t="str">
        <f ca="1">IF(ISBLANK(OFFSET($AP$2,X123,0)),"",OFFSET($AR$2,X123,0)-OFFSET($AX$2,X123,0))</f>
        <v/>
      </c>
      <c r="AA127" s="2537"/>
      <c r="AB127" s="57"/>
    </row>
    <row r="128" spans="1:28" ht="12.95" hidden="1" customHeight="1" x14ac:dyDescent="0.2">
      <c r="A128" s="57"/>
      <c r="B128" s="2540" t="s">
        <v>438</v>
      </c>
      <c r="C128" s="2541"/>
      <c r="D128" s="2538" t="str">
        <f ca="1">IF(ISBLANK(OFFSET($AP$2,D123,0)),"",OFFSET($AS$2,D123,0))</f>
        <v/>
      </c>
      <c r="E128" s="2539"/>
      <c r="F128" s="2536" t="str">
        <f ca="1">IF(ISBLANK(OFFSET($AP$2,D123,0)),"",OFFSET($AS$2,D123,0)-OFFSET($AY$2,D123,0))</f>
        <v/>
      </c>
      <c r="G128" s="2537"/>
      <c r="H128" s="2538" t="str">
        <f ca="1">IF(ISBLANK(OFFSET($AP$2,H123,0)),"",OFFSET($AS$2,H123,0))</f>
        <v/>
      </c>
      <c r="I128" s="2539"/>
      <c r="J128" s="2536" t="str">
        <f ca="1">IF(ISBLANK(OFFSET($AP$2,H123,0)),"",OFFSET($AS$2,H123,0)-OFFSET($AY$2,H123,0))</f>
        <v/>
      </c>
      <c r="K128" s="2537"/>
      <c r="L128" s="2538" t="str">
        <f ca="1">IF(ISBLANK(OFFSET($AP$2,L123,0)),"",OFFSET($AS$2,L123,0))</f>
        <v/>
      </c>
      <c r="M128" s="2539"/>
      <c r="N128" s="2536" t="str">
        <f ca="1">IF(ISBLANK(OFFSET($AP$2,L123,0)),"",OFFSET($AS$2,L123,0)-OFFSET($AY$2,L123,0))</f>
        <v/>
      </c>
      <c r="O128" s="2537"/>
      <c r="P128" s="2538" t="str">
        <f ca="1">IF(ISBLANK(OFFSET($AP$2,P123,0)),"",OFFSET($AS$2,P123,0))</f>
        <v/>
      </c>
      <c r="Q128" s="2539"/>
      <c r="R128" s="2536" t="str">
        <f ca="1">IF(ISBLANK(OFFSET($AP$2,P123,0)),"",OFFSET($AS$2,P123,0)-OFFSET($AY$2,P123,0))</f>
        <v/>
      </c>
      <c r="S128" s="2537"/>
      <c r="T128" s="2538" t="str">
        <f ca="1">IF(ISBLANK(OFFSET($AP$2,T123,0)),"",OFFSET($AS$2,T123,0))</f>
        <v/>
      </c>
      <c r="U128" s="2539"/>
      <c r="V128" s="2536" t="str">
        <f ca="1">IF(ISBLANK(OFFSET($AP$2,T123,0)),"",OFFSET($AS$2,T123,0)-OFFSET($AY$2,T123,0))</f>
        <v/>
      </c>
      <c r="W128" s="2537"/>
      <c r="X128" s="2538" t="str">
        <f ca="1">IF(ISBLANK(OFFSET($AP$2,X123,0)),"",OFFSET($AS$2,X123,0))</f>
        <v/>
      </c>
      <c r="Y128" s="2539"/>
      <c r="Z128" s="2536" t="str">
        <f ca="1">IF(ISBLANK(OFFSET($AP$2,X123,0)),"",OFFSET($AS$2,X123,0)-OFFSET($AY$2,X123,0))</f>
        <v/>
      </c>
      <c r="AA128" s="2537"/>
      <c r="AB128" s="57"/>
    </row>
    <row r="129" spans="1:28" ht="12.95" hidden="1" customHeight="1" x14ac:dyDescent="0.2">
      <c r="A129" s="57"/>
      <c r="B129" s="2540" t="s">
        <v>75</v>
      </c>
      <c r="C129" s="2541"/>
      <c r="D129" s="2538" t="str">
        <f ca="1">IF(ISBLANK(OFFSET($AP$2,D123,0)),"",OFFSET($AT$2,D123,0))</f>
        <v/>
      </c>
      <c r="E129" s="2539"/>
      <c r="F129" s="2536" t="str">
        <f ca="1">IF(ISBLANK(OFFSET($AP$2,D123,0)),"",OFFSET($AT$2,D123,0)-OFFSET($AZ$2,D123,0))</f>
        <v/>
      </c>
      <c r="G129" s="2537"/>
      <c r="H129" s="2538" t="str">
        <f ca="1">IF(ISBLANK(OFFSET($AP$2,H123,0)),"",OFFSET($AT$2,H123,0))</f>
        <v/>
      </c>
      <c r="I129" s="2539"/>
      <c r="J129" s="2536" t="str">
        <f ca="1">IF(ISBLANK(OFFSET($AP$2,H123,0)),"",OFFSET($AT$2,H123,0)-OFFSET($AZ$2,H123,0))</f>
        <v/>
      </c>
      <c r="K129" s="2537"/>
      <c r="L129" s="2538" t="str">
        <f ca="1">IF(ISBLANK(OFFSET($AP$2,L123,0)),"",OFFSET($AT$2,L123,0))</f>
        <v/>
      </c>
      <c r="M129" s="2539"/>
      <c r="N129" s="2536" t="str">
        <f ca="1">IF(ISBLANK(OFFSET($AP$2,L123,0)),"",OFFSET($AT$2,L123,0)-OFFSET($AZ$2,L123,0))</f>
        <v/>
      </c>
      <c r="O129" s="2537"/>
      <c r="P129" s="2538" t="str">
        <f ca="1">IF(ISBLANK(OFFSET($AP$2,P123,0)),"",OFFSET($AT$2,P123,0))</f>
        <v/>
      </c>
      <c r="Q129" s="2539"/>
      <c r="R129" s="2536" t="str">
        <f ca="1">IF(ISBLANK(OFFSET($AP$2,P123,0)),"",OFFSET($AT$2,P123,0)-OFFSET($AZ$2,P123,0))</f>
        <v/>
      </c>
      <c r="S129" s="2537"/>
      <c r="T129" s="2538" t="str">
        <f ca="1">IF(ISBLANK(OFFSET($AP$2,T123,0)),"",OFFSET($AT$2,T123,0))</f>
        <v/>
      </c>
      <c r="U129" s="2539"/>
      <c r="V129" s="2536" t="str">
        <f ca="1">IF(ISBLANK(OFFSET($AP$2,T123,0)),"",OFFSET($AT$2,T123,0)-OFFSET($AZ$2,T123,0))</f>
        <v/>
      </c>
      <c r="W129" s="2537"/>
      <c r="X129" s="2538" t="str">
        <f ca="1">IF(ISBLANK(OFFSET($AP$2,X123,0)),"",OFFSET($AT$2,X123,0))</f>
        <v/>
      </c>
      <c r="Y129" s="2539"/>
      <c r="Z129" s="2536" t="str">
        <f ca="1">IF(ISBLANK(OFFSET($AP$2,X123,0)),"",OFFSET($AT$2,X123,0)-OFFSET($AZ$2,X123,0))</f>
        <v/>
      </c>
      <c r="AA129" s="2537"/>
      <c r="AB129" s="57"/>
    </row>
    <row r="130" spans="1:28" ht="12.95" hidden="1" customHeight="1" thickBot="1" x14ac:dyDescent="0.25">
      <c r="A130" s="57"/>
      <c r="B130" s="2556" t="s">
        <v>439</v>
      </c>
      <c r="C130" s="2557"/>
      <c r="D130" s="2549" t="str">
        <f ca="1">IF(ISBLANK(OFFSET($AP$2,D123,0)),"",OFFSET($AV$2,D123,0))</f>
        <v/>
      </c>
      <c r="E130" s="2550"/>
      <c r="F130" s="2551" t="str">
        <f ca="1">IF(ISBLANK(OFFSET($AP$2,D123,0)),"",OFFSET($AV$2,D123,0)-OFFSET($BB$2,D123,0))</f>
        <v/>
      </c>
      <c r="G130" s="2552"/>
      <c r="H130" s="2549" t="str">
        <f ca="1">IF(ISBLANK(OFFSET($AP$2,H123,0)),"",OFFSET($AV$2,H123,0))</f>
        <v/>
      </c>
      <c r="I130" s="2550"/>
      <c r="J130" s="2551" t="str">
        <f ca="1">IF(ISBLANK(OFFSET($AP$2,H123,0)),"",OFFSET($AV$2,H123,0)-OFFSET($BB$2,H123,0))</f>
        <v/>
      </c>
      <c r="K130" s="2552"/>
      <c r="L130" s="2549" t="str">
        <f ca="1">IF(ISBLANK(OFFSET($AP$2,L123,0)),"",OFFSET($AV$2,L123,0))</f>
        <v/>
      </c>
      <c r="M130" s="2550"/>
      <c r="N130" s="2551" t="str">
        <f ca="1">IF(ISBLANK(OFFSET($AP$2,L123,0)),"",OFFSET($AV$2,L123,0)-OFFSET($BB$2,L123,0))</f>
        <v/>
      </c>
      <c r="O130" s="2552"/>
      <c r="P130" s="2549" t="str">
        <f ca="1">IF(ISBLANK(OFFSET($AP$2,P123,0)),"",OFFSET($AV$2,P123,0))</f>
        <v/>
      </c>
      <c r="Q130" s="2550"/>
      <c r="R130" s="2551" t="str">
        <f ca="1">IF(ISBLANK(OFFSET($AP$2,P123,0)),"",OFFSET($AV$2,P123,0)-OFFSET($BB$2,P123,0))</f>
        <v/>
      </c>
      <c r="S130" s="2552"/>
      <c r="T130" s="2549" t="str">
        <f ca="1">IF(ISBLANK(OFFSET($AP$2,T123,0)),"",OFFSET($AV$2,T123,0))</f>
        <v/>
      </c>
      <c r="U130" s="2550"/>
      <c r="V130" s="2551" t="str">
        <f ca="1">IF(ISBLANK(OFFSET($AP$2,T123,0)),"",OFFSET($AV$2,T123,0)-OFFSET($BB$2,T123,0))</f>
        <v/>
      </c>
      <c r="W130" s="2552"/>
      <c r="X130" s="2549" t="str">
        <f ca="1">IF(ISBLANK(OFFSET($AP$2,X123,0)),"",OFFSET($AV$2,X123,0))</f>
        <v/>
      </c>
      <c r="Y130" s="2550"/>
      <c r="Z130" s="2551" t="str">
        <f ca="1">IF(ISBLANK(OFFSET($AP$2,X123,0)),"",OFFSET($AV$2,X123,0)-OFFSET($BB$2,X123,0))</f>
        <v/>
      </c>
      <c r="AA130" s="2552"/>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53" t="str">
        <f ca="1">IF(ISBLANK(OFFSET($AP$2,D131,0)),"",CONCATENATE("Seq. ",OFFSET($AP$2,D131,0)))</f>
        <v/>
      </c>
      <c r="E132" s="2554"/>
      <c r="F132" s="2554"/>
      <c r="G132" s="2555"/>
      <c r="H132" s="2553" t="str">
        <f ca="1">IF(ISBLANK(OFFSET($AP$2,H131,0)),"",CONCATENATE("Seq. ",OFFSET($AP$2,H131,0)))</f>
        <v/>
      </c>
      <c r="I132" s="2554"/>
      <c r="J132" s="2554"/>
      <c r="K132" s="2555"/>
      <c r="L132" s="2553" t="str">
        <f ca="1">IF(ISBLANK(OFFSET($AP$2,L131,0)),"",CONCATENATE("Seq. ",OFFSET($AP$2,L131,0)))</f>
        <v/>
      </c>
      <c r="M132" s="2554"/>
      <c r="N132" s="2554"/>
      <c r="O132" s="2555"/>
      <c r="P132" s="2553" t="str">
        <f ca="1">IF(ISBLANK(OFFSET($AP$2,P131,0)),"",CONCATENATE("Seq. ",OFFSET($AP$2,P131,0)))</f>
        <v/>
      </c>
      <c r="Q132" s="2554"/>
      <c r="R132" s="2554"/>
      <c r="S132" s="2555"/>
      <c r="T132" s="2553" t="str">
        <f ca="1">IF(ISBLANK(OFFSET($AP$2,T131,0)),"",CONCATENATE("Seq. ",OFFSET($AP$2,T131,0)))</f>
        <v/>
      </c>
      <c r="U132" s="2554"/>
      <c r="V132" s="2554"/>
      <c r="W132" s="2555"/>
      <c r="X132" s="2553" t="str">
        <f ca="1">IF(ISBLANK(OFFSET($AP$2,X131,0)),"",CONCATENATE("Seq. ",OFFSET($AP$2,X131,0)))</f>
        <v/>
      </c>
      <c r="Y132" s="2554"/>
      <c r="Z132" s="2554"/>
      <c r="AA132" s="2555"/>
      <c r="AB132" s="57"/>
    </row>
    <row r="133" spans="1:28" ht="12.95" hidden="1" customHeight="1" thickBot="1" x14ac:dyDescent="0.25">
      <c r="A133" s="57"/>
      <c r="B133" s="41"/>
      <c r="C133" s="42"/>
      <c r="D133" s="2542" t="s">
        <v>440</v>
      </c>
      <c r="E133" s="2543"/>
      <c r="F133" s="2543" t="s">
        <v>441</v>
      </c>
      <c r="G133" s="2544"/>
      <c r="H133" s="2542" t="s">
        <v>440</v>
      </c>
      <c r="I133" s="2543"/>
      <c r="J133" s="2543" t="s">
        <v>441</v>
      </c>
      <c r="K133" s="2544"/>
      <c r="L133" s="2542" t="s">
        <v>440</v>
      </c>
      <c r="M133" s="2543"/>
      <c r="N133" s="2543" t="s">
        <v>441</v>
      </c>
      <c r="O133" s="2544"/>
      <c r="P133" s="2542" t="s">
        <v>440</v>
      </c>
      <c r="Q133" s="2543"/>
      <c r="R133" s="2543" t="s">
        <v>441</v>
      </c>
      <c r="S133" s="2544"/>
      <c r="T133" s="2542" t="s">
        <v>440</v>
      </c>
      <c r="U133" s="2543"/>
      <c r="V133" s="2543" t="s">
        <v>441</v>
      </c>
      <c r="W133" s="2544"/>
      <c r="X133" s="2542" t="s">
        <v>440</v>
      </c>
      <c r="Y133" s="2543"/>
      <c r="Z133" s="2543" t="s">
        <v>441</v>
      </c>
      <c r="AA133" s="2544"/>
      <c r="AB133" s="57"/>
    </row>
    <row r="134" spans="1:28" ht="12.95" hidden="1" customHeight="1" x14ac:dyDescent="0.2">
      <c r="A134" s="57"/>
      <c r="B134" s="2547" t="s">
        <v>73</v>
      </c>
      <c r="C134" s="2548"/>
      <c r="D134" s="2538" t="str">
        <f ca="1">IF(ISBLANK(OFFSET($AP$2,D131,0)),"",OFFSET($AQ$2,D131,0)+OFFSET($AU$2,D131,0))</f>
        <v/>
      </c>
      <c r="E134" s="2539"/>
      <c r="F134" s="2536" t="str">
        <f ca="1">IF(ISBLANK(OFFSET($AP$2,D131,0)),"",(OFFSET($AQ$2,D131,0)+OFFSET($AU$2,D131,0))-(OFFSET($AW$2,D131,0)+OFFSET($BA$2,D131,0)))</f>
        <v/>
      </c>
      <c r="G134" s="2537"/>
      <c r="H134" s="2538" t="str">
        <f ca="1">IF(ISBLANK(OFFSET($AP$2,H131,0)),"",OFFSET($AQ$2,H131,0)+OFFSET($AU$2,H131,0))</f>
        <v/>
      </c>
      <c r="I134" s="2539"/>
      <c r="J134" s="2536" t="str">
        <f ca="1">IF(ISBLANK(OFFSET($AP$2,H131,0)),"",(OFFSET($AQ$2,H131,0)+OFFSET($AU$2,H131,0))-(OFFSET($AW$2,H131,0)+OFFSET($BA$2,H131,0)))</f>
        <v/>
      </c>
      <c r="K134" s="2537"/>
      <c r="L134" s="2538" t="str">
        <f ca="1">IF(ISBLANK(OFFSET($AP$2,L131,0)),"",OFFSET($AQ$2,L131,0)+OFFSET($AU$2,L131,0))</f>
        <v/>
      </c>
      <c r="M134" s="2539"/>
      <c r="N134" s="2536" t="str">
        <f ca="1">IF(ISBLANK(OFFSET($AP$2,L131,0)),"",(OFFSET($AQ$2,L131,0)+OFFSET($AU$2,L131,0))-(OFFSET($AW$2,L131,0)+OFFSET($BA$2,L131,0)))</f>
        <v/>
      </c>
      <c r="O134" s="2537"/>
      <c r="P134" s="2538" t="str">
        <f ca="1">IF(ISBLANK(OFFSET($AP$2,P131,0)),"",OFFSET($AQ$2,P131,0)+OFFSET($AU$2,P131,0))</f>
        <v/>
      </c>
      <c r="Q134" s="2539"/>
      <c r="R134" s="2536" t="str">
        <f ca="1">IF(ISBLANK(OFFSET($AP$2,P131,0)),"",(OFFSET($AQ$2,P131,0)+OFFSET($AU$2,P131,0))-(OFFSET($AW$2,P131,0)+OFFSET($BA$2,P131,0)))</f>
        <v/>
      </c>
      <c r="S134" s="2537"/>
      <c r="T134" s="2538" t="str">
        <f ca="1">IF(ISBLANK(OFFSET($AP$2,T131,0)),"",OFFSET($AQ$2,T131,0)+OFFSET($AU$2,T131,0))</f>
        <v/>
      </c>
      <c r="U134" s="2539"/>
      <c r="V134" s="2536" t="str">
        <f ca="1">IF(ISBLANK(OFFSET($AP$2,T131,0)),"",(OFFSET($AQ$2,T131,0)+OFFSET($AU$2,T131,0))-(OFFSET($AW$2,T131,0)+OFFSET($BA$2,T131,0)))</f>
        <v/>
      </c>
      <c r="W134" s="2537"/>
      <c r="X134" s="2538" t="str">
        <f ca="1">IF(ISBLANK(OFFSET($AP$2,X131,0)),"",OFFSET($AQ$2,X131,0)+OFFSET($AU$2,X131,0))</f>
        <v/>
      </c>
      <c r="Y134" s="2539"/>
      <c r="Z134" s="2536" t="str">
        <f ca="1">IF(ISBLANK(OFFSET($AP$2,X131,0)),"",(OFFSET($AQ$2,X131,0)+OFFSET($AU$2,X131,0))-(OFFSET($AW$2,X131,0)+OFFSET($BA$2,X131,0)))</f>
        <v/>
      </c>
      <c r="AA134" s="2537"/>
      <c r="AB134" s="57"/>
    </row>
    <row r="135" spans="1:28" ht="12.95" hidden="1" customHeight="1" x14ac:dyDescent="0.2">
      <c r="A135" s="57"/>
      <c r="B135" s="2540" t="s">
        <v>437</v>
      </c>
      <c r="C135" s="2541"/>
      <c r="D135" s="2538" t="str">
        <f ca="1">IF(ISBLANK(OFFSET($AP$2,D131,0)),"",OFFSET($AR$2,D131,0))</f>
        <v/>
      </c>
      <c r="E135" s="2539"/>
      <c r="F135" s="2536" t="str">
        <f ca="1">IF(ISBLANK(OFFSET($AP$2,D131,0)),"",OFFSET($AR$2,D131,0)-OFFSET($AX$2,D131,0))</f>
        <v/>
      </c>
      <c r="G135" s="2537"/>
      <c r="H135" s="2538" t="str">
        <f ca="1">IF(ISBLANK(OFFSET($AP$2,H131,0)),"",OFFSET($AR$2,H131,0))</f>
        <v/>
      </c>
      <c r="I135" s="2539"/>
      <c r="J135" s="2536" t="str">
        <f ca="1">IF(ISBLANK(OFFSET($AP$2,H131,0)),"",OFFSET($AR$2,H131,0)-OFFSET($AX$2,H131,0))</f>
        <v/>
      </c>
      <c r="K135" s="2537"/>
      <c r="L135" s="2538" t="str">
        <f ca="1">IF(ISBLANK(OFFSET($AP$2,L131,0)),"",OFFSET($AR$2,L131,0))</f>
        <v/>
      </c>
      <c r="M135" s="2539"/>
      <c r="N135" s="2536" t="str">
        <f ca="1">IF(ISBLANK(OFFSET($AP$2,L131,0)),"",OFFSET($AR$2,L131,0)-OFFSET($AX$2,L131,0))</f>
        <v/>
      </c>
      <c r="O135" s="2537"/>
      <c r="P135" s="2538" t="str">
        <f ca="1">IF(ISBLANK(OFFSET($AP$2,P131,0)),"",OFFSET($AR$2,P131,0))</f>
        <v/>
      </c>
      <c r="Q135" s="2539"/>
      <c r="R135" s="2536" t="str">
        <f ca="1">IF(ISBLANK(OFFSET($AP$2,P131,0)),"",OFFSET($AR$2,P131,0)-OFFSET($AX$2,P131,0))</f>
        <v/>
      </c>
      <c r="S135" s="2537"/>
      <c r="T135" s="2538" t="str">
        <f ca="1">IF(ISBLANK(OFFSET($AP$2,T131,0)),"",OFFSET($AR$2,T131,0))</f>
        <v/>
      </c>
      <c r="U135" s="2539"/>
      <c r="V135" s="2536" t="str">
        <f ca="1">IF(ISBLANK(OFFSET($AP$2,T131,0)),"",OFFSET($AR$2,T131,0)-OFFSET($AX$2,T131,0))</f>
        <v/>
      </c>
      <c r="W135" s="2537"/>
      <c r="X135" s="2538" t="str">
        <f ca="1">IF(ISBLANK(OFFSET($AP$2,X131,0)),"",OFFSET($AR$2,X131,0))</f>
        <v/>
      </c>
      <c r="Y135" s="2539"/>
      <c r="Z135" s="2536" t="str">
        <f ca="1">IF(ISBLANK(OFFSET($AP$2,X131,0)),"",OFFSET($AR$2,X131,0)-OFFSET($AX$2,X131,0))</f>
        <v/>
      </c>
      <c r="AA135" s="2537"/>
      <c r="AB135" s="57"/>
    </row>
    <row r="136" spans="1:28" ht="12.95" hidden="1" customHeight="1" x14ac:dyDescent="0.2">
      <c r="A136" s="57"/>
      <c r="B136" s="2540" t="s">
        <v>438</v>
      </c>
      <c r="C136" s="2541"/>
      <c r="D136" s="2538" t="str">
        <f ca="1">IF(ISBLANK(OFFSET($AP$2,D131,0)),"",OFFSET($AS$2,D131,0))</f>
        <v/>
      </c>
      <c r="E136" s="2539"/>
      <c r="F136" s="2536" t="str">
        <f ca="1">IF(ISBLANK(OFFSET($AP$2,D131,0)),"",OFFSET($AS$2,D131,0)-OFFSET($AY$2,D131,0))</f>
        <v/>
      </c>
      <c r="G136" s="2537"/>
      <c r="H136" s="2538" t="str">
        <f ca="1">IF(ISBLANK(OFFSET($AP$2,H131,0)),"",OFFSET($AS$2,H131,0))</f>
        <v/>
      </c>
      <c r="I136" s="2539"/>
      <c r="J136" s="2536" t="str">
        <f ca="1">IF(ISBLANK(OFFSET($AP$2,H131,0)),"",OFFSET($AS$2,H131,0)-OFFSET($AY$2,H131,0))</f>
        <v/>
      </c>
      <c r="K136" s="2537"/>
      <c r="L136" s="2538" t="str">
        <f ca="1">IF(ISBLANK(OFFSET($AP$2,L131,0)),"",OFFSET($AS$2,L131,0))</f>
        <v/>
      </c>
      <c r="M136" s="2539"/>
      <c r="N136" s="2536" t="str">
        <f ca="1">IF(ISBLANK(OFFSET($AP$2,L131,0)),"",OFFSET($AS$2,L131,0)-OFFSET($AY$2,L131,0))</f>
        <v/>
      </c>
      <c r="O136" s="2537"/>
      <c r="P136" s="2538" t="str">
        <f ca="1">IF(ISBLANK(OFFSET($AP$2,P131,0)),"",OFFSET($AS$2,P131,0))</f>
        <v/>
      </c>
      <c r="Q136" s="2539"/>
      <c r="R136" s="2536" t="str">
        <f ca="1">IF(ISBLANK(OFFSET($AP$2,P131,0)),"",OFFSET($AS$2,P131,0)-OFFSET($AY$2,P131,0))</f>
        <v/>
      </c>
      <c r="S136" s="2537"/>
      <c r="T136" s="2538" t="str">
        <f ca="1">IF(ISBLANK(OFFSET($AP$2,T131,0)),"",OFFSET($AS$2,T131,0))</f>
        <v/>
      </c>
      <c r="U136" s="2539"/>
      <c r="V136" s="2536" t="str">
        <f ca="1">IF(ISBLANK(OFFSET($AP$2,T131,0)),"",OFFSET($AS$2,T131,0)-OFFSET($AY$2,T131,0))</f>
        <v/>
      </c>
      <c r="W136" s="2537"/>
      <c r="X136" s="2538" t="str">
        <f ca="1">IF(ISBLANK(OFFSET($AP$2,X131,0)),"",OFFSET($AS$2,X131,0))</f>
        <v/>
      </c>
      <c r="Y136" s="2539"/>
      <c r="Z136" s="2536" t="str">
        <f ca="1">IF(ISBLANK(OFFSET($AP$2,X131,0)),"",OFFSET($AS$2,X131,0)-OFFSET($AY$2,X131,0))</f>
        <v/>
      </c>
      <c r="AA136" s="2537"/>
      <c r="AB136" s="57"/>
    </row>
    <row r="137" spans="1:28" ht="12.95" hidden="1" customHeight="1" x14ac:dyDescent="0.2">
      <c r="A137" s="57"/>
      <c r="B137" s="2540" t="s">
        <v>75</v>
      </c>
      <c r="C137" s="2541"/>
      <c r="D137" s="2538" t="str">
        <f ca="1">IF(ISBLANK(OFFSET($AP$2,D131,0)),"",OFFSET($AT$2,D131,0))</f>
        <v/>
      </c>
      <c r="E137" s="2539"/>
      <c r="F137" s="2536" t="str">
        <f ca="1">IF(ISBLANK(OFFSET($AP$2,D131,0)),"",OFFSET($AT$2,D131,0)-OFFSET($AZ$2,D131,0))</f>
        <v/>
      </c>
      <c r="G137" s="2537"/>
      <c r="H137" s="2538" t="str">
        <f ca="1">IF(ISBLANK(OFFSET($AP$2,H131,0)),"",OFFSET($AT$2,H131,0))</f>
        <v/>
      </c>
      <c r="I137" s="2539"/>
      <c r="J137" s="2536" t="str">
        <f ca="1">IF(ISBLANK(OFFSET($AP$2,H131,0)),"",OFFSET($AT$2,H131,0)-OFFSET($AZ$2,H131,0))</f>
        <v/>
      </c>
      <c r="K137" s="2537"/>
      <c r="L137" s="2538" t="str">
        <f ca="1">IF(ISBLANK(OFFSET($AP$2,L131,0)),"",OFFSET($AT$2,L131,0))</f>
        <v/>
      </c>
      <c r="M137" s="2539"/>
      <c r="N137" s="2536" t="str">
        <f ca="1">IF(ISBLANK(OFFSET($AP$2,L131,0)),"",OFFSET($AT$2,L131,0)-OFFSET($AZ$2,L131,0))</f>
        <v/>
      </c>
      <c r="O137" s="2537"/>
      <c r="P137" s="2538" t="str">
        <f ca="1">IF(ISBLANK(OFFSET($AP$2,P131,0)),"",OFFSET($AT$2,P131,0))</f>
        <v/>
      </c>
      <c r="Q137" s="2539"/>
      <c r="R137" s="2536" t="str">
        <f ca="1">IF(ISBLANK(OFFSET($AP$2,P131,0)),"",OFFSET($AT$2,P131,0)-OFFSET($AZ$2,P131,0))</f>
        <v/>
      </c>
      <c r="S137" s="2537"/>
      <c r="T137" s="2538" t="str">
        <f ca="1">IF(ISBLANK(OFFSET($AP$2,T131,0)),"",OFFSET($AT$2,T131,0))</f>
        <v/>
      </c>
      <c r="U137" s="2539"/>
      <c r="V137" s="2536" t="str">
        <f ca="1">IF(ISBLANK(OFFSET($AP$2,T131,0)),"",OFFSET($AT$2,T131,0)-OFFSET($AZ$2,T131,0))</f>
        <v/>
      </c>
      <c r="W137" s="2537"/>
      <c r="X137" s="2538" t="str">
        <f ca="1">IF(ISBLANK(OFFSET($AP$2,X131,0)),"",OFFSET($AT$2,X131,0))</f>
        <v/>
      </c>
      <c r="Y137" s="2539"/>
      <c r="Z137" s="2536" t="str">
        <f ca="1">IF(ISBLANK(OFFSET($AP$2,X131,0)),"",OFFSET($AT$2,X131,0)-OFFSET($AZ$2,X131,0))</f>
        <v/>
      </c>
      <c r="AA137" s="2537"/>
      <c r="AB137" s="57"/>
    </row>
    <row r="138" spans="1:28" ht="12.95" hidden="1" customHeight="1" thickBot="1" x14ac:dyDescent="0.25">
      <c r="A138" s="57"/>
      <c r="B138" s="2556" t="s">
        <v>439</v>
      </c>
      <c r="C138" s="2557"/>
      <c r="D138" s="2549" t="str">
        <f ca="1">IF(ISBLANK(OFFSET($AP$2,D131,0)),"",OFFSET($AV$2,D131,0))</f>
        <v/>
      </c>
      <c r="E138" s="2550"/>
      <c r="F138" s="2551" t="str">
        <f ca="1">IF(ISBLANK(OFFSET($AP$2,D131,0)),"",OFFSET($AV$2,D131,0)-OFFSET($BB$2,D131,0))</f>
        <v/>
      </c>
      <c r="G138" s="2552"/>
      <c r="H138" s="2549" t="str">
        <f ca="1">IF(ISBLANK(OFFSET($AP$2,H131,0)),"",OFFSET($AV$2,H131,0))</f>
        <v/>
      </c>
      <c r="I138" s="2550"/>
      <c r="J138" s="2551" t="str">
        <f ca="1">IF(ISBLANK(OFFSET($AP$2,H131,0)),"",OFFSET($AV$2,H131,0)-OFFSET($BB$2,H131,0))</f>
        <v/>
      </c>
      <c r="K138" s="2552"/>
      <c r="L138" s="2549" t="str">
        <f ca="1">IF(ISBLANK(OFFSET($AP$2,L131,0)),"",OFFSET($AV$2,L131,0))</f>
        <v/>
      </c>
      <c r="M138" s="2550"/>
      <c r="N138" s="2551" t="str">
        <f ca="1">IF(ISBLANK(OFFSET($AP$2,L131,0)),"",OFFSET($AV$2,L131,0)-OFFSET($BB$2,L131,0))</f>
        <v/>
      </c>
      <c r="O138" s="2552"/>
      <c r="P138" s="2549" t="str">
        <f ca="1">IF(ISBLANK(OFFSET($AP$2,P131,0)),"",OFFSET($AV$2,P131,0))</f>
        <v/>
      </c>
      <c r="Q138" s="2550"/>
      <c r="R138" s="2551" t="str">
        <f ca="1">IF(ISBLANK(OFFSET($AP$2,P131,0)),"",OFFSET($AV$2,P131,0)-OFFSET($BB$2,P131,0))</f>
        <v/>
      </c>
      <c r="S138" s="2552"/>
      <c r="T138" s="2549" t="str">
        <f ca="1">IF(ISBLANK(OFFSET($AP$2,T131,0)),"",OFFSET($AV$2,T131,0))</f>
        <v/>
      </c>
      <c r="U138" s="2550"/>
      <c r="V138" s="2551" t="str">
        <f ca="1">IF(ISBLANK(OFFSET($AP$2,T131,0)),"",OFFSET($AV$2,T131,0)-OFFSET($BB$2,T131,0))</f>
        <v/>
      </c>
      <c r="W138" s="2552"/>
      <c r="X138" s="2549" t="str">
        <f ca="1">IF(ISBLANK(OFFSET($AP$2,X131,0)),"",OFFSET($AV$2,X131,0))</f>
        <v/>
      </c>
      <c r="Y138" s="2550"/>
      <c r="Z138" s="2551" t="str">
        <f ca="1">IF(ISBLANK(OFFSET($AP$2,X131,0)),"",OFFSET($AV$2,X131,0)-OFFSET($BB$2,X131,0))</f>
        <v/>
      </c>
      <c r="AA138" s="2552"/>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53" t="str">
        <f ca="1">IF(ISBLANK(OFFSET($AP$2,D139,0)),"",CONCATENATE("Seq. ",OFFSET($AP$2,D139,0)))</f>
        <v/>
      </c>
      <c r="E140" s="2554"/>
      <c r="F140" s="2554"/>
      <c r="G140" s="2555"/>
      <c r="H140" s="2553" t="str">
        <f ca="1">IF(ISBLANK(OFFSET($AP$2,H139,0)),"",CONCATENATE("Seq. ",OFFSET($AP$2,H139,0)))</f>
        <v/>
      </c>
      <c r="I140" s="2554"/>
      <c r="J140" s="2554"/>
      <c r="K140" s="2555"/>
      <c r="L140" s="2553" t="str">
        <f ca="1">IF(ISBLANK(OFFSET($AP$2,L139,0)),"",CONCATENATE("Seq. ",OFFSET($AP$2,L139,0)))</f>
        <v/>
      </c>
      <c r="M140" s="2554"/>
      <c r="N140" s="2554"/>
      <c r="O140" s="2555"/>
      <c r="P140" s="2553" t="str">
        <f ca="1">IF(ISBLANK(OFFSET($AP$2,P139,0)),"",CONCATENATE("Seq. ",OFFSET($AP$2,P139,0)))</f>
        <v/>
      </c>
      <c r="Q140" s="2554"/>
      <c r="R140" s="2554"/>
      <c r="S140" s="2555"/>
      <c r="T140" s="2553" t="str">
        <f ca="1">IF(ISBLANK(OFFSET($AP$2,T139,0)),"",CONCATENATE("Seq. ",OFFSET($AP$2,T139,0)))</f>
        <v/>
      </c>
      <c r="U140" s="2554"/>
      <c r="V140" s="2554"/>
      <c r="W140" s="2555"/>
      <c r="X140" s="2553" t="str">
        <f ca="1">IF(ISBLANK(OFFSET($AP$2,X139,0)),"",CONCATENATE("Seq. ",OFFSET($AP$2,X139,0)))</f>
        <v/>
      </c>
      <c r="Y140" s="2554"/>
      <c r="Z140" s="2554"/>
      <c r="AA140" s="2555"/>
      <c r="AB140" s="57"/>
    </row>
    <row r="141" spans="1:28" ht="12.95" hidden="1" customHeight="1" thickBot="1" x14ac:dyDescent="0.25">
      <c r="A141" s="57"/>
      <c r="B141" s="41"/>
      <c r="C141" s="42"/>
      <c r="D141" s="2542" t="s">
        <v>440</v>
      </c>
      <c r="E141" s="2543"/>
      <c r="F141" s="2543" t="s">
        <v>441</v>
      </c>
      <c r="G141" s="2544"/>
      <c r="H141" s="2542" t="s">
        <v>440</v>
      </c>
      <c r="I141" s="2543"/>
      <c r="J141" s="2543" t="s">
        <v>441</v>
      </c>
      <c r="K141" s="2544"/>
      <c r="L141" s="2542" t="s">
        <v>440</v>
      </c>
      <c r="M141" s="2543"/>
      <c r="N141" s="2543" t="s">
        <v>441</v>
      </c>
      <c r="O141" s="2544"/>
      <c r="P141" s="2542" t="s">
        <v>440</v>
      </c>
      <c r="Q141" s="2543"/>
      <c r="R141" s="2543" t="s">
        <v>441</v>
      </c>
      <c r="S141" s="2544"/>
      <c r="T141" s="2542" t="s">
        <v>440</v>
      </c>
      <c r="U141" s="2543"/>
      <c r="V141" s="2543" t="s">
        <v>441</v>
      </c>
      <c r="W141" s="2544"/>
      <c r="X141" s="2542" t="s">
        <v>440</v>
      </c>
      <c r="Y141" s="2543"/>
      <c r="Z141" s="2543" t="s">
        <v>441</v>
      </c>
      <c r="AA141" s="2544"/>
      <c r="AB141" s="57"/>
    </row>
    <row r="142" spans="1:28" ht="12.95" hidden="1" customHeight="1" x14ac:dyDescent="0.2">
      <c r="A142" s="57"/>
      <c r="B142" s="2547" t="s">
        <v>73</v>
      </c>
      <c r="C142" s="2548"/>
      <c r="D142" s="2538" t="str">
        <f ca="1">IF(ISBLANK(OFFSET($AP$2,D139,0)),"",OFFSET($AQ$2,D139,0)+OFFSET($AU$2,D139,0))</f>
        <v/>
      </c>
      <c r="E142" s="2539"/>
      <c r="F142" s="2536" t="str">
        <f ca="1">IF(ISBLANK(OFFSET($AP$2,D139,0)),"",(OFFSET($AQ$2,D139,0)+OFFSET($AU$2,D139,0))-(OFFSET($AW$2,D139,0)+OFFSET($BA$2,D139,0)))</f>
        <v/>
      </c>
      <c r="G142" s="2537"/>
      <c r="H142" s="2538" t="str">
        <f ca="1">IF(ISBLANK(OFFSET($AP$2,H139,0)),"",OFFSET($AQ$2,H139,0)+OFFSET($AU$2,H139,0))</f>
        <v/>
      </c>
      <c r="I142" s="2539"/>
      <c r="J142" s="2536" t="str">
        <f ca="1">IF(ISBLANK(OFFSET($AP$2,H139,0)),"",(OFFSET($AQ$2,H139,0)+OFFSET($AU$2,H139,0))-(OFFSET($AW$2,H139,0)+OFFSET($BA$2,H139,0)))</f>
        <v/>
      </c>
      <c r="K142" s="2537"/>
      <c r="L142" s="2538" t="str">
        <f ca="1">IF(ISBLANK(OFFSET($AP$2,L139,0)),"",OFFSET($AQ$2,L139,0)+OFFSET($AU$2,L139,0))</f>
        <v/>
      </c>
      <c r="M142" s="2539"/>
      <c r="N142" s="2536" t="str">
        <f ca="1">IF(ISBLANK(OFFSET($AP$2,L139,0)),"",(OFFSET($AQ$2,L139,0)+OFFSET($AU$2,L139,0))-(OFFSET($AW$2,L139,0)+OFFSET($BA$2,L139,0)))</f>
        <v/>
      </c>
      <c r="O142" s="2537"/>
      <c r="P142" s="2538" t="str">
        <f ca="1">IF(ISBLANK(OFFSET($AP$2,P139,0)),"",OFFSET($AQ$2,P139,0)+OFFSET($AU$2,P139,0))</f>
        <v/>
      </c>
      <c r="Q142" s="2539"/>
      <c r="R142" s="2536" t="str">
        <f ca="1">IF(ISBLANK(OFFSET($AP$2,P139,0)),"",(OFFSET($AQ$2,P139,0)+OFFSET($AU$2,P139,0))-(OFFSET($AW$2,P139,0)+OFFSET($BA$2,P139,0)))</f>
        <v/>
      </c>
      <c r="S142" s="2537"/>
      <c r="T142" s="2538" t="str">
        <f ca="1">IF(ISBLANK(OFFSET($AP$2,T139,0)),"",OFFSET($AQ$2,T139,0)+OFFSET($AU$2,T139,0))</f>
        <v/>
      </c>
      <c r="U142" s="2539"/>
      <c r="V142" s="2536" t="str">
        <f ca="1">IF(ISBLANK(OFFSET($AP$2,T139,0)),"",(OFFSET($AQ$2,T139,0)+OFFSET($AU$2,T139,0))-(OFFSET($AW$2,T139,0)+OFFSET($BA$2,T139,0)))</f>
        <v/>
      </c>
      <c r="W142" s="2537"/>
      <c r="X142" s="2538" t="str">
        <f ca="1">IF(ISBLANK(OFFSET($AP$2,X139,0)),"",OFFSET($AQ$2,X139,0)+OFFSET($AU$2,X139,0))</f>
        <v/>
      </c>
      <c r="Y142" s="2539"/>
      <c r="Z142" s="2536" t="str">
        <f ca="1">IF(ISBLANK(OFFSET($AP$2,X139,0)),"",(OFFSET($AQ$2,X139,0)+OFFSET($AU$2,X139,0))-(OFFSET($AW$2,X139,0)+OFFSET($BA$2,X139,0)))</f>
        <v/>
      </c>
      <c r="AA142" s="2537"/>
      <c r="AB142" s="57"/>
    </row>
    <row r="143" spans="1:28" ht="12.95" hidden="1" customHeight="1" x14ac:dyDescent="0.2">
      <c r="A143" s="57"/>
      <c r="B143" s="2540" t="s">
        <v>437</v>
      </c>
      <c r="C143" s="2541"/>
      <c r="D143" s="2538" t="str">
        <f ca="1">IF(ISBLANK(OFFSET($AP$2,D139,0)),"",OFFSET($AR$2,D139,0))</f>
        <v/>
      </c>
      <c r="E143" s="2539"/>
      <c r="F143" s="2536" t="str">
        <f ca="1">IF(ISBLANK(OFFSET($AP$2,D139,0)),"",OFFSET($AR$2,D139,0)-OFFSET($AX$2,D139,0))</f>
        <v/>
      </c>
      <c r="G143" s="2537"/>
      <c r="H143" s="2538" t="str">
        <f ca="1">IF(ISBLANK(OFFSET($AP$2,H139,0)),"",OFFSET($AR$2,H139,0))</f>
        <v/>
      </c>
      <c r="I143" s="2539"/>
      <c r="J143" s="2536" t="str">
        <f ca="1">IF(ISBLANK(OFFSET($AP$2,H139,0)),"",OFFSET($AR$2,H139,0)-OFFSET($AX$2,H139,0))</f>
        <v/>
      </c>
      <c r="K143" s="2537"/>
      <c r="L143" s="2538" t="str">
        <f ca="1">IF(ISBLANK(OFFSET($AP$2,L139,0)),"",OFFSET($AR$2,L139,0))</f>
        <v/>
      </c>
      <c r="M143" s="2539"/>
      <c r="N143" s="2536" t="str">
        <f ca="1">IF(ISBLANK(OFFSET($AP$2,L139,0)),"",OFFSET($AR$2,L139,0)-OFFSET($AX$2,L139,0))</f>
        <v/>
      </c>
      <c r="O143" s="2537"/>
      <c r="P143" s="2538" t="str">
        <f ca="1">IF(ISBLANK(OFFSET($AP$2,P139,0)),"",OFFSET($AR$2,P139,0))</f>
        <v/>
      </c>
      <c r="Q143" s="2539"/>
      <c r="R143" s="2536" t="str">
        <f ca="1">IF(ISBLANK(OFFSET($AP$2,P139,0)),"",OFFSET($AR$2,P139,0)-OFFSET($AX$2,P139,0))</f>
        <v/>
      </c>
      <c r="S143" s="2537"/>
      <c r="T143" s="2538" t="str">
        <f ca="1">IF(ISBLANK(OFFSET($AP$2,T139,0)),"",OFFSET($AR$2,T139,0))</f>
        <v/>
      </c>
      <c r="U143" s="2539"/>
      <c r="V143" s="2536" t="str">
        <f ca="1">IF(ISBLANK(OFFSET($AP$2,T139,0)),"",OFFSET($AR$2,T139,0)-OFFSET($AX$2,T139,0))</f>
        <v/>
      </c>
      <c r="W143" s="2537"/>
      <c r="X143" s="2538" t="str">
        <f ca="1">IF(ISBLANK(OFFSET($AP$2,X139,0)),"",OFFSET($AR$2,X139,0))</f>
        <v/>
      </c>
      <c r="Y143" s="2539"/>
      <c r="Z143" s="2536" t="str">
        <f ca="1">IF(ISBLANK(OFFSET($AP$2,X139,0)),"",OFFSET($AR$2,X139,0)-OFFSET($AX$2,X139,0))</f>
        <v/>
      </c>
      <c r="AA143" s="2537"/>
      <c r="AB143" s="57"/>
    </row>
    <row r="144" spans="1:28" ht="12.95" hidden="1" customHeight="1" x14ac:dyDescent="0.2">
      <c r="A144" s="57"/>
      <c r="B144" s="2540" t="s">
        <v>438</v>
      </c>
      <c r="C144" s="2541"/>
      <c r="D144" s="2538" t="str">
        <f ca="1">IF(ISBLANK(OFFSET($AP$2,D139,0)),"",OFFSET($AS$2,D139,0))</f>
        <v/>
      </c>
      <c r="E144" s="2539"/>
      <c r="F144" s="2536" t="str">
        <f ca="1">IF(ISBLANK(OFFSET($AP$2,D139,0)),"",OFFSET($AS$2,D139,0)-OFFSET($AY$2,D139,0))</f>
        <v/>
      </c>
      <c r="G144" s="2537"/>
      <c r="H144" s="2538" t="str">
        <f ca="1">IF(ISBLANK(OFFSET($AP$2,H139,0)),"",OFFSET($AS$2,H139,0))</f>
        <v/>
      </c>
      <c r="I144" s="2539"/>
      <c r="J144" s="2536" t="str">
        <f ca="1">IF(ISBLANK(OFFSET($AP$2,H139,0)),"",OFFSET($AS$2,H139,0)-OFFSET($AY$2,H139,0))</f>
        <v/>
      </c>
      <c r="K144" s="2537"/>
      <c r="L144" s="2538" t="str">
        <f ca="1">IF(ISBLANK(OFFSET($AP$2,L139,0)),"",OFFSET($AS$2,L139,0))</f>
        <v/>
      </c>
      <c r="M144" s="2539"/>
      <c r="N144" s="2536" t="str">
        <f ca="1">IF(ISBLANK(OFFSET($AP$2,L139,0)),"",OFFSET($AS$2,L139,0)-OFFSET($AY$2,L139,0))</f>
        <v/>
      </c>
      <c r="O144" s="2537"/>
      <c r="P144" s="2538" t="str">
        <f ca="1">IF(ISBLANK(OFFSET($AP$2,P139,0)),"",OFFSET($AS$2,P139,0))</f>
        <v/>
      </c>
      <c r="Q144" s="2539"/>
      <c r="R144" s="2536" t="str">
        <f ca="1">IF(ISBLANK(OFFSET($AP$2,P139,0)),"",OFFSET($AS$2,P139,0)-OFFSET($AY$2,P139,0))</f>
        <v/>
      </c>
      <c r="S144" s="2537"/>
      <c r="T144" s="2538" t="str">
        <f ca="1">IF(ISBLANK(OFFSET($AP$2,T139,0)),"",OFFSET($AS$2,T139,0))</f>
        <v/>
      </c>
      <c r="U144" s="2539"/>
      <c r="V144" s="2536" t="str">
        <f ca="1">IF(ISBLANK(OFFSET($AP$2,T139,0)),"",OFFSET($AS$2,T139,0)-OFFSET($AY$2,T139,0))</f>
        <v/>
      </c>
      <c r="W144" s="2537"/>
      <c r="X144" s="2538" t="str">
        <f ca="1">IF(ISBLANK(OFFSET($AP$2,X139,0)),"",OFFSET($AS$2,X139,0))</f>
        <v/>
      </c>
      <c r="Y144" s="2539"/>
      <c r="Z144" s="2536" t="str">
        <f ca="1">IF(ISBLANK(OFFSET($AP$2,X139,0)),"",OFFSET($AS$2,X139,0)-OFFSET($AY$2,X139,0))</f>
        <v/>
      </c>
      <c r="AA144" s="2537"/>
      <c r="AB144" s="57"/>
    </row>
    <row r="145" spans="1:28" ht="12.95" hidden="1" customHeight="1" x14ac:dyDescent="0.2">
      <c r="A145" s="57"/>
      <c r="B145" s="2540" t="s">
        <v>75</v>
      </c>
      <c r="C145" s="2541"/>
      <c r="D145" s="2538" t="str">
        <f ca="1">IF(ISBLANK(OFFSET($AP$2,D139,0)),"",OFFSET($AT$2,D139,0))</f>
        <v/>
      </c>
      <c r="E145" s="2539"/>
      <c r="F145" s="2536" t="str">
        <f ca="1">IF(ISBLANK(OFFSET($AP$2,D139,0)),"",OFFSET($AT$2,D139,0)-OFFSET($AZ$2,D139,0))</f>
        <v/>
      </c>
      <c r="G145" s="2537"/>
      <c r="H145" s="2538" t="str">
        <f ca="1">IF(ISBLANK(OFFSET($AP$2,H139,0)),"",OFFSET($AT$2,H139,0))</f>
        <v/>
      </c>
      <c r="I145" s="2539"/>
      <c r="J145" s="2536" t="str">
        <f ca="1">IF(ISBLANK(OFFSET($AP$2,H139,0)),"",OFFSET($AT$2,H139,0)-OFFSET($AZ$2,H139,0))</f>
        <v/>
      </c>
      <c r="K145" s="2537"/>
      <c r="L145" s="2538" t="str">
        <f ca="1">IF(ISBLANK(OFFSET($AP$2,L139,0)),"",OFFSET($AT$2,L139,0))</f>
        <v/>
      </c>
      <c r="M145" s="2539"/>
      <c r="N145" s="2536" t="str">
        <f ca="1">IF(ISBLANK(OFFSET($AP$2,L139,0)),"",OFFSET($AT$2,L139,0)-OFFSET($AZ$2,L139,0))</f>
        <v/>
      </c>
      <c r="O145" s="2537"/>
      <c r="P145" s="2538" t="str">
        <f ca="1">IF(ISBLANK(OFFSET($AP$2,P139,0)),"",OFFSET($AT$2,P139,0))</f>
        <v/>
      </c>
      <c r="Q145" s="2539"/>
      <c r="R145" s="2536" t="str">
        <f ca="1">IF(ISBLANK(OFFSET($AP$2,P139,0)),"",OFFSET($AT$2,P139,0)-OFFSET($AZ$2,P139,0))</f>
        <v/>
      </c>
      <c r="S145" s="2537"/>
      <c r="T145" s="2538" t="str">
        <f ca="1">IF(ISBLANK(OFFSET($AP$2,T139,0)),"",OFFSET($AT$2,T139,0))</f>
        <v/>
      </c>
      <c r="U145" s="2539"/>
      <c r="V145" s="2536" t="str">
        <f ca="1">IF(ISBLANK(OFFSET($AP$2,T139,0)),"",OFFSET($AT$2,T139,0)-OFFSET($AZ$2,T139,0))</f>
        <v/>
      </c>
      <c r="W145" s="2537"/>
      <c r="X145" s="2538" t="str">
        <f ca="1">IF(ISBLANK(OFFSET($AP$2,X139,0)),"",OFFSET($AT$2,X139,0))</f>
        <v/>
      </c>
      <c r="Y145" s="2539"/>
      <c r="Z145" s="2536" t="str">
        <f ca="1">IF(ISBLANK(OFFSET($AP$2,X139,0)),"",OFFSET($AT$2,X139,0)-OFFSET($AZ$2,X139,0))</f>
        <v/>
      </c>
      <c r="AA145" s="2537"/>
      <c r="AB145" s="57"/>
    </row>
    <row r="146" spans="1:28" ht="12.95" hidden="1" customHeight="1" thickBot="1" x14ac:dyDescent="0.25">
      <c r="A146" s="57"/>
      <c r="B146" s="2556" t="s">
        <v>439</v>
      </c>
      <c r="C146" s="2557"/>
      <c r="D146" s="2549" t="str">
        <f ca="1">IF(ISBLANK(OFFSET($AP$2,D139,0)),"",OFFSET($AV$2,D139,0))</f>
        <v/>
      </c>
      <c r="E146" s="2550"/>
      <c r="F146" s="2551" t="str">
        <f ca="1">IF(ISBLANK(OFFSET($AP$2,D139,0)),"",OFFSET($AV$2,D139,0)-OFFSET($BB$2,D139,0))</f>
        <v/>
      </c>
      <c r="G146" s="2552"/>
      <c r="H146" s="2549" t="str">
        <f ca="1">IF(ISBLANK(OFFSET($AP$2,H139,0)),"",OFFSET($AV$2,H139,0))</f>
        <v/>
      </c>
      <c r="I146" s="2550"/>
      <c r="J146" s="2551" t="str">
        <f ca="1">IF(ISBLANK(OFFSET($AP$2,H139,0)),"",OFFSET($AV$2,H139,0)-OFFSET($BB$2,H139,0))</f>
        <v/>
      </c>
      <c r="K146" s="2552"/>
      <c r="L146" s="2549" t="str">
        <f ca="1">IF(ISBLANK(OFFSET($AP$2,L139,0)),"",OFFSET($AV$2,L139,0))</f>
        <v/>
      </c>
      <c r="M146" s="2550"/>
      <c r="N146" s="2551" t="str">
        <f ca="1">IF(ISBLANK(OFFSET($AP$2,L139,0)),"",OFFSET($AV$2,L139,0)-OFFSET($BB$2,L139,0))</f>
        <v/>
      </c>
      <c r="O146" s="2552"/>
      <c r="P146" s="2549" t="str">
        <f ca="1">IF(ISBLANK(OFFSET($AP$2,P139,0)),"",OFFSET($AV$2,P139,0))</f>
        <v/>
      </c>
      <c r="Q146" s="2550"/>
      <c r="R146" s="2551" t="str">
        <f ca="1">IF(ISBLANK(OFFSET($AP$2,P139,0)),"",OFFSET($AV$2,P139,0)-OFFSET($BB$2,P139,0))</f>
        <v/>
      </c>
      <c r="S146" s="2552"/>
      <c r="T146" s="2549" t="str">
        <f ca="1">IF(ISBLANK(OFFSET($AP$2,T139,0)),"",OFFSET($AV$2,T139,0))</f>
        <v/>
      </c>
      <c r="U146" s="2550"/>
      <c r="V146" s="2551" t="str">
        <f ca="1">IF(ISBLANK(OFFSET($AP$2,T139,0)),"",OFFSET($AV$2,T139,0)-OFFSET($BB$2,T139,0))</f>
        <v/>
      </c>
      <c r="W146" s="2552"/>
      <c r="X146" s="2549" t="str">
        <f ca="1">IF(ISBLANK(OFFSET($AP$2,X139,0)),"",OFFSET($AV$2,X139,0))</f>
        <v/>
      </c>
      <c r="Y146" s="2550"/>
      <c r="Z146" s="2551" t="str">
        <f ca="1">IF(ISBLANK(OFFSET($AP$2,X139,0)),"",OFFSET($AV$2,X139,0)-OFFSET($BB$2,X139,0))</f>
        <v/>
      </c>
      <c r="AA146" s="2552"/>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53" t="str">
        <f ca="1">IF(ISBLANK(OFFSET($AP$2,D147,0)),"",CONCATENATE("Seq. ",OFFSET($AP$2,D147,0)))</f>
        <v/>
      </c>
      <c r="E148" s="2554"/>
      <c r="F148" s="2554"/>
      <c r="G148" s="2555"/>
      <c r="H148" s="2553" t="str">
        <f ca="1">IF(ISBLANK(OFFSET($AP$2,H147,0)),"",CONCATENATE("Seq. ",OFFSET($AP$2,H147,0)))</f>
        <v/>
      </c>
      <c r="I148" s="2554"/>
      <c r="J148" s="2554"/>
      <c r="K148" s="2555"/>
      <c r="L148" s="2553" t="str">
        <f ca="1">IF(ISBLANK(OFFSET($AP$2,L147,0)),"",CONCATENATE("Seq. ",OFFSET($AP$2,L147,0)))</f>
        <v/>
      </c>
      <c r="M148" s="2554"/>
      <c r="N148" s="2554"/>
      <c r="O148" s="2555"/>
      <c r="P148" s="2553" t="str">
        <f ca="1">IF(ISBLANK(OFFSET($AP$2,P147,0)),"",CONCATENATE("Seq. ",OFFSET($AP$2,P147,0)))</f>
        <v/>
      </c>
      <c r="Q148" s="2554"/>
      <c r="R148" s="2554"/>
      <c r="S148" s="2555"/>
      <c r="T148" s="2553" t="str">
        <f ca="1">IF(ISBLANK(OFFSET($AP$2,T147,0)),"",CONCATENATE("Seq. ",OFFSET($AP$2,T147,0)))</f>
        <v/>
      </c>
      <c r="U148" s="2554"/>
      <c r="V148" s="2554"/>
      <c r="W148" s="2555"/>
      <c r="X148" s="2553" t="str">
        <f ca="1">IF(ISBLANK(OFFSET($AP$2,X147,0)),"",CONCATENATE("Seq. ",OFFSET($AP$2,X147,0)))</f>
        <v/>
      </c>
      <c r="Y148" s="2554"/>
      <c r="Z148" s="2554"/>
      <c r="AA148" s="2555"/>
      <c r="AB148" s="57"/>
    </row>
    <row r="149" spans="1:28" ht="12.95" hidden="1" customHeight="1" thickBot="1" x14ac:dyDescent="0.25">
      <c r="A149" s="57"/>
      <c r="B149" s="41"/>
      <c r="C149" s="42"/>
      <c r="D149" s="2542" t="s">
        <v>440</v>
      </c>
      <c r="E149" s="2543"/>
      <c r="F149" s="2543" t="s">
        <v>441</v>
      </c>
      <c r="G149" s="2544"/>
      <c r="H149" s="2542" t="s">
        <v>440</v>
      </c>
      <c r="I149" s="2543"/>
      <c r="J149" s="2543" t="s">
        <v>441</v>
      </c>
      <c r="K149" s="2544"/>
      <c r="L149" s="2542" t="s">
        <v>440</v>
      </c>
      <c r="M149" s="2543"/>
      <c r="N149" s="2543" t="s">
        <v>441</v>
      </c>
      <c r="O149" s="2544"/>
      <c r="P149" s="2542" t="s">
        <v>440</v>
      </c>
      <c r="Q149" s="2543"/>
      <c r="R149" s="2543" t="s">
        <v>441</v>
      </c>
      <c r="S149" s="2544"/>
      <c r="T149" s="2542" t="s">
        <v>440</v>
      </c>
      <c r="U149" s="2543"/>
      <c r="V149" s="2543" t="s">
        <v>441</v>
      </c>
      <c r="W149" s="2544"/>
      <c r="X149" s="2542" t="s">
        <v>440</v>
      </c>
      <c r="Y149" s="2543"/>
      <c r="Z149" s="2543" t="s">
        <v>441</v>
      </c>
      <c r="AA149" s="2544"/>
      <c r="AB149" s="57"/>
    </row>
    <row r="150" spans="1:28" ht="12.95" hidden="1" customHeight="1" x14ac:dyDescent="0.2">
      <c r="A150" s="57"/>
      <c r="B150" s="2547" t="s">
        <v>73</v>
      </c>
      <c r="C150" s="2548"/>
      <c r="D150" s="2538" t="str">
        <f ca="1">IF(ISBLANK(OFFSET($AP$2,D147,0)),"",OFFSET($AQ$2,D147,0)+OFFSET($AU$2,D147,0))</f>
        <v/>
      </c>
      <c r="E150" s="2539"/>
      <c r="F150" s="2536" t="str">
        <f ca="1">IF(ISBLANK(OFFSET($AP$2,D147,0)),"",(OFFSET($AQ$2,D147,0)+OFFSET($AU$2,D147,0))-(OFFSET($AW$2,D147,0)+OFFSET($BA$2,D147,0)))</f>
        <v/>
      </c>
      <c r="G150" s="2537"/>
      <c r="H150" s="2538" t="str">
        <f ca="1">IF(ISBLANK(OFFSET($AP$2,H147,0)),"",OFFSET($AQ$2,H147,0)+OFFSET($AU$2,H147,0))</f>
        <v/>
      </c>
      <c r="I150" s="2539"/>
      <c r="J150" s="2536" t="str">
        <f ca="1">IF(ISBLANK(OFFSET($AP$2,H147,0)),"",(OFFSET($AQ$2,H147,0)+OFFSET($AU$2,H147,0))-(OFFSET($AW$2,H147,0)+OFFSET($BA$2,H147,0)))</f>
        <v/>
      </c>
      <c r="K150" s="2537"/>
      <c r="L150" s="2538" t="str">
        <f ca="1">IF(ISBLANK(OFFSET($AP$2,L147,0)),"",OFFSET($AQ$2,L147,0)+OFFSET($AU$2,L147,0))</f>
        <v/>
      </c>
      <c r="M150" s="2539"/>
      <c r="N150" s="2536" t="str">
        <f ca="1">IF(ISBLANK(OFFSET($AP$2,L147,0)),"",(OFFSET($AQ$2,L147,0)+OFFSET($AU$2,L147,0))-(OFFSET($AW$2,L147,0)+OFFSET($BA$2,L147,0)))</f>
        <v/>
      </c>
      <c r="O150" s="2537"/>
      <c r="P150" s="2538" t="str">
        <f ca="1">IF(ISBLANK(OFFSET($AP$2,P147,0)),"",OFFSET($AQ$2,P147,0)+OFFSET($AU$2,P147,0))</f>
        <v/>
      </c>
      <c r="Q150" s="2539"/>
      <c r="R150" s="2536" t="str">
        <f ca="1">IF(ISBLANK(OFFSET($AP$2,P147,0)),"",(OFFSET($AQ$2,P147,0)+OFFSET($AU$2,P147,0))-(OFFSET($AW$2,P147,0)+OFFSET($BA$2,P147,0)))</f>
        <v/>
      </c>
      <c r="S150" s="2537"/>
      <c r="T150" s="2538" t="str">
        <f ca="1">IF(ISBLANK(OFFSET($AP$2,T147,0)),"",OFFSET($AQ$2,T147,0)+OFFSET($AU$2,T147,0))</f>
        <v/>
      </c>
      <c r="U150" s="2539"/>
      <c r="V150" s="2536" t="str">
        <f ca="1">IF(ISBLANK(OFFSET($AP$2,T147,0)),"",(OFFSET($AQ$2,T147,0)+OFFSET($AU$2,T147,0))-(OFFSET($AW$2,T147,0)+OFFSET($BA$2,T147,0)))</f>
        <v/>
      </c>
      <c r="W150" s="2537"/>
      <c r="X150" s="2538" t="str">
        <f ca="1">IF(ISBLANK(OFFSET($AP$2,X147,0)),"",OFFSET($AQ$2,X147,0)+OFFSET($AU$2,X147,0))</f>
        <v/>
      </c>
      <c r="Y150" s="2539"/>
      <c r="Z150" s="2536" t="str">
        <f ca="1">IF(ISBLANK(OFFSET($AP$2,X147,0)),"",(OFFSET($AQ$2,X147,0)+OFFSET($AU$2,X147,0))-(OFFSET($AW$2,X147,0)+OFFSET($BA$2,X147,0)))</f>
        <v/>
      </c>
      <c r="AA150" s="2537"/>
      <c r="AB150" s="57"/>
    </row>
    <row r="151" spans="1:28" ht="12.95" hidden="1" customHeight="1" x14ac:dyDescent="0.2">
      <c r="A151" s="57"/>
      <c r="B151" s="2540" t="s">
        <v>437</v>
      </c>
      <c r="C151" s="2541"/>
      <c r="D151" s="2538" t="str">
        <f ca="1">IF(ISBLANK(OFFSET($AP$2,D147,0)),"",OFFSET($AR$2,D147,0))</f>
        <v/>
      </c>
      <c r="E151" s="2539"/>
      <c r="F151" s="2536" t="str">
        <f ca="1">IF(ISBLANK(OFFSET($AP$2,D147,0)),"",OFFSET($AR$2,D147,0)-OFFSET($AX$2,D147,0))</f>
        <v/>
      </c>
      <c r="G151" s="2537"/>
      <c r="H151" s="2538" t="str">
        <f ca="1">IF(ISBLANK(OFFSET($AP$2,H147,0)),"",OFFSET($AR$2,H147,0))</f>
        <v/>
      </c>
      <c r="I151" s="2539"/>
      <c r="J151" s="2536" t="str">
        <f ca="1">IF(ISBLANK(OFFSET($AP$2,H147,0)),"",OFFSET($AR$2,H147,0)-OFFSET($AX$2,H147,0))</f>
        <v/>
      </c>
      <c r="K151" s="2537"/>
      <c r="L151" s="2538" t="str">
        <f ca="1">IF(ISBLANK(OFFSET($AP$2,L147,0)),"",OFFSET($AR$2,L147,0))</f>
        <v/>
      </c>
      <c r="M151" s="2539"/>
      <c r="N151" s="2536" t="str">
        <f ca="1">IF(ISBLANK(OFFSET($AP$2,L147,0)),"",OFFSET($AR$2,L147,0)-OFFSET($AX$2,L147,0))</f>
        <v/>
      </c>
      <c r="O151" s="2537"/>
      <c r="P151" s="2538" t="str">
        <f ca="1">IF(ISBLANK(OFFSET($AP$2,P147,0)),"",OFFSET($AR$2,P147,0))</f>
        <v/>
      </c>
      <c r="Q151" s="2539"/>
      <c r="R151" s="2536" t="str">
        <f ca="1">IF(ISBLANK(OFFSET($AP$2,P147,0)),"",OFFSET($AR$2,P147,0)-OFFSET($AX$2,P147,0))</f>
        <v/>
      </c>
      <c r="S151" s="2537"/>
      <c r="T151" s="2538" t="str">
        <f ca="1">IF(ISBLANK(OFFSET($AP$2,T147,0)),"",OFFSET($AR$2,T147,0))</f>
        <v/>
      </c>
      <c r="U151" s="2539"/>
      <c r="V151" s="2536" t="str">
        <f ca="1">IF(ISBLANK(OFFSET($AP$2,T147,0)),"",OFFSET($AR$2,T147,0)-OFFSET($AX$2,T147,0))</f>
        <v/>
      </c>
      <c r="W151" s="2537"/>
      <c r="X151" s="2538" t="str">
        <f ca="1">IF(ISBLANK(OFFSET($AP$2,X147,0)),"",OFFSET($AR$2,X147,0))</f>
        <v/>
      </c>
      <c r="Y151" s="2539"/>
      <c r="Z151" s="2536" t="str">
        <f ca="1">IF(ISBLANK(OFFSET($AP$2,X147,0)),"",OFFSET($AR$2,X147,0)-OFFSET($AX$2,X147,0))</f>
        <v/>
      </c>
      <c r="AA151" s="2537"/>
      <c r="AB151" s="57"/>
    </row>
    <row r="152" spans="1:28" ht="12.95" hidden="1" customHeight="1" x14ac:dyDescent="0.2">
      <c r="A152" s="57"/>
      <c r="B152" s="2540" t="s">
        <v>438</v>
      </c>
      <c r="C152" s="2541"/>
      <c r="D152" s="2538" t="str">
        <f ca="1">IF(ISBLANK(OFFSET($AP$2,D147,0)),"",OFFSET($AS$2,D147,0))</f>
        <v/>
      </c>
      <c r="E152" s="2539"/>
      <c r="F152" s="2536" t="str">
        <f ca="1">IF(ISBLANK(OFFSET($AP$2,D147,0)),"",OFFSET($AS$2,D147,0)-OFFSET($AY$2,D147,0))</f>
        <v/>
      </c>
      <c r="G152" s="2537"/>
      <c r="H152" s="2538" t="str">
        <f ca="1">IF(ISBLANK(OFFSET($AP$2,H147,0)),"",OFFSET($AS$2,H147,0))</f>
        <v/>
      </c>
      <c r="I152" s="2539"/>
      <c r="J152" s="2536" t="str">
        <f ca="1">IF(ISBLANK(OFFSET($AP$2,H147,0)),"",OFFSET($AS$2,H147,0)-OFFSET($AY$2,H147,0))</f>
        <v/>
      </c>
      <c r="K152" s="2537"/>
      <c r="L152" s="2538" t="str">
        <f ca="1">IF(ISBLANK(OFFSET($AP$2,L147,0)),"",OFFSET($AS$2,L147,0))</f>
        <v/>
      </c>
      <c r="M152" s="2539"/>
      <c r="N152" s="2536" t="str">
        <f ca="1">IF(ISBLANK(OFFSET($AP$2,L147,0)),"",OFFSET($AS$2,L147,0)-OFFSET($AY$2,L147,0))</f>
        <v/>
      </c>
      <c r="O152" s="2537"/>
      <c r="P152" s="2538" t="str">
        <f ca="1">IF(ISBLANK(OFFSET($AP$2,P147,0)),"",OFFSET($AS$2,P147,0))</f>
        <v/>
      </c>
      <c r="Q152" s="2539"/>
      <c r="R152" s="2536" t="str">
        <f ca="1">IF(ISBLANK(OFFSET($AP$2,P147,0)),"",OFFSET($AS$2,P147,0)-OFFSET($AY$2,P147,0))</f>
        <v/>
      </c>
      <c r="S152" s="2537"/>
      <c r="T152" s="2538" t="str">
        <f ca="1">IF(ISBLANK(OFFSET($AP$2,T147,0)),"",OFFSET($AS$2,T147,0))</f>
        <v/>
      </c>
      <c r="U152" s="2539"/>
      <c r="V152" s="2536" t="str">
        <f ca="1">IF(ISBLANK(OFFSET($AP$2,T147,0)),"",OFFSET($AS$2,T147,0)-OFFSET($AY$2,T147,0))</f>
        <v/>
      </c>
      <c r="W152" s="2537"/>
      <c r="X152" s="2538" t="str">
        <f ca="1">IF(ISBLANK(OFFSET($AP$2,X147,0)),"",OFFSET($AS$2,X147,0))</f>
        <v/>
      </c>
      <c r="Y152" s="2539"/>
      <c r="Z152" s="2536" t="str">
        <f ca="1">IF(ISBLANK(OFFSET($AP$2,X147,0)),"",OFFSET($AS$2,X147,0)-OFFSET($AY$2,X147,0))</f>
        <v/>
      </c>
      <c r="AA152" s="2537"/>
      <c r="AB152" s="57"/>
    </row>
    <row r="153" spans="1:28" ht="12.95" hidden="1" customHeight="1" x14ac:dyDescent="0.2">
      <c r="A153" s="57"/>
      <c r="B153" s="2540" t="s">
        <v>75</v>
      </c>
      <c r="C153" s="2541"/>
      <c r="D153" s="2538" t="str">
        <f ca="1">IF(ISBLANK(OFFSET($AP$2,D147,0)),"",OFFSET($AT$2,D147,0))</f>
        <v/>
      </c>
      <c r="E153" s="2539"/>
      <c r="F153" s="2536" t="str">
        <f ca="1">IF(ISBLANK(OFFSET($AP$2,D147,0)),"",OFFSET($AT$2,D147,0)-OFFSET($AZ$2,D147,0))</f>
        <v/>
      </c>
      <c r="G153" s="2537"/>
      <c r="H153" s="2538" t="str">
        <f ca="1">IF(ISBLANK(OFFSET($AP$2,H147,0)),"",OFFSET($AT$2,H147,0))</f>
        <v/>
      </c>
      <c r="I153" s="2539"/>
      <c r="J153" s="2536" t="str">
        <f ca="1">IF(ISBLANK(OFFSET($AP$2,H147,0)),"",OFFSET($AT$2,H147,0)-OFFSET($AZ$2,H147,0))</f>
        <v/>
      </c>
      <c r="K153" s="2537"/>
      <c r="L153" s="2538" t="str">
        <f ca="1">IF(ISBLANK(OFFSET($AP$2,L147,0)),"",OFFSET($AT$2,L147,0))</f>
        <v/>
      </c>
      <c r="M153" s="2539"/>
      <c r="N153" s="2536" t="str">
        <f ca="1">IF(ISBLANK(OFFSET($AP$2,L147,0)),"",OFFSET($AT$2,L147,0)-OFFSET($AZ$2,L147,0))</f>
        <v/>
      </c>
      <c r="O153" s="2537"/>
      <c r="P153" s="2538" t="str">
        <f ca="1">IF(ISBLANK(OFFSET($AP$2,P147,0)),"",OFFSET($AT$2,P147,0))</f>
        <v/>
      </c>
      <c r="Q153" s="2539"/>
      <c r="R153" s="2536" t="str">
        <f ca="1">IF(ISBLANK(OFFSET($AP$2,P147,0)),"",OFFSET($AT$2,P147,0)-OFFSET($AZ$2,P147,0))</f>
        <v/>
      </c>
      <c r="S153" s="2537"/>
      <c r="T153" s="2538" t="str">
        <f ca="1">IF(ISBLANK(OFFSET($AP$2,T147,0)),"",OFFSET($AT$2,T147,0))</f>
        <v/>
      </c>
      <c r="U153" s="2539"/>
      <c r="V153" s="2536" t="str">
        <f ca="1">IF(ISBLANK(OFFSET($AP$2,T147,0)),"",OFFSET($AT$2,T147,0)-OFFSET($AZ$2,T147,0))</f>
        <v/>
      </c>
      <c r="W153" s="2537"/>
      <c r="X153" s="2538" t="str">
        <f ca="1">IF(ISBLANK(OFFSET($AP$2,X147,0)),"",OFFSET($AT$2,X147,0))</f>
        <v/>
      </c>
      <c r="Y153" s="2539"/>
      <c r="Z153" s="2536" t="str">
        <f ca="1">IF(ISBLANK(OFFSET($AP$2,X147,0)),"",OFFSET($AT$2,X147,0)-OFFSET($AZ$2,X147,0))</f>
        <v/>
      </c>
      <c r="AA153" s="2537"/>
      <c r="AB153" s="57"/>
    </row>
    <row r="154" spans="1:28" ht="12.95" hidden="1" customHeight="1" thickBot="1" x14ac:dyDescent="0.25">
      <c r="A154" s="57"/>
      <c r="B154" s="2556" t="s">
        <v>439</v>
      </c>
      <c r="C154" s="2557"/>
      <c r="D154" s="2549" t="str">
        <f ca="1">IF(ISBLANK(OFFSET($AP$2,D147,0)),"",OFFSET($AV$2,D147,0))</f>
        <v/>
      </c>
      <c r="E154" s="2550"/>
      <c r="F154" s="2551" t="str">
        <f ca="1">IF(ISBLANK(OFFSET($AP$2,D147,0)),"",OFFSET($AV$2,D147,0)-OFFSET($BB$2,D147,0))</f>
        <v/>
      </c>
      <c r="G154" s="2552"/>
      <c r="H154" s="2549" t="str">
        <f ca="1">IF(ISBLANK(OFFSET($AP$2,H147,0)),"",OFFSET($AV$2,H147,0))</f>
        <v/>
      </c>
      <c r="I154" s="2550"/>
      <c r="J154" s="2551" t="str">
        <f ca="1">IF(ISBLANK(OFFSET($AP$2,H147,0)),"",OFFSET($AV$2,H147,0)-OFFSET($BB$2,H147,0))</f>
        <v/>
      </c>
      <c r="K154" s="2552"/>
      <c r="L154" s="2549" t="str">
        <f ca="1">IF(ISBLANK(OFFSET($AP$2,L147,0)),"",OFFSET($AV$2,L147,0))</f>
        <v/>
      </c>
      <c r="M154" s="2550"/>
      <c r="N154" s="2551" t="str">
        <f ca="1">IF(ISBLANK(OFFSET($AP$2,L147,0)),"",OFFSET($AV$2,L147,0)-OFFSET($BB$2,L147,0))</f>
        <v/>
      </c>
      <c r="O154" s="2552"/>
      <c r="P154" s="2549" t="str">
        <f ca="1">IF(ISBLANK(OFFSET($AP$2,P147,0)),"",OFFSET($AV$2,P147,0))</f>
        <v/>
      </c>
      <c r="Q154" s="2550"/>
      <c r="R154" s="2551" t="str">
        <f ca="1">IF(ISBLANK(OFFSET($AP$2,P147,0)),"",OFFSET($AV$2,P147,0)-OFFSET($BB$2,P147,0))</f>
        <v/>
      </c>
      <c r="S154" s="2552"/>
      <c r="T154" s="2549" t="str">
        <f ca="1">IF(ISBLANK(OFFSET($AP$2,T147,0)),"",OFFSET($AV$2,T147,0))</f>
        <v/>
      </c>
      <c r="U154" s="2550"/>
      <c r="V154" s="2551" t="str">
        <f ca="1">IF(ISBLANK(OFFSET($AP$2,T147,0)),"",OFFSET($AV$2,T147,0)-OFFSET($BB$2,T147,0))</f>
        <v/>
      </c>
      <c r="W154" s="2552"/>
      <c r="X154" s="2549" t="str">
        <f ca="1">IF(ISBLANK(OFFSET($AP$2,X147,0)),"",OFFSET($AV$2,X147,0))</f>
        <v/>
      </c>
      <c r="Y154" s="2550"/>
      <c r="Z154" s="2551" t="str">
        <f ca="1">IF(ISBLANK(OFFSET($AP$2,X147,0)),"",OFFSET($AV$2,X147,0)-OFFSET($BB$2,X147,0))</f>
        <v/>
      </c>
      <c r="AA154" s="2552"/>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53" t="str">
        <f ca="1">IF(ISBLANK(OFFSET($AP$2,D155,0)),"",CONCATENATE("Seq. ",OFFSET($AP$2,D155,0)))</f>
        <v/>
      </c>
      <c r="E156" s="2554"/>
      <c r="F156" s="2554"/>
      <c r="G156" s="2555"/>
      <c r="H156" s="2553" t="str">
        <f ca="1">IF(ISBLANK(OFFSET($AP$2,H155,0)),"",CONCATENATE("Seq. ",OFFSET($AP$2,H155,0)))</f>
        <v/>
      </c>
      <c r="I156" s="2554"/>
      <c r="J156" s="2554"/>
      <c r="K156" s="2555"/>
      <c r="L156" s="2553" t="str">
        <f ca="1">IF(ISBLANK(OFFSET($AP$2,L155,0)),"",CONCATENATE("Seq. ",OFFSET($AP$2,L155,0)))</f>
        <v/>
      </c>
      <c r="M156" s="2554"/>
      <c r="N156" s="2554"/>
      <c r="O156" s="2555"/>
      <c r="P156" s="2553" t="str">
        <f ca="1">IF(ISBLANK(OFFSET($AP$2,P155,0)),"",CONCATENATE("Seq. ",OFFSET($AP$2,P155,0)))</f>
        <v/>
      </c>
      <c r="Q156" s="2554"/>
      <c r="R156" s="2554"/>
      <c r="S156" s="2555"/>
      <c r="T156" s="2553" t="str">
        <f ca="1">IF(ISBLANK(OFFSET($AP$2,T155,0)),"",CONCATENATE("Seq. ",OFFSET($AP$2,T155,0)))</f>
        <v/>
      </c>
      <c r="U156" s="2554"/>
      <c r="V156" s="2554"/>
      <c r="W156" s="2555"/>
      <c r="X156" s="2553" t="str">
        <f ca="1">IF(ISBLANK(OFFSET($AP$2,X155,0)),"",CONCATENATE("Seq. ",OFFSET($AP$2,X155,0)))</f>
        <v/>
      </c>
      <c r="Y156" s="2554"/>
      <c r="Z156" s="2554"/>
      <c r="AA156" s="2555"/>
      <c r="AB156" s="57"/>
    </row>
    <row r="157" spans="1:28" ht="12.95" hidden="1" customHeight="1" thickBot="1" x14ac:dyDescent="0.25">
      <c r="A157" s="57"/>
      <c r="B157" s="41"/>
      <c r="C157" s="42"/>
      <c r="D157" s="2542" t="s">
        <v>440</v>
      </c>
      <c r="E157" s="2543"/>
      <c r="F157" s="2543" t="s">
        <v>441</v>
      </c>
      <c r="G157" s="2544"/>
      <c r="H157" s="2542" t="s">
        <v>440</v>
      </c>
      <c r="I157" s="2543"/>
      <c r="J157" s="2543" t="s">
        <v>441</v>
      </c>
      <c r="K157" s="2544"/>
      <c r="L157" s="2542" t="s">
        <v>440</v>
      </c>
      <c r="M157" s="2543"/>
      <c r="N157" s="2543" t="s">
        <v>441</v>
      </c>
      <c r="O157" s="2544"/>
      <c r="P157" s="2542" t="s">
        <v>440</v>
      </c>
      <c r="Q157" s="2543"/>
      <c r="R157" s="2543" t="s">
        <v>441</v>
      </c>
      <c r="S157" s="2544"/>
      <c r="T157" s="2542" t="s">
        <v>440</v>
      </c>
      <c r="U157" s="2543"/>
      <c r="V157" s="2543" t="s">
        <v>441</v>
      </c>
      <c r="W157" s="2544"/>
      <c r="X157" s="2542" t="s">
        <v>440</v>
      </c>
      <c r="Y157" s="2543"/>
      <c r="Z157" s="2543" t="s">
        <v>441</v>
      </c>
      <c r="AA157" s="2544"/>
      <c r="AB157" s="57"/>
    </row>
    <row r="158" spans="1:28" ht="12.95" hidden="1" customHeight="1" x14ac:dyDescent="0.2">
      <c r="A158" s="57"/>
      <c r="B158" s="2547" t="s">
        <v>73</v>
      </c>
      <c r="C158" s="2548"/>
      <c r="D158" s="2538" t="str">
        <f ca="1">IF(ISBLANK(OFFSET($AP$2,D155,0)),"",OFFSET($AQ$2,D155,0)+OFFSET($AU$2,D155,0))</f>
        <v/>
      </c>
      <c r="E158" s="2539"/>
      <c r="F158" s="2536" t="str">
        <f ca="1">IF(ISBLANK(OFFSET($AP$2,D155,0)),"",(OFFSET($AQ$2,D155,0)+OFFSET($AU$2,D155,0))-(OFFSET($AW$2,D155,0)+OFFSET($BA$2,D155,0)))</f>
        <v/>
      </c>
      <c r="G158" s="2537"/>
      <c r="H158" s="2538" t="str">
        <f ca="1">IF(ISBLANK(OFFSET($AP$2,H155,0)),"",OFFSET($AQ$2,H155,0)+OFFSET($AU$2,H155,0))</f>
        <v/>
      </c>
      <c r="I158" s="2539"/>
      <c r="J158" s="2536" t="str">
        <f ca="1">IF(ISBLANK(OFFSET($AP$2,H155,0)),"",(OFFSET($AQ$2,H155,0)+OFFSET($AU$2,H155,0))-(OFFSET($AW$2,H155,0)+OFFSET($BA$2,H155,0)))</f>
        <v/>
      </c>
      <c r="K158" s="2537"/>
      <c r="L158" s="2538" t="str">
        <f ca="1">IF(ISBLANK(OFFSET($AP$2,L155,0)),"",OFFSET($AQ$2,L155,0)+OFFSET($AU$2,L155,0))</f>
        <v/>
      </c>
      <c r="M158" s="2539"/>
      <c r="N158" s="2536" t="str">
        <f ca="1">IF(ISBLANK(OFFSET($AP$2,L155,0)),"",(OFFSET($AQ$2,L155,0)+OFFSET($AU$2,L155,0))-(OFFSET($AW$2,L155,0)+OFFSET($BA$2,L155,0)))</f>
        <v/>
      </c>
      <c r="O158" s="2537"/>
      <c r="P158" s="2538" t="str">
        <f ca="1">IF(ISBLANK(OFFSET($AP$2,P155,0)),"",OFFSET($AQ$2,P155,0)+OFFSET($AU$2,P155,0))</f>
        <v/>
      </c>
      <c r="Q158" s="2539"/>
      <c r="R158" s="2536" t="str">
        <f ca="1">IF(ISBLANK(OFFSET($AP$2,P155,0)),"",(OFFSET($AQ$2,P155,0)+OFFSET($AU$2,P155,0))-(OFFSET($AW$2,P155,0)+OFFSET($BA$2,P155,0)))</f>
        <v/>
      </c>
      <c r="S158" s="2537"/>
      <c r="T158" s="2538" t="str">
        <f ca="1">IF(ISBLANK(OFFSET($AP$2,T155,0)),"",OFFSET($AQ$2,T155,0)+OFFSET($AU$2,T155,0))</f>
        <v/>
      </c>
      <c r="U158" s="2539"/>
      <c r="V158" s="2536" t="str">
        <f ca="1">IF(ISBLANK(OFFSET($AP$2,T155,0)),"",(OFFSET($AQ$2,T155,0)+OFFSET($AU$2,T155,0))-(OFFSET($AW$2,T155,0)+OFFSET($BA$2,T155,0)))</f>
        <v/>
      </c>
      <c r="W158" s="2537"/>
      <c r="X158" s="2538" t="str">
        <f ca="1">IF(ISBLANK(OFFSET($AP$2,X155,0)),"",OFFSET($AQ$2,X155,0)+OFFSET($AU$2,X155,0))</f>
        <v/>
      </c>
      <c r="Y158" s="2539"/>
      <c r="Z158" s="2536" t="str">
        <f ca="1">IF(ISBLANK(OFFSET($AP$2,X155,0)),"",(OFFSET($AQ$2,X155,0)+OFFSET($AU$2,X155,0))-(OFFSET($AW$2,X155,0)+OFFSET($BA$2,X155,0)))</f>
        <v/>
      </c>
      <c r="AA158" s="2537"/>
      <c r="AB158" s="57"/>
    </row>
    <row r="159" spans="1:28" ht="12.95" hidden="1" customHeight="1" x14ac:dyDescent="0.2">
      <c r="A159" s="57"/>
      <c r="B159" s="2540" t="s">
        <v>437</v>
      </c>
      <c r="C159" s="2541"/>
      <c r="D159" s="2538" t="str">
        <f ca="1">IF(ISBLANK(OFFSET($AP$2,D155,0)),"",OFFSET($AR$2,D155,0))</f>
        <v/>
      </c>
      <c r="E159" s="2539"/>
      <c r="F159" s="2536" t="str">
        <f ca="1">IF(ISBLANK(OFFSET($AP$2,D155,0)),"",OFFSET($AR$2,D155,0)-OFFSET($AX$2,D155,0))</f>
        <v/>
      </c>
      <c r="G159" s="2537"/>
      <c r="H159" s="2538" t="str">
        <f ca="1">IF(ISBLANK(OFFSET($AP$2,H155,0)),"",OFFSET($AR$2,H155,0))</f>
        <v/>
      </c>
      <c r="I159" s="2539"/>
      <c r="J159" s="2536" t="str">
        <f ca="1">IF(ISBLANK(OFFSET($AP$2,H155,0)),"",OFFSET($AR$2,H155,0)-OFFSET($AX$2,H155,0))</f>
        <v/>
      </c>
      <c r="K159" s="2537"/>
      <c r="L159" s="2538" t="str">
        <f ca="1">IF(ISBLANK(OFFSET($AP$2,L155,0)),"",OFFSET($AR$2,L155,0))</f>
        <v/>
      </c>
      <c r="M159" s="2539"/>
      <c r="N159" s="2536" t="str">
        <f ca="1">IF(ISBLANK(OFFSET($AP$2,L155,0)),"",OFFSET($AR$2,L155,0)-OFFSET($AX$2,L155,0))</f>
        <v/>
      </c>
      <c r="O159" s="2537"/>
      <c r="P159" s="2538" t="str">
        <f ca="1">IF(ISBLANK(OFFSET($AP$2,P155,0)),"",OFFSET($AR$2,P155,0))</f>
        <v/>
      </c>
      <c r="Q159" s="2539"/>
      <c r="R159" s="2536" t="str">
        <f ca="1">IF(ISBLANK(OFFSET($AP$2,P155,0)),"",OFFSET($AR$2,P155,0)-OFFSET($AX$2,P155,0))</f>
        <v/>
      </c>
      <c r="S159" s="2537"/>
      <c r="T159" s="2538" t="str">
        <f ca="1">IF(ISBLANK(OFFSET($AP$2,T155,0)),"",OFFSET($AR$2,T155,0))</f>
        <v/>
      </c>
      <c r="U159" s="2539"/>
      <c r="V159" s="2536" t="str">
        <f ca="1">IF(ISBLANK(OFFSET($AP$2,T155,0)),"",OFFSET($AR$2,T155,0)-OFFSET($AX$2,T155,0))</f>
        <v/>
      </c>
      <c r="W159" s="2537"/>
      <c r="X159" s="2538" t="str">
        <f ca="1">IF(ISBLANK(OFFSET($AP$2,X155,0)),"",OFFSET($AR$2,X155,0))</f>
        <v/>
      </c>
      <c r="Y159" s="2539"/>
      <c r="Z159" s="2536" t="str">
        <f ca="1">IF(ISBLANK(OFFSET($AP$2,X155,0)),"",OFFSET($AR$2,X155,0)-OFFSET($AX$2,X155,0))</f>
        <v/>
      </c>
      <c r="AA159" s="2537"/>
      <c r="AB159" s="57"/>
    </row>
    <row r="160" spans="1:28" ht="12.95" hidden="1" customHeight="1" x14ac:dyDescent="0.2">
      <c r="A160" s="57"/>
      <c r="B160" s="2540" t="s">
        <v>438</v>
      </c>
      <c r="C160" s="2541"/>
      <c r="D160" s="2538" t="str">
        <f ca="1">IF(ISBLANK(OFFSET($AP$2,D155,0)),"",OFFSET($AS$2,D155,0))</f>
        <v/>
      </c>
      <c r="E160" s="2539"/>
      <c r="F160" s="2536" t="str">
        <f ca="1">IF(ISBLANK(OFFSET($AP$2,D155,0)),"",OFFSET($AS$2,D155,0)-OFFSET($AY$2,D155,0))</f>
        <v/>
      </c>
      <c r="G160" s="2537"/>
      <c r="H160" s="2538" t="str">
        <f ca="1">IF(ISBLANK(OFFSET($AP$2,H155,0)),"",OFFSET($AS$2,H155,0))</f>
        <v/>
      </c>
      <c r="I160" s="2539"/>
      <c r="J160" s="2536" t="str">
        <f ca="1">IF(ISBLANK(OFFSET($AP$2,H155,0)),"",OFFSET($AS$2,H155,0)-OFFSET($AY$2,H155,0))</f>
        <v/>
      </c>
      <c r="K160" s="2537"/>
      <c r="L160" s="2538" t="str">
        <f ca="1">IF(ISBLANK(OFFSET($AP$2,L155,0)),"",OFFSET($AS$2,L155,0))</f>
        <v/>
      </c>
      <c r="M160" s="2539"/>
      <c r="N160" s="2536" t="str">
        <f ca="1">IF(ISBLANK(OFFSET($AP$2,L155,0)),"",OFFSET($AS$2,L155,0)-OFFSET($AY$2,L155,0))</f>
        <v/>
      </c>
      <c r="O160" s="2537"/>
      <c r="P160" s="2538" t="str">
        <f ca="1">IF(ISBLANK(OFFSET($AP$2,P155,0)),"",OFFSET($AS$2,P155,0))</f>
        <v/>
      </c>
      <c r="Q160" s="2539"/>
      <c r="R160" s="2536" t="str">
        <f ca="1">IF(ISBLANK(OFFSET($AP$2,P155,0)),"",OFFSET($AS$2,P155,0)-OFFSET($AY$2,P155,0))</f>
        <v/>
      </c>
      <c r="S160" s="2537"/>
      <c r="T160" s="2538" t="str">
        <f ca="1">IF(ISBLANK(OFFSET($AP$2,T155,0)),"",OFFSET($AS$2,T155,0))</f>
        <v/>
      </c>
      <c r="U160" s="2539"/>
      <c r="V160" s="2536" t="str">
        <f ca="1">IF(ISBLANK(OFFSET($AP$2,T155,0)),"",OFFSET($AS$2,T155,0)-OFFSET($AY$2,T155,0))</f>
        <v/>
      </c>
      <c r="W160" s="2537"/>
      <c r="X160" s="2538" t="str">
        <f ca="1">IF(ISBLANK(OFFSET($AP$2,X155,0)),"",OFFSET($AS$2,X155,0))</f>
        <v/>
      </c>
      <c r="Y160" s="2539"/>
      <c r="Z160" s="2536" t="str">
        <f ca="1">IF(ISBLANK(OFFSET($AP$2,X155,0)),"",OFFSET($AS$2,X155,0)-OFFSET($AY$2,X155,0))</f>
        <v/>
      </c>
      <c r="AA160" s="2537"/>
      <c r="AB160" s="57"/>
    </row>
    <row r="161" spans="1:28" ht="12.95" hidden="1" customHeight="1" x14ac:dyDescent="0.2">
      <c r="A161" s="57"/>
      <c r="B161" s="2540" t="s">
        <v>75</v>
      </c>
      <c r="C161" s="2541"/>
      <c r="D161" s="2538" t="str">
        <f ca="1">IF(ISBLANK(OFFSET($AP$2,D155,0)),"",OFFSET($AT$2,D155,0))</f>
        <v/>
      </c>
      <c r="E161" s="2539"/>
      <c r="F161" s="2536" t="str">
        <f ca="1">IF(ISBLANK(OFFSET($AP$2,D155,0)),"",OFFSET($AT$2,D155,0)-OFFSET($AZ$2,D155,0))</f>
        <v/>
      </c>
      <c r="G161" s="2537"/>
      <c r="H161" s="2538" t="str">
        <f ca="1">IF(ISBLANK(OFFSET($AP$2,H155,0)),"",OFFSET($AT$2,H155,0))</f>
        <v/>
      </c>
      <c r="I161" s="2539"/>
      <c r="J161" s="2536" t="str">
        <f ca="1">IF(ISBLANK(OFFSET($AP$2,H155,0)),"",OFFSET($AT$2,H155,0)-OFFSET($AZ$2,H155,0))</f>
        <v/>
      </c>
      <c r="K161" s="2537"/>
      <c r="L161" s="2538" t="str">
        <f ca="1">IF(ISBLANK(OFFSET($AP$2,L155,0)),"",OFFSET($AT$2,L155,0))</f>
        <v/>
      </c>
      <c r="M161" s="2539"/>
      <c r="N161" s="2536" t="str">
        <f ca="1">IF(ISBLANK(OFFSET($AP$2,L155,0)),"",OFFSET($AT$2,L155,0)-OFFSET($AZ$2,L155,0))</f>
        <v/>
      </c>
      <c r="O161" s="2537"/>
      <c r="P161" s="2538" t="str">
        <f ca="1">IF(ISBLANK(OFFSET($AP$2,P155,0)),"",OFFSET($AT$2,P155,0))</f>
        <v/>
      </c>
      <c r="Q161" s="2539"/>
      <c r="R161" s="2536" t="str">
        <f ca="1">IF(ISBLANK(OFFSET($AP$2,P155,0)),"",OFFSET($AT$2,P155,0)-OFFSET($AZ$2,P155,0))</f>
        <v/>
      </c>
      <c r="S161" s="2537"/>
      <c r="T161" s="2538" t="str">
        <f ca="1">IF(ISBLANK(OFFSET($AP$2,T155,0)),"",OFFSET($AT$2,T155,0))</f>
        <v/>
      </c>
      <c r="U161" s="2539"/>
      <c r="V161" s="2536" t="str">
        <f ca="1">IF(ISBLANK(OFFSET($AP$2,T155,0)),"",OFFSET($AT$2,T155,0)-OFFSET($AZ$2,T155,0))</f>
        <v/>
      </c>
      <c r="W161" s="2537"/>
      <c r="X161" s="2538" t="str">
        <f ca="1">IF(ISBLANK(OFFSET($AP$2,X155,0)),"",OFFSET($AT$2,X155,0))</f>
        <v/>
      </c>
      <c r="Y161" s="2539"/>
      <c r="Z161" s="2536" t="str">
        <f ca="1">IF(ISBLANK(OFFSET($AP$2,X155,0)),"",OFFSET($AT$2,X155,0)-OFFSET($AZ$2,X155,0))</f>
        <v/>
      </c>
      <c r="AA161" s="2537"/>
      <c r="AB161" s="57"/>
    </row>
    <row r="162" spans="1:28" ht="12.95" hidden="1" customHeight="1" thickBot="1" x14ac:dyDescent="0.25">
      <c r="A162" s="57"/>
      <c r="B162" s="2556" t="s">
        <v>439</v>
      </c>
      <c r="C162" s="2557"/>
      <c r="D162" s="2549" t="str">
        <f ca="1">IF(ISBLANK(OFFSET($AP$2,D155,0)),"",OFFSET($AV$2,D155,0))</f>
        <v/>
      </c>
      <c r="E162" s="2550"/>
      <c r="F162" s="2551" t="str">
        <f ca="1">IF(ISBLANK(OFFSET($AP$2,D155,0)),"",OFFSET($AV$2,D155,0)-OFFSET($BB$2,D155,0))</f>
        <v/>
      </c>
      <c r="G162" s="2552"/>
      <c r="H162" s="2549" t="str">
        <f ca="1">IF(ISBLANK(OFFSET($AP$2,H155,0)),"",OFFSET($AV$2,H155,0))</f>
        <v/>
      </c>
      <c r="I162" s="2550"/>
      <c r="J162" s="2551" t="str">
        <f ca="1">IF(ISBLANK(OFFSET($AP$2,H155,0)),"",OFFSET($AV$2,H155,0)-OFFSET($BB$2,H155,0))</f>
        <v/>
      </c>
      <c r="K162" s="2552"/>
      <c r="L162" s="2549" t="str">
        <f ca="1">IF(ISBLANK(OFFSET($AP$2,L155,0)),"",OFFSET($AV$2,L155,0))</f>
        <v/>
      </c>
      <c r="M162" s="2550"/>
      <c r="N162" s="2551" t="str">
        <f ca="1">IF(ISBLANK(OFFSET($AP$2,L155,0)),"",OFFSET($AV$2,L155,0)-OFFSET($BB$2,L155,0))</f>
        <v/>
      </c>
      <c r="O162" s="2552"/>
      <c r="P162" s="2549" t="str">
        <f ca="1">IF(ISBLANK(OFFSET($AP$2,P155,0)),"",OFFSET($AV$2,P155,0))</f>
        <v/>
      </c>
      <c r="Q162" s="2550"/>
      <c r="R162" s="2551" t="str">
        <f ca="1">IF(ISBLANK(OFFSET($AP$2,P155,0)),"",OFFSET($AV$2,P155,0)-OFFSET($BB$2,P155,0))</f>
        <v/>
      </c>
      <c r="S162" s="2552"/>
      <c r="T162" s="2549" t="str">
        <f ca="1">IF(ISBLANK(OFFSET($AP$2,T155,0)),"",OFFSET($AV$2,T155,0))</f>
        <v/>
      </c>
      <c r="U162" s="2550"/>
      <c r="V162" s="2551" t="str">
        <f ca="1">IF(ISBLANK(OFFSET($AP$2,T155,0)),"",OFFSET($AV$2,T155,0)-OFFSET($BB$2,T155,0))</f>
        <v/>
      </c>
      <c r="W162" s="2552"/>
      <c r="X162" s="2549" t="str">
        <f ca="1">IF(ISBLANK(OFFSET($AP$2,X155,0)),"",OFFSET($AV$2,X155,0))</f>
        <v/>
      </c>
      <c r="Y162" s="2550"/>
      <c r="Z162" s="2551" t="str">
        <f ca="1">IF(ISBLANK(OFFSET($AP$2,X155,0)),"",OFFSET($AV$2,X155,0)-OFFSET($BB$2,X155,0))</f>
        <v/>
      </c>
      <c r="AA162" s="2552"/>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53" t="str">
        <f ca="1">IF(ISBLANK(OFFSET($AP$2,D163,0)),"",CONCATENATE("Seq. ",OFFSET($AP$2,D163,0)))</f>
        <v/>
      </c>
      <c r="E164" s="2554"/>
      <c r="F164" s="2554"/>
      <c r="G164" s="2555"/>
      <c r="H164" s="2553" t="str">
        <f ca="1">IF(ISBLANK(OFFSET($AP$2,H163,0)),"",CONCATENATE("Seq. ",OFFSET($AP$2,H163,0)))</f>
        <v/>
      </c>
      <c r="I164" s="2554"/>
      <c r="J164" s="2554"/>
      <c r="K164" s="2555"/>
      <c r="L164" s="2553" t="str">
        <f ca="1">IF(ISBLANK(OFFSET($AP$2,L163,0)),"",CONCATENATE("Seq. ",OFFSET($AP$2,L163,0)))</f>
        <v/>
      </c>
      <c r="M164" s="2554"/>
      <c r="N164" s="2554"/>
      <c r="O164" s="2555"/>
      <c r="P164" s="2553" t="str">
        <f ca="1">IF(ISBLANK(OFFSET($AP$2,P163,0)),"",CONCATENATE("Seq. ",OFFSET($AP$2,P163,0)))</f>
        <v/>
      </c>
      <c r="Q164" s="2554"/>
      <c r="R164" s="2554"/>
      <c r="S164" s="2555"/>
      <c r="T164" s="2553" t="str">
        <f ca="1">IF(ISBLANK(OFFSET($AP$2,T163,0)),"",CONCATENATE("Seq. ",OFFSET($AP$2,T163,0)))</f>
        <v/>
      </c>
      <c r="U164" s="2554"/>
      <c r="V164" s="2554"/>
      <c r="W164" s="2555"/>
      <c r="X164" s="2553" t="str">
        <f ca="1">IF(ISBLANK(OFFSET($AP$2,X163,0)),"",CONCATENATE("Seq. ",OFFSET($AP$2,X163,0)))</f>
        <v/>
      </c>
      <c r="Y164" s="2554"/>
      <c r="Z164" s="2554"/>
      <c r="AA164" s="2555"/>
      <c r="AB164" s="57"/>
    </row>
    <row r="165" spans="1:28" ht="12.95" hidden="1" customHeight="1" thickBot="1" x14ac:dyDescent="0.25">
      <c r="A165" s="57"/>
      <c r="B165" s="41"/>
      <c r="C165" s="42"/>
      <c r="D165" s="2542" t="s">
        <v>440</v>
      </c>
      <c r="E165" s="2543"/>
      <c r="F165" s="2543" t="s">
        <v>441</v>
      </c>
      <c r="G165" s="2544"/>
      <c r="H165" s="2542" t="s">
        <v>440</v>
      </c>
      <c r="I165" s="2543"/>
      <c r="J165" s="2543" t="s">
        <v>441</v>
      </c>
      <c r="K165" s="2544"/>
      <c r="L165" s="2542" t="s">
        <v>440</v>
      </c>
      <c r="M165" s="2543"/>
      <c r="N165" s="2543" t="s">
        <v>441</v>
      </c>
      <c r="O165" s="2544"/>
      <c r="P165" s="2542" t="s">
        <v>440</v>
      </c>
      <c r="Q165" s="2543"/>
      <c r="R165" s="2543" t="s">
        <v>441</v>
      </c>
      <c r="S165" s="2544"/>
      <c r="T165" s="2542" t="s">
        <v>440</v>
      </c>
      <c r="U165" s="2543"/>
      <c r="V165" s="2543" t="s">
        <v>441</v>
      </c>
      <c r="W165" s="2544"/>
      <c r="X165" s="2542" t="s">
        <v>440</v>
      </c>
      <c r="Y165" s="2543"/>
      <c r="Z165" s="2543" t="s">
        <v>441</v>
      </c>
      <c r="AA165" s="2544"/>
      <c r="AB165" s="57"/>
    </row>
    <row r="166" spans="1:28" ht="12.95" hidden="1" customHeight="1" x14ac:dyDescent="0.2">
      <c r="A166" s="57"/>
      <c r="B166" s="2547" t="s">
        <v>73</v>
      </c>
      <c r="C166" s="2548"/>
      <c r="D166" s="2538" t="str">
        <f ca="1">IF(ISBLANK(OFFSET($AP$2,D163,0)),"",OFFSET($AQ$2,D163,0)+OFFSET($AU$2,D163,0))</f>
        <v/>
      </c>
      <c r="E166" s="2539"/>
      <c r="F166" s="2536" t="str">
        <f ca="1">IF(ISBLANK(OFFSET($AP$2,D163,0)),"",(OFFSET($AQ$2,D163,0)+OFFSET($AU$2,D163,0))-(OFFSET($AW$2,D163,0)+OFFSET($BA$2,D163,0)))</f>
        <v/>
      </c>
      <c r="G166" s="2537"/>
      <c r="H166" s="2538" t="str">
        <f ca="1">IF(ISBLANK(OFFSET($AP$2,H163,0)),"",OFFSET($AQ$2,H163,0)+OFFSET($AU$2,H163,0))</f>
        <v/>
      </c>
      <c r="I166" s="2539"/>
      <c r="J166" s="2536" t="str">
        <f ca="1">IF(ISBLANK(OFFSET($AP$2,H163,0)),"",(OFFSET($AQ$2,H163,0)+OFFSET($AU$2,H163,0))-(OFFSET($AW$2,H163,0)+OFFSET($BA$2,H163,0)))</f>
        <v/>
      </c>
      <c r="K166" s="2537"/>
      <c r="L166" s="2538" t="str">
        <f ca="1">IF(ISBLANK(OFFSET($AP$2,L163,0)),"",OFFSET($AQ$2,L163,0)+OFFSET($AU$2,L163,0))</f>
        <v/>
      </c>
      <c r="M166" s="2539"/>
      <c r="N166" s="2536" t="str">
        <f ca="1">IF(ISBLANK(OFFSET($AP$2,L163,0)),"",(OFFSET($AQ$2,L163,0)+OFFSET($AU$2,L163,0))-(OFFSET($AW$2,L163,0)+OFFSET($BA$2,L163,0)))</f>
        <v/>
      </c>
      <c r="O166" s="2537"/>
      <c r="P166" s="2538" t="str">
        <f ca="1">IF(ISBLANK(OFFSET($AP$2,P163,0)),"",OFFSET($AQ$2,P163,0)+OFFSET($AU$2,P163,0))</f>
        <v/>
      </c>
      <c r="Q166" s="2539"/>
      <c r="R166" s="2536" t="str">
        <f ca="1">IF(ISBLANK(OFFSET($AP$2,P163,0)),"",(OFFSET($AQ$2,P163,0)+OFFSET($AU$2,P163,0))-(OFFSET($AW$2,P163,0)+OFFSET($BA$2,P163,0)))</f>
        <v/>
      </c>
      <c r="S166" s="2537"/>
      <c r="T166" s="2538" t="str">
        <f ca="1">IF(ISBLANK(OFFSET($AP$2,T163,0)),"",OFFSET($AQ$2,T163,0)+OFFSET($AU$2,T163,0))</f>
        <v/>
      </c>
      <c r="U166" s="2539"/>
      <c r="V166" s="2536" t="str">
        <f ca="1">IF(ISBLANK(OFFSET($AP$2,T163,0)),"",(OFFSET($AQ$2,T163,0)+OFFSET($AU$2,T163,0))-(OFFSET($AW$2,T163,0)+OFFSET($BA$2,T163,0)))</f>
        <v/>
      </c>
      <c r="W166" s="2537"/>
      <c r="X166" s="2538" t="str">
        <f ca="1">IF(ISBLANK(OFFSET($AP$2,X163,0)),"",OFFSET($AQ$2,X163,0)+OFFSET($AU$2,X163,0))</f>
        <v/>
      </c>
      <c r="Y166" s="2539"/>
      <c r="Z166" s="2536" t="str">
        <f ca="1">IF(ISBLANK(OFFSET($AP$2,X163,0)),"",(OFFSET($AQ$2,X163,0)+OFFSET($AU$2,X163,0))-(OFFSET($AW$2,X163,0)+OFFSET($BA$2,X163,0)))</f>
        <v/>
      </c>
      <c r="AA166" s="2537"/>
      <c r="AB166" s="57"/>
    </row>
    <row r="167" spans="1:28" ht="12.95" hidden="1" customHeight="1" x14ac:dyDescent="0.2">
      <c r="A167" s="57"/>
      <c r="B167" s="2540" t="s">
        <v>437</v>
      </c>
      <c r="C167" s="2541"/>
      <c r="D167" s="2538" t="str">
        <f ca="1">IF(ISBLANK(OFFSET($AP$2,D163,0)),"",OFFSET($AR$2,D163,0))</f>
        <v/>
      </c>
      <c r="E167" s="2539"/>
      <c r="F167" s="2536" t="str">
        <f ca="1">IF(ISBLANK(OFFSET($AP$2,D163,0)),"",OFFSET($AR$2,D163,0)-OFFSET($AX$2,D163,0))</f>
        <v/>
      </c>
      <c r="G167" s="2537"/>
      <c r="H167" s="2538" t="str">
        <f ca="1">IF(ISBLANK(OFFSET($AP$2,H163,0)),"",OFFSET($AR$2,H163,0))</f>
        <v/>
      </c>
      <c r="I167" s="2539"/>
      <c r="J167" s="2536" t="str">
        <f ca="1">IF(ISBLANK(OFFSET($AP$2,H163,0)),"",OFFSET($AR$2,H163,0)-OFFSET($AX$2,H163,0))</f>
        <v/>
      </c>
      <c r="K167" s="2537"/>
      <c r="L167" s="2538" t="str">
        <f ca="1">IF(ISBLANK(OFFSET($AP$2,L163,0)),"",OFFSET($AR$2,L163,0))</f>
        <v/>
      </c>
      <c r="M167" s="2539"/>
      <c r="N167" s="2536" t="str">
        <f ca="1">IF(ISBLANK(OFFSET($AP$2,L163,0)),"",OFFSET($AR$2,L163,0)-OFFSET($AX$2,L163,0))</f>
        <v/>
      </c>
      <c r="O167" s="2537"/>
      <c r="P167" s="2538" t="str">
        <f ca="1">IF(ISBLANK(OFFSET($AP$2,P163,0)),"",OFFSET($AR$2,P163,0))</f>
        <v/>
      </c>
      <c r="Q167" s="2539"/>
      <c r="R167" s="2536" t="str">
        <f ca="1">IF(ISBLANK(OFFSET($AP$2,P163,0)),"",OFFSET($AR$2,P163,0)-OFFSET($AX$2,P163,0))</f>
        <v/>
      </c>
      <c r="S167" s="2537"/>
      <c r="T167" s="2538" t="str">
        <f ca="1">IF(ISBLANK(OFFSET($AP$2,T163,0)),"",OFFSET($AR$2,T163,0))</f>
        <v/>
      </c>
      <c r="U167" s="2539"/>
      <c r="V167" s="2536" t="str">
        <f ca="1">IF(ISBLANK(OFFSET($AP$2,T163,0)),"",OFFSET($AR$2,T163,0)-OFFSET($AX$2,T163,0))</f>
        <v/>
      </c>
      <c r="W167" s="2537"/>
      <c r="X167" s="2538" t="str">
        <f ca="1">IF(ISBLANK(OFFSET($AP$2,X163,0)),"",OFFSET($AR$2,X163,0))</f>
        <v/>
      </c>
      <c r="Y167" s="2539"/>
      <c r="Z167" s="2536" t="str">
        <f ca="1">IF(ISBLANK(OFFSET($AP$2,X163,0)),"",OFFSET($AR$2,X163,0)-OFFSET($AX$2,X163,0))</f>
        <v/>
      </c>
      <c r="AA167" s="2537"/>
      <c r="AB167" s="57"/>
    </row>
    <row r="168" spans="1:28" ht="12.95" hidden="1" customHeight="1" x14ac:dyDescent="0.2">
      <c r="A168" s="57"/>
      <c r="B168" s="2540" t="s">
        <v>438</v>
      </c>
      <c r="C168" s="2541"/>
      <c r="D168" s="2538" t="str">
        <f ca="1">IF(ISBLANK(OFFSET($AP$2,D163,0)),"",OFFSET($AS$2,D163,0))</f>
        <v/>
      </c>
      <c r="E168" s="2539"/>
      <c r="F168" s="2536" t="str">
        <f ca="1">IF(ISBLANK(OFFSET($AP$2,D163,0)),"",OFFSET($AS$2,D163,0)-OFFSET($AY$2,D163,0))</f>
        <v/>
      </c>
      <c r="G168" s="2537"/>
      <c r="H168" s="2538" t="str">
        <f ca="1">IF(ISBLANK(OFFSET($AP$2,H163,0)),"",OFFSET($AS$2,H163,0))</f>
        <v/>
      </c>
      <c r="I168" s="2539"/>
      <c r="J168" s="2536" t="str">
        <f ca="1">IF(ISBLANK(OFFSET($AP$2,H163,0)),"",OFFSET($AS$2,H163,0)-OFFSET($AY$2,H163,0))</f>
        <v/>
      </c>
      <c r="K168" s="2537"/>
      <c r="L168" s="2538" t="str">
        <f ca="1">IF(ISBLANK(OFFSET($AP$2,L163,0)),"",OFFSET($AS$2,L163,0))</f>
        <v/>
      </c>
      <c r="M168" s="2539"/>
      <c r="N168" s="2536" t="str">
        <f ca="1">IF(ISBLANK(OFFSET($AP$2,L163,0)),"",OFFSET($AS$2,L163,0)-OFFSET($AY$2,L163,0))</f>
        <v/>
      </c>
      <c r="O168" s="2537"/>
      <c r="P168" s="2538" t="str">
        <f ca="1">IF(ISBLANK(OFFSET($AP$2,P163,0)),"",OFFSET($AS$2,P163,0))</f>
        <v/>
      </c>
      <c r="Q168" s="2539"/>
      <c r="R168" s="2536" t="str">
        <f ca="1">IF(ISBLANK(OFFSET($AP$2,P163,0)),"",OFFSET($AS$2,P163,0)-OFFSET($AY$2,P163,0))</f>
        <v/>
      </c>
      <c r="S168" s="2537"/>
      <c r="T168" s="2538" t="str">
        <f ca="1">IF(ISBLANK(OFFSET($AP$2,T163,0)),"",OFFSET($AS$2,T163,0))</f>
        <v/>
      </c>
      <c r="U168" s="2539"/>
      <c r="V168" s="2536" t="str">
        <f ca="1">IF(ISBLANK(OFFSET($AP$2,T163,0)),"",OFFSET($AS$2,T163,0)-OFFSET($AY$2,T163,0))</f>
        <v/>
      </c>
      <c r="W168" s="2537"/>
      <c r="X168" s="2538" t="str">
        <f ca="1">IF(ISBLANK(OFFSET($AP$2,X163,0)),"",OFFSET($AS$2,X163,0))</f>
        <v/>
      </c>
      <c r="Y168" s="2539"/>
      <c r="Z168" s="2536" t="str">
        <f ca="1">IF(ISBLANK(OFFSET($AP$2,X163,0)),"",OFFSET($AS$2,X163,0)-OFFSET($AY$2,X163,0))</f>
        <v/>
      </c>
      <c r="AA168" s="2537"/>
      <c r="AB168" s="57"/>
    </row>
    <row r="169" spans="1:28" ht="12.95" hidden="1" customHeight="1" x14ac:dyDescent="0.2">
      <c r="A169" s="57"/>
      <c r="B169" s="2540" t="s">
        <v>75</v>
      </c>
      <c r="C169" s="2541"/>
      <c r="D169" s="2538" t="str">
        <f ca="1">IF(ISBLANK(OFFSET($AP$2,D163,0)),"",OFFSET($AT$2,D163,0))</f>
        <v/>
      </c>
      <c r="E169" s="2539"/>
      <c r="F169" s="2536" t="str">
        <f ca="1">IF(ISBLANK(OFFSET($AP$2,D163,0)),"",OFFSET($AT$2,D163,0)-OFFSET($AZ$2,D163,0))</f>
        <v/>
      </c>
      <c r="G169" s="2537"/>
      <c r="H169" s="2538" t="str">
        <f ca="1">IF(ISBLANK(OFFSET($AP$2,H163,0)),"",OFFSET($AT$2,H163,0))</f>
        <v/>
      </c>
      <c r="I169" s="2539"/>
      <c r="J169" s="2536" t="str">
        <f ca="1">IF(ISBLANK(OFFSET($AP$2,H163,0)),"",OFFSET($AT$2,H163,0)-OFFSET($AZ$2,H163,0))</f>
        <v/>
      </c>
      <c r="K169" s="2537"/>
      <c r="L169" s="2538" t="str">
        <f ca="1">IF(ISBLANK(OFFSET($AP$2,L163,0)),"",OFFSET($AT$2,L163,0))</f>
        <v/>
      </c>
      <c r="M169" s="2539"/>
      <c r="N169" s="2536" t="str">
        <f ca="1">IF(ISBLANK(OFFSET($AP$2,L163,0)),"",OFFSET($AT$2,L163,0)-OFFSET($AZ$2,L163,0))</f>
        <v/>
      </c>
      <c r="O169" s="2537"/>
      <c r="P169" s="2538" t="str">
        <f ca="1">IF(ISBLANK(OFFSET($AP$2,P163,0)),"",OFFSET($AT$2,P163,0))</f>
        <v/>
      </c>
      <c r="Q169" s="2539"/>
      <c r="R169" s="2536" t="str">
        <f ca="1">IF(ISBLANK(OFFSET($AP$2,P163,0)),"",OFFSET($AT$2,P163,0)-OFFSET($AZ$2,P163,0))</f>
        <v/>
      </c>
      <c r="S169" s="2537"/>
      <c r="T169" s="2538" t="str">
        <f ca="1">IF(ISBLANK(OFFSET($AP$2,T163,0)),"",OFFSET($AT$2,T163,0))</f>
        <v/>
      </c>
      <c r="U169" s="2539"/>
      <c r="V169" s="2536" t="str">
        <f ca="1">IF(ISBLANK(OFFSET($AP$2,T163,0)),"",OFFSET($AT$2,T163,0)-OFFSET($AZ$2,T163,0))</f>
        <v/>
      </c>
      <c r="W169" s="2537"/>
      <c r="X169" s="2538" t="str">
        <f ca="1">IF(ISBLANK(OFFSET($AP$2,X163,0)),"",OFFSET($AT$2,X163,0))</f>
        <v/>
      </c>
      <c r="Y169" s="2539"/>
      <c r="Z169" s="2536" t="str">
        <f ca="1">IF(ISBLANK(OFFSET($AP$2,X163,0)),"",OFFSET($AT$2,X163,0)-OFFSET($AZ$2,X163,0))</f>
        <v/>
      </c>
      <c r="AA169" s="2537"/>
      <c r="AB169" s="57"/>
    </row>
    <row r="170" spans="1:28" ht="12.95" hidden="1" customHeight="1" thickBot="1" x14ac:dyDescent="0.25">
      <c r="A170" s="57"/>
      <c r="B170" s="2556" t="s">
        <v>439</v>
      </c>
      <c r="C170" s="2557"/>
      <c r="D170" s="2549" t="str">
        <f ca="1">IF(ISBLANK(OFFSET($AP$2,D163,0)),"",OFFSET($AV$2,D163,0))</f>
        <v/>
      </c>
      <c r="E170" s="2550"/>
      <c r="F170" s="2551" t="str">
        <f ca="1">IF(ISBLANK(OFFSET($AP$2,D163,0)),"",OFFSET($AV$2,D163,0)-OFFSET($BB$2,D163,0))</f>
        <v/>
      </c>
      <c r="G170" s="2552"/>
      <c r="H170" s="2549" t="str">
        <f ca="1">IF(ISBLANK(OFFSET($AP$2,H163,0)),"",OFFSET($AV$2,H163,0))</f>
        <v/>
      </c>
      <c r="I170" s="2550"/>
      <c r="J170" s="2551" t="str">
        <f ca="1">IF(ISBLANK(OFFSET($AP$2,H163,0)),"",OFFSET($AV$2,H163,0)-OFFSET($BB$2,H163,0))</f>
        <v/>
      </c>
      <c r="K170" s="2552"/>
      <c r="L170" s="2549" t="str">
        <f ca="1">IF(ISBLANK(OFFSET($AP$2,L163,0)),"",OFFSET($AV$2,L163,0))</f>
        <v/>
      </c>
      <c r="M170" s="2550"/>
      <c r="N170" s="2551" t="str">
        <f ca="1">IF(ISBLANK(OFFSET($AP$2,L163,0)),"",OFFSET($AV$2,L163,0)-OFFSET($BB$2,L163,0))</f>
        <v/>
      </c>
      <c r="O170" s="2552"/>
      <c r="P170" s="2549" t="str">
        <f ca="1">IF(ISBLANK(OFFSET($AP$2,P163,0)),"",OFFSET($AV$2,P163,0))</f>
        <v/>
      </c>
      <c r="Q170" s="2550"/>
      <c r="R170" s="2551" t="str">
        <f ca="1">IF(ISBLANK(OFFSET($AP$2,P163,0)),"",OFFSET($AV$2,P163,0)-OFFSET($BB$2,P163,0))</f>
        <v/>
      </c>
      <c r="S170" s="2552"/>
      <c r="T170" s="2549" t="str">
        <f ca="1">IF(ISBLANK(OFFSET($AP$2,T163,0)),"",OFFSET($AV$2,T163,0))</f>
        <v/>
      </c>
      <c r="U170" s="2550"/>
      <c r="V170" s="2551" t="str">
        <f ca="1">IF(ISBLANK(OFFSET($AP$2,T163,0)),"",OFFSET($AV$2,T163,0)-OFFSET($BB$2,T163,0))</f>
        <v/>
      </c>
      <c r="W170" s="2552"/>
      <c r="X170" s="2549" t="str">
        <f ca="1">IF(ISBLANK(OFFSET($AP$2,X163,0)),"",OFFSET($AV$2,X163,0))</f>
        <v/>
      </c>
      <c r="Y170" s="2550"/>
      <c r="Z170" s="2551" t="str">
        <f ca="1">IF(ISBLANK(OFFSET($AP$2,X163,0)),"",OFFSET($AV$2,X163,0)-OFFSET($BB$2,X163,0))</f>
        <v/>
      </c>
      <c r="AA170" s="2552"/>
      <c r="AB170" s="57"/>
    </row>
    <row r="179" ht="12.95" customHeight="1" x14ac:dyDescent="0.2"/>
    <row r="180" ht="12.95" customHeight="1" x14ac:dyDescent="0.2"/>
    <row r="181" ht="12.95" customHeight="1" x14ac:dyDescent="0.2"/>
    <row r="182" ht="12.95" customHeight="1" x14ac:dyDescent="0.2"/>
  </sheetData>
  <sheetProtection algorithmName="SHA-512" hashValue="tVJ8pDyQy5MmkcJTZ1CFd8cMQ4QS5o2cRMSZgge8WknXCD58mF1GvJm9dsDt8tLKL+eBDYN3ZvvUzPutNAXynA==" saltValue="chrSNX+OY+oOv+PcKtMSHA=="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742" priority="1" stopIfTrue="1" operator="equal">
      <formula>0</formula>
    </cfRule>
    <cfRule type="expression" dxfId="741" priority="2" stopIfTrue="1">
      <formula>ISBLANK(OFFSET($AP$2,$H22,0))</formula>
    </cfRule>
  </conditionalFormatting>
  <conditionalFormatting sqref="L25:O25 L33:O33 L41:O41 L49:O49 L68:O68 L76:O76 L84:O84 L92:O92 L100:O100 L108:O108 L126:O126 L134:O134 L142:O142 L150:O150 L158:O158 L166:O166">
    <cfRule type="cellIs" dxfId="740" priority="3" stopIfTrue="1" operator="equal">
      <formula>0</formula>
    </cfRule>
    <cfRule type="expression" dxfId="739" priority="4" stopIfTrue="1">
      <formula>ISBLANK(OFFSET($AP$2,$L22,0))</formula>
    </cfRule>
  </conditionalFormatting>
  <conditionalFormatting sqref="P25:S25 P33:S33 P41:S41 P49:S49 P68:S68 P76:S76 P84:S84 P92:S92 P100:S100 P108:S108 P126:S126 P134:S134 P142:S142 P150:S150 P158:S158 P166:S166">
    <cfRule type="cellIs" dxfId="738" priority="5" stopIfTrue="1" operator="equal">
      <formula>0</formula>
    </cfRule>
    <cfRule type="expression" dxfId="737" priority="6" stopIfTrue="1">
      <formula>ISBLANK(OFFSET($AP$2,$P22,0))</formula>
    </cfRule>
  </conditionalFormatting>
  <conditionalFormatting sqref="T25:W25 T33:W33 T41:W41 T49:W49 T68:W68 T76:W76 T84:W84 T92:W92 T100:W100 T108:W108 T126:W126 T134:W134 T142:W142 T150:W150 T158:W158 T166:W166">
    <cfRule type="cellIs" dxfId="736" priority="7" stopIfTrue="1" operator="equal">
      <formula>0</formula>
    </cfRule>
    <cfRule type="expression" dxfId="73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734" priority="9" stopIfTrue="1" operator="equal">
      <formula>0</formula>
    </cfRule>
    <cfRule type="expression" dxfId="733" priority="10" stopIfTrue="1">
      <formula>ISBLANK(OFFSET($AP$2,$X22,0))</formula>
    </cfRule>
  </conditionalFormatting>
  <conditionalFormatting sqref="H26:K26 H34:K34 H42:K42 H50:K50 H69:K69 H77:K77 H85:K85 H93:K93 H101:K101 H109:K109 H127:K127 H135:K135 H143:K143 H151:K151 H159:K159 H167:K167">
    <cfRule type="cellIs" dxfId="732" priority="11" stopIfTrue="1" operator="equal">
      <formula>0</formula>
    </cfRule>
    <cfRule type="expression" dxfId="731" priority="12" stopIfTrue="1">
      <formula>ISBLANK(OFFSET($AP$2,$H22,0))</formula>
    </cfRule>
  </conditionalFormatting>
  <conditionalFormatting sqref="L26:O26 L34:O34 L42:O42 L50:O50 L69:O69 L77:O77 L85:O85 L93:O93 L101:O101 L109:O109 L127:O127 L135:O135 L143:O143 L151:O151 L159:O159 L167:O167">
    <cfRule type="cellIs" dxfId="730" priority="13" stopIfTrue="1" operator="equal">
      <formula>0</formula>
    </cfRule>
    <cfRule type="expression" dxfId="729" priority="14" stopIfTrue="1">
      <formula>ISBLANK(OFFSET($AP$2,$L22,0))</formula>
    </cfRule>
  </conditionalFormatting>
  <conditionalFormatting sqref="P26:S26 P34:S34 P42:S42 P50:S50 P69:S69 P77:S77 P85:S85 P93:S93 P101:S101 P109:S109 P127:S127 P135:S135 P143:S143 P151:S151 P159:S159 P167:S167">
    <cfRule type="cellIs" dxfId="728" priority="15" stopIfTrue="1" operator="equal">
      <formula>0</formula>
    </cfRule>
    <cfRule type="expression" dxfId="727" priority="16" stopIfTrue="1">
      <formula>ISBLANK(OFFSET($AP$2,$P22,0))</formula>
    </cfRule>
  </conditionalFormatting>
  <conditionalFormatting sqref="T26:W26 T34:W34 T42:W42 T50:W50 T69:W69 T77:W77 T85:W85 T93:W93 T101:W101 T109:W109 T127:W127 T135:W135 T143:W143 T151:W151 T159:W159 T167:W167">
    <cfRule type="cellIs" dxfId="726" priority="17" stopIfTrue="1" operator="equal">
      <formula>0</formula>
    </cfRule>
    <cfRule type="expression" dxfId="72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724" priority="19" stopIfTrue="1" operator="equal">
      <formula>0</formula>
    </cfRule>
    <cfRule type="expression" dxfId="723" priority="20" stopIfTrue="1">
      <formula>ISBLANK(OFFSET($AP$2,$X22,0))</formula>
    </cfRule>
  </conditionalFormatting>
  <conditionalFormatting sqref="H23:K23 H31:K31 H39:K39 H47:K47 H66:K66 H74:K74 H82:K82 H90:K90 H98:K98 H106:K106 H124:K124 H132:K132 H140:K140 H148:K148 H156:K156 H164:K164">
    <cfRule type="cellIs" dxfId="722" priority="21" stopIfTrue="1" operator="equal">
      <formula>0</formula>
    </cfRule>
    <cfRule type="expression" dxfId="721" priority="22" stopIfTrue="1">
      <formula>ISBLANK(OFFSET($AP$2,$H22,0))</formula>
    </cfRule>
  </conditionalFormatting>
  <conditionalFormatting sqref="H24:K24 H32:K32 H40:K40 H48:K48 H67:K67 H75:K75 H83:K83 H91:K91 H99:K99 H107:K107 H125:K125 H133:K133 H141:K141 H149:K149 H157:K157 H165:K165">
    <cfRule type="cellIs" dxfId="720" priority="23" stopIfTrue="1" operator="equal">
      <formula>0</formula>
    </cfRule>
    <cfRule type="expression" dxfId="719" priority="24" stopIfTrue="1">
      <formula>ISBLANK(OFFSET($AP$2,$H22,0))</formula>
    </cfRule>
  </conditionalFormatting>
  <conditionalFormatting sqref="L23:O23 L31:O31 L39:O39 L47:O47 L66:O66 L74:O74 L82:O82 L90:O90 L98:O98 L106:O106 L124:O124 L132:O132 L140:O140 L148:O148 L156:O156 L164:O164">
    <cfRule type="cellIs" dxfId="718" priority="25" stopIfTrue="1" operator="equal">
      <formula>0</formula>
    </cfRule>
    <cfRule type="expression" dxfId="717" priority="26" stopIfTrue="1">
      <formula>ISBLANK(OFFSET($AP$2,$L22,0))</formula>
    </cfRule>
  </conditionalFormatting>
  <conditionalFormatting sqref="L24:O24 L32:O32 L40:O40 L48:O48 L67:O67 L75:O75 L83:O83 L91:O91 L99:O99 L107:O107 L125:O125 L133:O133 L141:O141 L149:O149 L157:O157 L165:O165">
    <cfRule type="cellIs" dxfId="716" priority="27" stopIfTrue="1" operator="equal">
      <formula>0</formula>
    </cfRule>
    <cfRule type="expression" dxfId="715" priority="28" stopIfTrue="1">
      <formula>ISBLANK(OFFSET($AP$2,$L22,0))</formula>
    </cfRule>
  </conditionalFormatting>
  <conditionalFormatting sqref="P23:S23 P31:S31 P39:S39 P47:S47 P66:S66 P74:S74 P82:S82 P90:S90 P98:S98 P106:S106 P124:S124 P132:S132 P140:S140 P148:S148 P156:S156 P164:S164">
    <cfRule type="cellIs" dxfId="714" priority="29" stopIfTrue="1" operator="equal">
      <formula>0</formula>
    </cfRule>
    <cfRule type="expression" dxfId="713" priority="30" stopIfTrue="1">
      <formula>ISBLANK(OFFSET($AP$2,$P22,0))</formula>
    </cfRule>
  </conditionalFormatting>
  <conditionalFormatting sqref="P24:S24 P32:S32 P40:S40 P48:S48 P67:S67 P75:S75 P83:S83 P91:S91 P99:S99 P107:S107 P125:S125 P133:S133 P141:S141 P149:S149 P157:S157 P165:S165">
    <cfRule type="cellIs" dxfId="712" priority="31" stopIfTrue="1" operator="equal">
      <formula>0</formula>
    </cfRule>
    <cfRule type="expression" dxfId="711" priority="32" stopIfTrue="1">
      <formula>ISBLANK(OFFSET($AP$2,$P22,0))</formula>
    </cfRule>
  </conditionalFormatting>
  <conditionalFormatting sqref="T23:W23 T31:W31 T39:W39 T47:W47 T66:W66 T74:W74 T82:W82 T90:W90 T98:W98 T106:W106 T124:W124 T132:W132 T140:W140 T148:W148 T156:W156 T164:W164">
    <cfRule type="cellIs" dxfId="710" priority="33" stopIfTrue="1" operator="equal">
      <formula>0</formula>
    </cfRule>
    <cfRule type="expression" dxfId="709" priority="34" stopIfTrue="1">
      <formula>ISBLANK(OFFSET($AP$2,$T22,0))</formula>
    </cfRule>
  </conditionalFormatting>
  <conditionalFormatting sqref="T24:W24 T32:W32 T40:W40 T48:W48 T67:W67 T75:W75 T83:W83 T91:W91 T99:W99 T107:W107 T125:W125 T133:W133 T141:W141 T149:W149 T157:W157 T165:W165">
    <cfRule type="cellIs" dxfId="708" priority="35" stopIfTrue="1" operator="equal">
      <formula>0</formula>
    </cfRule>
    <cfRule type="expression" dxfId="70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706" priority="37" stopIfTrue="1" operator="equal">
      <formula>0</formula>
    </cfRule>
    <cfRule type="expression" dxfId="70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704" priority="39" stopIfTrue="1" operator="equal">
      <formula>0</formula>
    </cfRule>
    <cfRule type="expression" dxfId="703" priority="40" stopIfTrue="1">
      <formula>ISBLANK(OFFSET($AP$2,$X22,0))</formula>
    </cfRule>
  </conditionalFormatting>
  <conditionalFormatting sqref="H27:K27 H35:K35 H43:K43 H51:K51 H70:K70 H78:K78 H86:K86 H94:K94 H102:K102 H110:K110 H128:K128 H136:K136 H144:K144 H152:K152 H160:K160 H168:K168">
    <cfRule type="cellIs" dxfId="702" priority="41" stopIfTrue="1" operator="equal">
      <formula>0</formula>
    </cfRule>
    <cfRule type="expression" dxfId="701" priority="42" stopIfTrue="1">
      <formula>ISBLANK(OFFSET($AP$2,$H22,0))</formula>
    </cfRule>
  </conditionalFormatting>
  <conditionalFormatting sqref="L27:O27 L35:O35 L43:O43 L51:O51 L70:O70 L78:O78 L86:O86 L94:O94 L102:O102 L110:O110 L128:O128 L136:O136 L144:O144 L152:O152 L160:O160 L168:O168">
    <cfRule type="cellIs" dxfId="700" priority="43" stopIfTrue="1" operator="equal">
      <formula>0</formula>
    </cfRule>
    <cfRule type="expression" dxfId="699" priority="44" stopIfTrue="1">
      <formula>ISBLANK(OFFSET($AP$2,$L22,0))</formula>
    </cfRule>
  </conditionalFormatting>
  <conditionalFormatting sqref="P27:S27 P35:S35 P43:S43 P51:S51 P70:S70 P78:S78 P86:S86 P94:S94 P102:S102 P110:S110 P128:S128 P136:S136 P144:S144 P152:S152 P160:S160 P168:S168">
    <cfRule type="cellIs" dxfId="698" priority="45" stopIfTrue="1" operator="equal">
      <formula>0</formula>
    </cfRule>
    <cfRule type="expression" dxfId="697" priority="46" stopIfTrue="1">
      <formula>ISBLANK(OFFSET($AP$2,$P22,0))</formula>
    </cfRule>
  </conditionalFormatting>
  <conditionalFormatting sqref="T27:W27 T35:W35 T43:W43 T51:W51 T70:W70 T78:W78 T86:W86 T94:W94 T102:W102 T110:W110 T128:W128 T136:W136 T144:W144 T152:W152 T160:W160 T168:W168">
    <cfRule type="cellIs" dxfId="696" priority="47" stopIfTrue="1" operator="equal">
      <formula>0</formula>
    </cfRule>
    <cfRule type="expression" dxfId="69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694" priority="49" stopIfTrue="1" operator="equal">
      <formula>0</formula>
    </cfRule>
    <cfRule type="expression" dxfId="693" priority="50" stopIfTrue="1">
      <formula>ISBLANK(OFFSET($AP$2,$X22,0))</formula>
    </cfRule>
  </conditionalFormatting>
  <conditionalFormatting sqref="H28:K28 H36:K36 H44:K44 H52:K52 H71:K71 H79:K79 H87:K87 H95:K95 H103:K103 H111:K111 H129:K129 H137:K137 H145:K145 H153:K153 H161:K161 H169:K169">
    <cfRule type="cellIs" dxfId="692" priority="51" stopIfTrue="1" operator="equal">
      <formula>0</formula>
    </cfRule>
    <cfRule type="expression" dxfId="691" priority="52" stopIfTrue="1">
      <formula>ISBLANK(OFFSET($AP$2,$H22,0))</formula>
    </cfRule>
  </conditionalFormatting>
  <conditionalFormatting sqref="H29:K29 H37:K37 H45:K45 H53:K53 H72:K72 H80:K80 H88:K88 H96:K96 H104:K104 H112:K112 H130:K130 H138:K138 H146:K146 H154:K154 H162:K162 H170:K170">
    <cfRule type="cellIs" dxfId="690" priority="53" stopIfTrue="1" operator="equal">
      <formula>0</formula>
    </cfRule>
    <cfRule type="expression" dxfId="689" priority="54" stopIfTrue="1">
      <formula>ISBLANK(OFFSET($AP$2,$H22,0))</formula>
    </cfRule>
  </conditionalFormatting>
  <conditionalFormatting sqref="L28:O28 L36:O36 L44:O44 L52:O52 L71:O71 L79:O79 L87:O87 L95:O95 L103:O103 L111:O111 L129:O129 L137:O137 L145:O145 L153:O153 L161:O161 L169:O169">
    <cfRule type="cellIs" dxfId="688" priority="55" stopIfTrue="1" operator="equal">
      <formula>0</formula>
    </cfRule>
    <cfRule type="expression" dxfId="687" priority="56" stopIfTrue="1">
      <formula>ISBLANK(OFFSET($AP$2,$L22,0))</formula>
    </cfRule>
  </conditionalFormatting>
  <conditionalFormatting sqref="L29:O29 L37:O37 L45:O45 L53:O53 L72:O72 L80:O80 L88:O88 L96:O96 L104:O104 L112:O112 L130:O130 L138:O138 L146:O146 L154:O154 L162:O162 L170:O170">
    <cfRule type="cellIs" dxfId="686" priority="57" stopIfTrue="1" operator="equal">
      <formula>0</formula>
    </cfRule>
    <cfRule type="expression" dxfId="685" priority="58" stopIfTrue="1">
      <formula>ISBLANK(OFFSET($AP$2,$L22,0))</formula>
    </cfRule>
  </conditionalFormatting>
  <conditionalFormatting sqref="P28:S28 P36:S36 P44:S44 P52:S52 P71:S71 P79:S79 P87:S87 P95:S95 P103:S103 P111:S111 P129:S129 P137:S137 P145:S145 P153:S153 P161:S161 P169:S169">
    <cfRule type="cellIs" dxfId="684" priority="59" stopIfTrue="1" operator="equal">
      <formula>0</formula>
    </cfRule>
    <cfRule type="expression" dxfId="683" priority="60" stopIfTrue="1">
      <formula>ISBLANK(OFFSET($AP$2,$P22,0))</formula>
    </cfRule>
  </conditionalFormatting>
  <conditionalFormatting sqref="P29:S29 P37:S37 P45:S45 P53:S53 P72:S72 P80:S80 P88:S88 P96:S96 P104:S104 P112:S112 P130:S130 P138:S138 P146:S146 P154:S154 P162:S162 P170:S170">
    <cfRule type="cellIs" dxfId="682" priority="61" stopIfTrue="1" operator="equal">
      <formula>0</formula>
    </cfRule>
    <cfRule type="expression" dxfId="681" priority="62" stopIfTrue="1">
      <formula>ISBLANK(OFFSET($AP$2,$P22,0))</formula>
    </cfRule>
  </conditionalFormatting>
  <conditionalFormatting sqref="T28:W28 T36:W36 T44:W44 T52:W52 T71:W71 T79:W79 T87:W87 T95:W95 T103:W103 T111:W111 T129:W129 T137:W137 T145:W145 T153:W153 T161:W161 T169:W169">
    <cfRule type="cellIs" dxfId="680" priority="63" stopIfTrue="1" operator="equal">
      <formula>0</formula>
    </cfRule>
    <cfRule type="expression" dxfId="679" priority="64" stopIfTrue="1">
      <formula>ISBLANK(OFFSET($AP$2,$T22,0))</formula>
    </cfRule>
  </conditionalFormatting>
  <conditionalFormatting sqref="T29:W29 T37:W37 T45:W45 T53:W53 T72:W72 T80:W80 T88:W88 T96:W96 T104:W104 T112:W112 T130:W130 T138:W138 T146:W146 T154:W154 T162:W162 T170:W170">
    <cfRule type="cellIs" dxfId="678" priority="65" stopIfTrue="1" operator="equal">
      <formula>0</formula>
    </cfRule>
    <cfRule type="expression" dxfId="67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676" priority="67" stopIfTrue="1" operator="equal">
      <formula>0</formula>
    </cfRule>
    <cfRule type="expression" dxfId="67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674" priority="69" stopIfTrue="1" operator="equal">
      <formula>0</formula>
    </cfRule>
    <cfRule type="expression" dxfId="673" priority="70" stopIfTrue="1">
      <formula>ISBLANK(OFFSET($AP$2,$X22,0))</formula>
    </cfRule>
  </conditionalFormatting>
  <conditionalFormatting sqref="D166:G166 D33:G33 D41:G41 D49:G49 D68:G68 D76:G76 D84:G84 D92:G92 D100:G100 D108:G108 D126:G126 D134:G134 D142:G142 D150:G150 D158:G158">
    <cfRule type="cellIs" dxfId="672" priority="71" stopIfTrue="1" operator="equal">
      <formula>0</formula>
    </cfRule>
    <cfRule type="expression" dxfId="671" priority="72" stopIfTrue="1">
      <formula>ISBLANK(OFFSET($AP$2,$D30,0))</formula>
    </cfRule>
  </conditionalFormatting>
  <conditionalFormatting sqref="D167:G167 D34:G34 D42:G42 D50:G50 D69:G69 D77:G77 D85:G85 D93:G93 D101:G101 D109:G109 D127:G127 D135:G135 D143:G143 D151:G151 D159:G159">
    <cfRule type="cellIs" dxfId="670" priority="73" stopIfTrue="1" operator="equal">
      <formula>0</formula>
    </cfRule>
    <cfRule type="expression" dxfId="669" priority="74" stopIfTrue="1">
      <formula>ISBLANK(OFFSET($AP$2,$D30,0))</formula>
    </cfRule>
  </conditionalFormatting>
  <conditionalFormatting sqref="D164:G164 D31:G31 D39:G39 D47:G47 D66:G66 D74:G74 D82:G82 D90:G90 D98:G98 D106:G106 D124:G124 D132:G132 D140:G140 D148:G148 D156:G156">
    <cfRule type="cellIs" dxfId="668" priority="75" stopIfTrue="1" operator="equal">
      <formula>0</formula>
    </cfRule>
    <cfRule type="expression" dxfId="667" priority="76" stopIfTrue="1">
      <formula>ISBLANK(OFFSET($AP$2,$D30,0))</formula>
    </cfRule>
  </conditionalFormatting>
  <conditionalFormatting sqref="D165:G165 D32:G32 D40:G40 D48:G48 D67:G67 D75:G75 D83:G83 D91:G91 D99:G99 D107:G107 D125:G125 D133:G133 D141:G141 D149:G149 D157:G157">
    <cfRule type="cellIs" dxfId="666" priority="77" stopIfTrue="1" operator="equal">
      <formula>0</formula>
    </cfRule>
    <cfRule type="expression" dxfId="665" priority="78" stopIfTrue="1">
      <formula>ISBLANK(OFFSET($AP$2,$D30,0))</formula>
    </cfRule>
  </conditionalFormatting>
  <conditionalFormatting sqref="D168:G168 D35:G35 D43:G43 D51:G51 D70:G70 D78:G78 D86:G86 D94:G94 D102:G102 D110:G110 D128:G128 D136:G136 D144:G144 D152:G152 D160:G160">
    <cfRule type="cellIs" dxfId="664" priority="79" stopIfTrue="1" operator="equal">
      <formula>0</formula>
    </cfRule>
    <cfRule type="expression" dxfId="663" priority="80" stopIfTrue="1">
      <formula>ISBLANK(OFFSET($AP$2,$D30,0))</formula>
    </cfRule>
  </conditionalFormatting>
  <conditionalFormatting sqref="D169:G169 D36:G36 D44:G44 D52:G52 D71:G71 D79:G79 D87:G87 D95:G95 D103:G103 D111:G111 D129:G129 D137:G137 D145:G145 D153:G153 D161:G161">
    <cfRule type="cellIs" dxfId="662" priority="81" stopIfTrue="1" operator="equal">
      <formula>0</formula>
    </cfRule>
    <cfRule type="expression" dxfId="661" priority="82" stopIfTrue="1">
      <formula>ISBLANK(OFFSET($AP$2,$D30,0))</formula>
    </cfRule>
  </conditionalFormatting>
  <conditionalFormatting sqref="D170:G170 D37:G37 D45:G45 D53:G53 D72:G72 D80:G80 D88:G88 D96:G96 D104:G104 D112:G112 D130:G130 D138:G138 D146:G146 D154:G154 D162:G162">
    <cfRule type="cellIs" dxfId="660" priority="83" stopIfTrue="1" operator="equal">
      <formula>0</formula>
    </cfRule>
    <cfRule type="expression" dxfId="659" priority="84" stopIfTrue="1">
      <formula>ISBLANK(OFFSET($AP$2,$D30,0))</formula>
    </cfRule>
  </conditionalFormatting>
  <conditionalFormatting sqref="N2:R4">
    <cfRule type="cellIs" dxfId="658" priority="85" stopIfTrue="1" operator="equal">
      <formula>""</formula>
    </cfRule>
  </conditionalFormatting>
  <conditionalFormatting sqref="B33:C37">
    <cfRule type="expression" dxfId="657" priority="86" stopIfTrue="1">
      <formula>ISBLANK($AP$9)</formula>
    </cfRule>
  </conditionalFormatting>
  <conditionalFormatting sqref="B41:C45">
    <cfRule type="expression" dxfId="656" priority="87" stopIfTrue="1">
      <formula>ISBLANK($AP$15)</formula>
    </cfRule>
  </conditionalFormatting>
  <conditionalFormatting sqref="B49:C53">
    <cfRule type="expression" dxfId="655" priority="88" stopIfTrue="1">
      <formula>ISBLANK($AP$21)</formula>
    </cfRule>
  </conditionalFormatting>
  <conditionalFormatting sqref="B68:C72">
    <cfRule type="expression" dxfId="654" priority="89" stopIfTrue="1">
      <formula>ISBLANK($AP$27)</formula>
    </cfRule>
  </conditionalFormatting>
  <conditionalFormatting sqref="B76:C80">
    <cfRule type="expression" dxfId="653" priority="90" stopIfTrue="1">
      <formula>ISBLANK($AP$33)</formula>
    </cfRule>
  </conditionalFormatting>
  <conditionalFormatting sqref="B84:C88">
    <cfRule type="expression" dxfId="652" priority="91" stopIfTrue="1">
      <formula>ISBLANK($AP$39)</formula>
    </cfRule>
  </conditionalFormatting>
  <conditionalFormatting sqref="B92:C96">
    <cfRule type="expression" dxfId="651" priority="92" stopIfTrue="1">
      <formula>ISBLANK($AP$45)</formula>
    </cfRule>
  </conditionalFormatting>
  <conditionalFormatting sqref="B100:C104">
    <cfRule type="expression" dxfId="650" priority="93" stopIfTrue="1">
      <formula>ISBLANK($AP$51)</formula>
    </cfRule>
  </conditionalFormatting>
  <conditionalFormatting sqref="B108:C112">
    <cfRule type="expression" dxfId="649" priority="94" stopIfTrue="1">
      <formula>ISBLANK($AP$57)</formula>
    </cfRule>
  </conditionalFormatting>
  <conditionalFormatting sqref="B166:C170">
    <cfRule type="expression" dxfId="648" priority="95" stopIfTrue="1">
      <formula>ISBLANK($AP$93)</formula>
    </cfRule>
  </conditionalFormatting>
  <conditionalFormatting sqref="B158:C162">
    <cfRule type="expression" dxfId="647" priority="96" stopIfTrue="1">
      <formula>ISBLANK($AP$87)</formula>
    </cfRule>
  </conditionalFormatting>
  <conditionalFormatting sqref="B150:C154">
    <cfRule type="expression" dxfId="646" priority="97" stopIfTrue="1">
      <formula>ISBLANK($AP$81)</formula>
    </cfRule>
  </conditionalFormatting>
  <conditionalFormatting sqref="B142:C146">
    <cfRule type="expression" dxfId="645" priority="98" stopIfTrue="1">
      <formula>ISBLANK($AP$75)</formula>
    </cfRule>
  </conditionalFormatting>
  <conditionalFormatting sqref="B134:C138">
    <cfRule type="expression" dxfId="644" priority="99" stopIfTrue="1">
      <formula>ISBLANK($AP$69)</formula>
    </cfRule>
  </conditionalFormatting>
  <conditionalFormatting sqref="B126:C130">
    <cfRule type="expression" dxfId="643" priority="100" stopIfTrue="1">
      <formula>ISBLANK($AP$63)</formula>
    </cfRule>
  </conditionalFormatting>
  <conditionalFormatting sqref="D25:G29">
    <cfRule type="cellIs" dxfId="64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14" t="s">
        <v>558</v>
      </c>
      <c r="E2" s="2615"/>
      <c r="F2" s="152" t="s">
        <v>559</v>
      </c>
      <c r="G2" s="153" t="s">
        <v>577</v>
      </c>
      <c r="H2" s="153" t="s">
        <v>593</v>
      </c>
      <c r="I2" s="153" t="s">
        <v>634</v>
      </c>
      <c r="J2" s="153" t="s">
        <v>594</v>
      </c>
      <c r="K2" s="154" t="s">
        <v>560</v>
      </c>
      <c r="L2" s="155" t="s">
        <v>635</v>
      </c>
      <c r="M2" s="897"/>
      <c r="N2" s="897"/>
      <c r="O2"/>
      <c r="P2"/>
      <c r="Q2"/>
      <c r="R2"/>
      <c r="S2"/>
      <c r="T2"/>
      <c r="AB2" s="188" t="s">
        <v>556</v>
      </c>
      <c r="AC2" s="189" t="s">
        <v>557</v>
      </c>
      <c r="AD2" s="2616" t="s">
        <v>558</v>
      </c>
      <c r="AE2" s="2617"/>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51"/>
      <c r="C3" s="2652"/>
      <c r="D3" s="2653"/>
      <c r="E3" s="2654"/>
      <c r="F3" s="2655"/>
      <c r="G3" s="2656"/>
      <c r="H3" s="2656"/>
      <c r="I3" s="2656"/>
      <c r="J3" s="2656"/>
      <c r="K3" s="2656"/>
      <c r="L3" s="2657"/>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2651"/>
      <c r="C4" s="2652"/>
      <c r="D4" s="2653"/>
      <c r="E4" s="2654"/>
      <c r="F4" s="2655"/>
      <c r="G4" s="2656"/>
      <c r="H4" s="2656"/>
      <c r="I4" s="2656"/>
      <c r="J4" s="2656"/>
      <c r="K4" s="2656"/>
      <c r="L4" s="2657"/>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2651"/>
      <c r="C5" s="2652"/>
      <c r="D5" s="2653"/>
      <c r="E5" s="2654"/>
      <c r="F5" s="2655"/>
      <c r="G5" s="2656"/>
      <c r="H5" s="2656"/>
      <c r="I5" s="2656"/>
      <c r="J5" s="2656"/>
      <c r="K5" s="2656"/>
      <c r="L5" s="2657"/>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2651"/>
      <c r="C6" s="2652"/>
      <c r="D6" s="2653"/>
      <c r="E6" s="2654"/>
      <c r="F6" s="2655"/>
      <c r="G6" s="2656"/>
      <c r="H6" s="2656"/>
      <c r="I6" s="2656"/>
      <c r="J6" s="2656"/>
      <c r="K6" s="2656"/>
      <c r="L6" s="2657"/>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2651"/>
      <c r="C7" s="2652"/>
      <c r="D7" s="2653"/>
      <c r="E7" s="2654"/>
      <c r="F7" s="2655"/>
      <c r="G7" s="2656"/>
      <c r="H7" s="2656"/>
      <c r="I7" s="2656"/>
      <c r="J7" s="2656"/>
      <c r="K7" s="2656"/>
      <c r="L7" s="2657"/>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2651"/>
      <c r="C8" s="2652"/>
      <c r="D8" s="2653"/>
      <c r="E8" s="2654"/>
      <c r="F8" s="2655"/>
      <c r="G8" s="2656"/>
      <c r="H8" s="2656"/>
      <c r="I8" s="2656"/>
      <c r="J8" s="2656"/>
      <c r="K8" s="2656"/>
      <c r="L8" s="2657"/>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2651"/>
      <c r="C9" s="2652"/>
      <c r="D9" s="2653"/>
      <c r="E9" s="2654"/>
      <c r="F9" s="2655"/>
      <c r="G9" s="2656"/>
      <c r="H9" s="2656"/>
      <c r="I9" s="2656"/>
      <c r="J9" s="2656"/>
      <c r="K9" s="2656"/>
      <c r="L9" s="2657"/>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2651"/>
      <c r="C10" s="2652"/>
      <c r="D10" s="2653"/>
      <c r="E10" s="2654"/>
      <c r="F10" s="2655"/>
      <c r="G10" s="2656"/>
      <c r="H10" s="2656"/>
      <c r="I10" s="2656"/>
      <c r="J10" s="2656"/>
      <c r="K10" s="2656"/>
      <c r="L10" s="2657"/>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2651"/>
      <c r="C11" s="2652"/>
      <c r="D11" s="2653"/>
      <c r="E11" s="2654"/>
      <c r="F11" s="2655"/>
      <c r="G11" s="2656"/>
      <c r="H11" s="2656"/>
      <c r="I11" s="2656"/>
      <c r="J11" s="2656"/>
      <c r="K11" s="2656"/>
      <c r="L11" s="2657"/>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2651"/>
      <c r="C12" s="2652"/>
      <c r="D12" s="2653"/>
      <c r="E12" s="2654"/>
      <c r="F12" s="2655"/>
      <c r="G12" s="2656"/>
      <c r="H12" s="2656"/>
      <c r="I12" s="2656"/>
      <c r="J12" s="2656"/>
      <c r="K12" s="2656"/>
      <c r="L12" s="2657"/>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2651"/>
      <c r="C13" s="2652"/>
      <c r="D13" s="2653"/>
      <c r="E13" s="2654"/>
      <c r="F13" s="2655"/>
      <c r="G13" s="2656"/>
      <c r="H13" s="2656"/>
      <c r="I13" s="2656"/>
      <c r="J13" s="2656"/>
      <c r="K13" s="2656"/>
      <c r="L13" s="2657"/>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2651"/>
      <c r="C14" s="2652"/>
      <c r="D14" s="2653"/>
      <c r="E14" s="2654"/>
      <c r="F14" s="2655"/>
      <c r="G14" s="2656"/>
      <c r="H14" s="2656"/>
      <c r="I14" s="2656"/>
      <c r="J14" s="2656"/>
      <c r="K14" s="2656"/>
      <c r="L14" s="2657"/>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2651"/>
      <c r="C15" s="2652"/>
      <c r="D15" s="2653"/>
      <c r="E15" s="2654"/>
      <c r="F15" s="2655"/>
      <c r="G15" s="2656"/>
      <c r="H15" s="2656"/>
      <c r="I15" s="2656"/>
      <c r="J15" s="2656"/>
      <c r="K15" s="2656"/>
      <c r="L15" s="2657"/>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2651"/>
      <c r="C16" s="2652"/>
      <c r="D16" s="2653"/>
      <c r="E16" s="2654"/>
      <c r="F16" s="2655"/>
      <c r="G16" s="2656"/>
      <c r="H16" s="2656"/>
      <c r="I16" s="2656"/>
      <c r="J16" s="2656"/>
      <c r="K16" s="2656"/>
      <c r="L16" s="2657"/>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2651"/>
      <c r="C17" s="2652"/>
      <c r="D17" s="2653"/>
      <c r="E17" s="2654"/>
      <c r="F17" s="2655"/>
      <c r="G17" s="2656"/>
      <c r="H17" s="2656"/>
      <c r="I17" s="2656"/>
      <c r="J17" s="2656"/>
      <c r="K17" s="2656"/>
      <c r="L17" s="2657"/>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2651"/>
      <c r="C18" s="2652"/>
      <c r="D18" s="2653"/>
      <c r="E18" s="2654"/>
      <c r="F18" s="2655"/>
      <c r="G18" s="2656"/>
      <c r="H18" s="2656"/>
      <c r="I18" s="2656"/>
      <c r="J18" s="2656"/>
      <c r="K18" s="2656"/>
      <c r="L18" s="2657"/>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2651"/>
      <c r="C19" s="2652"/>
      <c r="D19" s="2653"/>
      <c r="E19" s="2654"/>
      <c r="F19" s="2655"/>
      <c r="G19" s="2656"/>
      <c r="H19" s="2656"/>
      <c r="I19" s="2656"/>
      <c r="J19" s="2656"/>
      <c r="K19" s="2656"/>
      <c r="L19" s="2657"/>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2651"/>
      <c r="C20" s="2652"/>
      <c r="D20" s="2653"/>
      <c r="E20" s="2654"/>
      <c r="F20" s="2655"/>
      <c r="G20" s="2656"/>
      <c r="H20" s="2656"/>
      <c r="I20" s="2656"/>
      <c r="J20" s="2656"/>
      <c r="K20" s="2656"/>
      <c r="L20" s="2657"/>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2651"/>
      <c r="C21" s="2652"/>
      <c r="D21" s="2653"/>
      <c r="E21" s="2654"/>
      <c r="F21" s="2655"/>
      <c r="G21" s="2656"/>
      <c r="H21" s="2656"/>
      <c r="I21" s="2656"/>
      <c r="J21" s="2656"/>
      <c r="K21" s="2656"/>
      <c r="L21" s="2657"/>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2651"/>
      <c r="C22" s="2652"/>
      <c r="D22" s="2653"/>
      <c r="E22" s="2654"/>
      <c r="F22" s="2655"/>
      <c r="G22" s="2656"/>
      <c r="H22" s="2656"/>
      <c r="I22" s="2656"/>
      <c r="J22" s="2656"/>
      <c r="K22" s="2656"/>
      <c r="L22" s="2657"/>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2651"/>
      <c r="C23" s="2652"/>
      <c r="D23" s="2653"/>
      <c r="E23" s="2654"/>
      <c r="F23" s="2655"/>
      <c r="G23" s="2656"/>
      <c r="H23" s="2656"/>
      <c r="I23" s="2656"/>
      <c r="J23" s="2656"/>
      <c r="K23" s="2656"/>
      <c r="L23" s="2657"/>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2651"/>
      <c r="C24" s="2652"/>
      <c r="D24" s="2653"/>
      <c r="E24" s="2654"/>
      <c r="F24" s="2655"/>
      <c r="G24" s="2656"/>
      <c r="H24" s="2656"/>
      <c r="I24" s="2656"/>
      <c r="J24" s="2656"/>
      <c r="K24" s="2656"/>
      <c r="L24" s="2657"/>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2651"/>
      <c r="C25" s="2652"/>
      <c r="D25" s="2653"/>
      <c r="E25" s="2654"/>
      <c r="F25" s="2655"/>
      <c r="G25" s="2656"/>
      <c r="H25" s="2656"/>
      <c r="I25" s="2656"/>
      <c r="J25" s="2656"/>
      <c r="K25" s="2656"/>
      <c r="L25" s="2657"/>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2651"/>
      <c r="C26" s="2652"/>
      <c r="D26" s="2653"/>
      <c r="E26" s="2654"/>
      <c r="F26" s="2655"/>
      <c r="G26" s="2656"/>
      <c r="H26" s="2656"/>
      <c r="I26" s="2656"/>
      <c r="J26" s="2656"/>
      <c r="K26" s="2656"/>
      <c r="L26" s="2657"/>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2651"/>
      <c r="C27" s="2652"/>
      <c r="D27" s="2653"/>
      <c r="E27" s="2654"/>
      <c r="F27" s="2655"/>
      <c r="G27" s="2656"/>
      <c r="H27" s="2656"/>
      <c r="I27" s="2656"/>
      <c r="J27" s="2656"/>
      <c r="K27" s="2656"/>
      <c r="L27" s="2657"/>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2651"/>
      <c r="C28" s="2652"/>
      <c r="D28" s="2653"/>
      <c r="E28" s="2654"/>
      <c r="F28" s="2655"/>
      <c r="G28" s="2656"/>
      <c r="H28" s="2656"/>
      <c r="I28" s="2656"/>
      <c r="J28" s="2656"/>
      <c r="K28" s="2656"/>
      <c r="L28" s="2657"/>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2651"/>
      <c r="C29" s="2652"/>
      <c r="D29" s="2653"/>
      <c r="E29" s="2654"/>
      <c r="F29" s="2655"/>
      <c r="G29" s="2656"/>
      <c r="H29" s="2656"/>
      <c r="I29" s="2656"/>
      <c r="J29" s="2656"/>
      <c r="K29" s="2656"/>
      <c r="L29" s="2657"/>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2651"/>
      <c r="C30" s="2652"/>
      <c r="D30" s="2653"/>
      <c r="E30" s="2654"/>
      <c r="F30" s="2655"/>
      <c r="G30" s="2656"/>
      <c r="H30" s="2656"/>
      <c r="I30" s="2656"/>
      <c r="J30" s="2656"/>
      <c r="K30" s="2656"/>
      <c r="L30" s="2657"/>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2651"/>
      <c r="C31" s="2652"/>
      <c r="D31" s="2653"/>
      <c r="E31" s="2654"/>
      <c r="F31" s="2655"/>
      <c r="G31" s="2656"/>
      <c r="H31" s="2656"/>
      <c r="I31" s="2656"/>
      <c r="J31" s="2656"/>
      <c r="K31" s="2656"/>
      <c r="L31" s="2657"/>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2651"/>
      <c r="C32" s="2652"/>
      <c r="D32" s="2653"/>
      <c r="E32" s="2654"/>
      <c r="F32" s="2655"/>
      <c r="G32" s="2656"/>
      <c r="H32" s="2656"/>
      <c r="I32" s="2656"/>
      <c r="J32" s="2656"/>
      <c r="K32" s="2656"/>
      <c r="L32" s="2657"/>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2651"/>
      <c r="C33" s="2652"/>
      <c r="D33" s="2653"/>
      <c r="E33" s="2654"/>
      <c r="F33" s="2655"/>
      <c r="G33" s="2656"/>
      <c r="H33" s="2656"/>
      <c r="I33" s="2656"/>
      <c r="J33" s="2656"/>
      <c r="K33" s="2656"/>
      <c r="L33" s="2657"/>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2651"/>
      <c r="C34" s="2652"/>
      <c r="D34" s="2653"/>
      <c r="E34" s="2654"/>
      <c r="F34" s="2655"/>
      <c r="G34" s="2656"/>
      <c r="H34" s="2656"/>
      <c r="I34" s="2656"/>
      <c r="J34" s="2656"/>
      <c r="K34" s="2656"/>
      <c r="L34" s="2657"/>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2651"/>
      <c r="C35" s="2652"/>
      <c r="D35" s="2653"/>
      <c r="E35" s="2654"/>
      <c r="F35" s="2655"/>
      <c r="G35" s="2656"/>
      <c r="H35" s="2656"/>
      <c r="I35" s="2656"/>
      <c r="J35" s="2656"/>
      <c r="K35" s="2656"/>
      <c r="L35" s="2657"/>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2651"/>
      <c r="C36" s="2652"/>
      <c r="D36" s="2653"/>
      <c r="E36" s="2654"/>
      <c r="F36" s="2655"/>
      <c r="G36" s="2656"/>
      <c r="H36" s="2656"/>
      <c r="I36" s="2656"/>
      <c r="J36" s="2656"/>
      <c r="K36" s="2656"/>
      <c r="L36" s="2657"/>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2651"/>
      <c r="C37" s="2652"/>
      <c r="D37" s="2653"/>
      <c r="E37" s="2654"/>
      <c r="F37" s="2655"/>
      <c r="G37" s="2656"/>
      <c r="H37" s="2656"/>
      <c r="I37" s="2656"/>
      <c r="J37" s="2656"/>
      <c r="K37" s="2656"/>
      <c r="L37" s="2657"/>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2651"/>
      <c r="C38" s="2652"/>
      <c r="D38" s="2653"/>
      <c r="E38" s="2654"/>
      <c r="F38" s="2655"/>
      <c r="G38" s="2656"/>
      <c r="H38" s="2656"/>
      <c r="I38" s="2656"/>
      <c r="J38" s="2656"/>
      <c r="K38" s="2656"/>
      <c r="L38" s="2657"/>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2651"/>
      <c r="C39" s="2652"/>
      <c r="D39" s="2653"/>
      <c r="E39" s="2654"/>
      <c r="F39" s="2655"/>
      <c r="G39" s="2656"/>
      <c r="H39" s="2656"/>
      <c r="I39" s="2656"/>
      <c r="J39" s="2656"/>
      <c r="K39" s="2656"/>
      <c r="L39" s="2657"/>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2651"/>
      <c r="C40" s="2652"/>
      <c r="D40" s="2653"/>
      <c r="E40" s="2654"/>
      <c r="F40" s="2655"/>
      <c r="G40" s="2656"/>
      <c r="H40" s="2656"/>
      <c r="I40" s="2656"/>
      <c r="J40" s="2656"/>
      <c r="K40" s="2656"/>
      <c r="L40" s="2657"/>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2651"/>
      <c r="C41" s="2652"/>
      <c r="D41" s="2653"/>
      <c r="E41" s="2654"/>
      <c r="F41" s="2655"/>
      <c r="G41" s="2656"/>
      <c r="H41" s="2656"/>
      <c r="I41" s="2656"/>
      <c r="J41" s="2656"/>
      <c r="K41" s="2656"/>
      <c r="L41" s="2657"/>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2651"/>
      <c r="C42" s="2652"/>
      <c r="D42" s="2653"/>
      <c r="E42" s="2654"/>
      <c r="F42" s="2655"/>
      <c r="G42" s="2656"/>
      <c r="H42" s="2656"/>
      <c r="I42" s="2656"/>
      <c r="J42" s="2656"/>
      <c r="K42" s="2656"/>
      <c r="L42" s="2657"/>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2651"/>
      <c r="C43" s="2652"/>
      <c r="D43" s="2653"/>
      <c r="E43" s="2654"/>
      <c r="F43" s="2655"/>
      <c r="G43" s="2656"/>
      <c r="H43" s="2656"/>
      <c r="I43" s="2656"/>
      <c r="J43" s="2656"/>
      <c r="K43" s="2656"/>
      <c r="L43" s="2657"/>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2651"/>
      <c r="C44" s="2652"/>
      <c r="D44" s="2653"/>
      <c r="E44" s="2654"/>
      <c r="F44" s="2655"/>
      <c r="G44" s="2656"/>
      <c r="H44" s="2656"/>
      <c r="I44" s="2656"/>
      <c r="J44" s="2656"/>
      <c r="K44" s="2656"/>
      <c r="L44" s="2657"/>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2651"/>
      <c r="C45" s="2652"/>
      <c r="D45" s="2653"/>
      <c r="E45" s="2654"/>
      <c r="F45" s="2655"/>
      <c r="G45" s="2656"/>
      <c r="H45" s="2656"/>
      <c r="I45" s="2656"/>
      <c r="J45" s="2656"/>
      <c r="K45" s="2656"/>
      <c r="L45" s="2657"/>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2651"/>
      <c r="C46" s="2652"/>
      <c r="D46" s="2653"/>
      <c r="E46" s="2654"/>
      <c r="F46" s="2655"/>
      <c r="G46" s="2656"/>
      <c r="H46" s="2656"/>
      <c r="I46" s="2656"/>
      <c r="J46" s="2656"/>
      <c r="K46" s="2656"/>
      <c r="L46" s="2657"/>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2651"/>
      <c r="C47" s="2652"/>
      <c r="D47" s="2653"/>
      <c r="E47" s="2654"/>
      <c r="F47" s="2655"/>
      <c r="G47" s="2656"/>
      <c r="H47" s="2656"/>
      <c r="I47" s="2656"/>
      <c r="J47" s="2656"/>
      <c r="K47" s="2656"/>
      <c r="L47" s="2657"/>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2651"/>
      <c r="C48" s="2652"/>
      <c r="D48" s="2653"/>
      <c r="E48" s="2654"/>
      <c r="F48" s="2655"/>
      <c r="G48" s="2656"/>
      <c r="H48" s="2656"/>
      <c r="I48" s="2656"/>
      <c r="J48" s="2656"/>
      <c r="K48" s="2656"/>
      <c r="L48" s="2657"/>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2651"/>
      <c r="C49" s="2652"/>
      <c r="D49" s="2653"/>
      <c r="E49" s="2654"/>
      <c r="F49" s="2655"/>
      <c r="G49" s="2656"/>
      <c r="H49" s="2656"/>
      <c r="I49" s="2656"/>
      <c r="J49" s="2656"/>
      <c r="K49" s="2656"/>
      <c r="L49" s="2657"/>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2651"/>
      <c r="C50" s="2652"/>
      <c r="D50" s="2653"/>
      <c r="E50" s="2654"/>
      <c r="F50" s="2655"/>
      <c r="G50" s="2656"/>
      <c r="H50" s="2656"/>
      <c r="I50" s="2656"/>
      <c r="J50" s="2656"/>
      <c r="K50" s="2656"/>
      <c r="L50" s="2657"/>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2651"/>
      <c r="C51" s="2652"/>
      <c r="D51" s="2653"/>
      <c r="E51" s="2654"/>
      <c r="F51" s="2655"/>
      <c r="G51" s="2656"/>
      <c r="H51" s="2656"/>
      <c r="I51" s="2656"/>
      <c r="J51" s="2656"/>
      <c r="K51" s="2656"/>
      <c r="L51" s="2657"/>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2651"/>
      <c r="C52" s="2652"/>
      <c r="D52" s="2653"/>
      <c r="E52" s="2654"/>
      <c r="F52" s="2655"/>
      <c r="G52" s="2656"/>
      <c r="H52" s="2656"/>
      <c r="I52" s="2656"/>
      <c r="J52" s="2656"/>
      <c r="K52" s="2656"/>
      <c r="L52" s="2657"/>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2651"/>
      <c r="C53" s="2652"/>
      <c r="D53" s="2653"/>
      <c r="E53" s="2654"/>
      <c r="F53" s="2655"/>
      <c r="G53" s="2656"/>
      <c r="H53" s="2656"/>
      <c r="I53" s="2656"/>
      <c r="J53" s="2656"/>
      <c r="K53" s="2656"/>
      <c r="L53" s="2657"/>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2651"/>
      <c r="C54" s="2652"/>
      <c r="D54" s="2653"/>
      <c r="E54" s="2654"/>
      <c r="F54" s="2655"/>
      <c r="G54" s="2656"/>
      <c r="H54" s="2656"/>
      <c r="I54" s="2656"/>
      <c r="J54" s="2656"/>
      <c r="K54" s="2656"/>
      <c r="L54" s="2657"/>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2651"/>
      <c r="C55" s="2652"/>
      <c r="D55" s="2653"/>
      <c r="E55" s="2654"/>
      <c r="F55" s="2655"/>
      <c r="G55" s="2656"/>
      <c r="H55" s="2656"/>
      <c r="I55" s="2656"/>
      <c r="J55" s="2656"/>
      <c r="K55" s="2656"/>
      <c r="L55" s="2657"/>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2651"/>
      <c r="C56" s="2652"/>
      <c r="D56" s="2653"/>
      <c r="E56" s="2654"/>
      <c r="F56" s="2655"/>
      <c r="G56" s="2656"/>
      <c r="H56" s="2656"/>
      <c r="I56" s="2656"/>
      <c r="J56" s="2656"/>
      <c r="K56" s="2656"/>
      <c r="L56" s="2657"/>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2651"/>
      <c r="C57" s="2652"/>
      <c r="D57" s="2653"/>
      <c r="E57" s="2654"/>
      <c r="F57" s="2655"/>
      <c r="G57" s="2656"/>
      <c r="H57" s="2656"/>
      <c r="I57" s="2656"/>
      <c r="J57" s="2656"/>
      <c r="K57" s="2656"/>
      <c r="L57" s="2657"/>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2651"/>
      <c r="C58" s="2652"/>
      <c r="D58" s="2653"/>
      <c r="E58" s="2654"/>
      <c r="F58" s="2655"/>
      <c r="G58" s="2656"/>
      <c r="H58" s="2656"/>
      <c r="I58" s="2656"/>
      <c r="J58" s="2656"/>
      <c r="K58" s="2656"/>
      <c r="L58" s="2657"/>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2651"/>
      <c r="C59" s="2652"/>
      <c r="D59" s="2653"/>
      <c r="E59" s="2654"/>
      <c r="F59" s="2655"/>
      <c r="G59" s="2656"/>
      <c r="H59" s="2656"/>
      <c r="I59" s="2656"/>
      <c r="J59" s="2656"/>
      <c r="K59" s="2656"/>
      <c r="L59" s="2657"/>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2651"/>
      <c r="C60" s="2652"/>
      <c r="D60" s="2653"/>
      <c r="E60" s="2654"/>
      <c r="F60" s="2655"/>
      <c r="G60" s="2656"/>
      <c r="H60" s="2656"/>
      <c r="I60" s="2656"/>
      <c r="J60" s="2656"/>
      <c r="K60" s="2656"/>
      <c r="L60" s="2657"/>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2651"/>
      <c r="C61" s="2652"/>
      <c r="D61" s="2653"/>
      <c r="E61" s="2654"/>
      <c r="F61" s="2655"/>
      <c r="G61" s="2656"/>
      <c r="H61" s="2656"/>
      <c r="I61" s="2656"/>
      <c r="J61" s="2656"/>
      <c r="K61" s="2656"/>
      <c r="L61" s="2657"/>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2651"/>
      <c r="C62" s="2652"/>
      <c r="D62" s="2653"/>
      <c r="E62" s="2654"/>
      <c r="F62" s="2655"/>
      <c r="G62" s="2656"/>
      <c r="H62" s="2656"/>
      <c r="I62" s="2656"/>
      <c r="J62" s="2656"/>
      <c r="K62" s="2656"/>
      <c r="L62" s="2657"/>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2651"/>
      <c r="C63" s="2652"/>
      <c r="D63" s="2653"/>
      <c r="E63" s="2654"/>
      <c r="F63" s="2655"/>
      <c r="G63" s="2656"/>
      <c r="H63" s="2656"/>
      <c r="I63" s="2656"/>
      <c r="J63" s="2656"/>
      <c r="K63" s="2656"/>
      <c r="L63" s="2657"/>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2651"/>
      <c r="C64" s="2652"/>
      <c r="D64" s="2653"/>
      <c r="E64" s="2654"/>
      <c r="F64" s="2655"/>
      <c r="G64" s="2656"/>
      <c r="H64" s="2656"/>
      <c r="I64" s="2656"/>
      <c r="J64" s="2656"/>
      <c r="K64" s="2656"/>
      <c r="L64" s="2657"/>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2651"/>
      <c r="C65" s="2652"/>
      <c r="D65" s="2653"/>
      <c r="E65" s="2654"/>
      <c r="F65" s="2655"/>
      <c r="G65" s="2656"/>
      <c r="H65" s="2656"/>
      <c r="I65" s="2656"/>
      <c r="J65" s="2656"/>
      <c r="K65" s="2656"/>
      <c r="L65" s="2657"/>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2651"/>
      <c r="C66" s="2652"/>
      <c r="D66" s="2653"/>
      <c r="E66" s="2654"/>
      <c r="F66" s="2655"/>
      <c r="G66" s="2656"/>
      <c r="H66" s="2656"/>
      <c r="I66" s="2656"/>
      <c r="J66" s="2656"/>
      <c r="K66" s="2656"/>
      <c r="L66" s="2657"/>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2651"/>
      <c r="C67" s="2652"/>
      <c r="D67" s="2653"/>
      <c r="E67" s="2654"/>
      <c r="F67" s="2655"/>
      <c r="G67" s="2656"/>
      <c r="H67" s="2656"/>
      <c r="I67" s="2656"/>
      <c r="J67" s="2656"/>
      <c r="K67" s="2656"/>
      <c r="L67" s="2657"/>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2651"/>
      <c r="C68" s="2652"/>
      <c r="D68" s="2653"/>
      <c r="E68" s="2654"/>
      <c r="F68" s="2655"/>
      <c r="G68" s="2656"/>
      <c r="H68" s="2656"/>
      <c r="I68" s="2656"/>
      <c r="J68" s="2656"/>
      <c r="K68" s="2656"/>
      <c r="L68" s="2657"/>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2651"/>
      <c r="C69" s="2652"/>
      <c r="D69" s="2653"/>
      <c r="E69" s="2654"/>
      <c r="F69" s="2655"/>
      <c r="G69" s="2656"/>
      <c r="H69" s="2656"/>
      <c r="I69" s="2656"/>
      <c r="J69" s="2656"/>
      <c r="K69" s="2656"/>
      <c r="L69" s="2657"/>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2651"/>
      <c r="C70" s="2652"/>
      <c r="D70" s="2653"/>
      <c r="E70" s="2654"/>
      <c r="F70" s="2655"/>
      <c r="G70" s="2656"/>
      <c r="H70" s="2656"/>
      <c r="I70" s="2656"/>
      <c r="J70" s="2656"/>
      <c r="K70" s="2656"/>
      <c r="L70" s="2657"/>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2651"/>
      <c r="C71" s="2652"/>
      <c r="D71" s="2653"/>
      <c r="E71" s="2654"/>
      <c r="F71" s="2655"/>
      <c r="G71" s="2656"/>
      <c r="H71" s="2656"/>
      <c r="I71" s="2656"/>
      <c r="J71" s="2656"/>
      <c r="K71" s="2656"/>
      <c r="L71" s="2657"/>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2651"/>
      <c r="C72" s="2652"/>
      <c r="D72" s="2653"/>
      <c r="E72" s="2654"/>
      <c r="F72" s="2655"/>
      <c r="G72" s="2656"/>
      <c r="H72" s="2656"/>
      <c r="I72" s="2656"/>
      <c r="J72" s="2656"/>
      <c r="K72" s="2656"/>
      <c r="L72" s="2657"/>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2651"/>
      <c r="C73" s="2652"/>
      <c r="D73" s="2653"/>
      <c r="E73" s="2654"/>
      <c r="F73" s="2655"/>
      <c r="G73" s="2656"/>
      <c r="H73" s="2656"/>
      <c r="I73" s="2656"/>
      <c r="J73" s="2656"/>
      <c r="K73" s="2656"/>
      <c r="L73" s="2657"/>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2651"/>
      <c r="C74" s="2652"/>
      <c r="D74" s="2653"/>
      <c r="E74" s="2654"/>
      <c r="F74" s="2655"/>
      <c r="G74" s="2656"/>
      <c r="H74" s="2656"/>
      <c r="I74" s="2656"/>
      <c r="J74" s="2656"/>
      <c r="K74" s="2656"/>
      <c r="L74" s="2657"/>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2651"/>
      <c r="C75" s="2652"/>
      <c r="D75" s="2653"/>
      <c r="E75" s="2654"/>
      <c r="F75" s="2655"/>
      <c r="G75" s="2656"/>
      <c r="H75" s="2656"/>
      <c r="I75" s="2656"/>
      <c r="J75" s="2656"/>
      <c r="K75" s="2656"/>
      <c r="L75" s="2657"/>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2651"/>
      <c r="C76" s="2652"/>
      <c r="D76" s="2653"/>
      <c r="E76" s="2654"/>
      <c r="F76" s="2655"/>
      <c r="G76" s="2656"/>
      <c r="H76" s="2656"/>
      <c r="I76" s="2656"/>
      <c r="J76" s="2656"/>
      <c r="K76" s="2656"/>
      <c r="L76" s="2657"/>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2651"/>
      <c r="C77" s="2652"/>
      <c r="D77" s="2653"/>
      <c r="E77" s="2654"/>
      <c r="F77" s="2655"/>
      <c r="G77" s="2656"/>
      <c r="H77" s="2656"/>
      <c r="I77" s="2656"/>
      <c r="J77" s="2656"/>
      <c r="K77" s="2656"/>
      <c r="L77" s="2657"/>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2651"/>
      <c r="C78" s="2652"/>
      <c r="D78" s="2653"/>
      <c r="E78" s="2654"/>
      <c r="F78" s="2655"/>
      <c r="G78" s="2656"/>
      <c r="H78" s="2656"/>
      <c r="I78" s="2656"/>
      <c r="J78" s="2656"/>
      <c r="K78" s="2656"/>
      <c r="L78" s="2657"/>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2651"/>
      <c r="C79" s="2652"/>
      <c r="D79" s="2653"/>
      <c r="E79" s="2654"/>
      <c r="F79" s="2655"/>
      <c r="G79" s="2656"/>
      <c r="H79" s="2656"/>
      <c r="I79" s="2656"/>
      <c r="J79" s="2656"/>
      <c r="K79" s="2656"/>
      <c r="L79" s="2657"/>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2651"/>
      <c r="C80" s="2652"/>
      <c r="D80" s="2653"/>
      <c r="E80" s="2654"/>
      <c r="F80" s="2655"/>
      <c r="G80" s="2656"/>
      <c r="H80" s="2656"/>
      <c r="I80" s="2656"/>
      <c r="J80" s="2656"/>
      <c r="K80" s="2656"/>
      <c r="L80" s="2657"/>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2651"/>
      <c r="C81" s="2652"/>
      <c r="D81" s="2653"/>
      <c r="E81" s="2654"/>
      <c r="F81" s="2655"/>
      <c r="G81" s="2656"/>
      <c r="H81" s="2656"/>
      <c r="I81" s="2656"/>
      <c r="J81" s="2656"/>
      <c r="K81" s="2656"/>
      <c r="L81" s="2657"/>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2651"/>
      <c r="C82" s="2652"/>
      <c r="D82" s="2653"/>
      <c r="E82" s="2654"/>
      <c r="F82" s="2655"/>
      <c r="G82" s="2656"/>
      <c r="H82" s="2656"/>
      <c r="I82" s="2656"/>
      <c r="J82" s="2656"/>
      <c r="K82" s="2656"/>
      <c r="L82" s="2657"/>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2651"/>
      <c r="C83" s="2652"/>
      <c r="D83" s="2653"/>
      <c r="E83" s="2654"/>
      <c r="F83" s="2655"/>
      <c r="G83" s="2656"/>
      <c r="H83" s="2656"/>
      <c r="I83" s="2656"/>
      <c r="J83" s="2656"/>
      <c r="K83" s="2656"/>
      <c r="L83" s="2657"/>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2651"/>
      <c r="C84" s="2652"/>
      <c r="D84" s="2653"/>
      <c r="E84" s="2654"/>
      <c r="F84" s="2655"/>
      <c r="G84" s="2656"/>
      <c r="H84" s="2656"/>
      <c r="I84" s="2656"/>
      <c r="J84" s="2656"/>
      <c r="K84" s="2656"/>
      <c r="L84" s="2657"/>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2651"/>
      <c r="C85" s="2652"/>
      <c r="D85" s="2653"/>
      <c r="E85" s="2654"/>
      <c r="F85" s="2655"/>
      <c r="G85" s="2656"/>
      <c r="H85" s="2656"/>
      <c r="I85" s="2656"/>
      <c r="J85" s="2656"/>
      <c r="K85" s="2656"/>
      <c r="L85" s="2657"/>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2651"/>
      <c r="C86" s="2652"/>
      <c r="D86" s="2653"/>
      <c r="E86" s="2654"/>
      <c r="F86" s="2655"/>
      <c r="G86" s="2656"/>
      <c r="H86" s="2656"/>
      <c r="I86" s="2656"/>
      <c r="J86" s="2656"/>
      <c r="K86" s="2656"/>
      <c r="L86" s="2657"/>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2651"/>
      <c r="C87" s="2652"/>
      <c r="D87" s="2653"/>
      <c r="E87" s="2654"/>
      <c r="F87" s="2655"/>
      <c r="G87" s="2656"/>
      <c r="H87" s="2656"/>
      <c r="I87" s="2656"/>
      <c r="J87" s="2656"/>
      <c r="K87" s="2656"/>
      <c r="L87" s="2657"/>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2651"/>
      <c r="C88" s="2652"/>
      <c r="D88" s="2653"/>
      <c r="E88" s="2654"/>
      <c r="F88" s="2655"/>
      <c r="G88" s="2656"/>
      <c r="H88" s="2656"/>
      <c r="I88" s="2656"/>
      <c r="J88" s="2656"/>
      <c r="K88" s="2656"/>
      <c r="L88" s="2657"/>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2651"/>
      <c r="C89" s="2652"/>
      <c r="D89" s="2653"/>
      <c r="E89" s="2654"/>
      <c r="F89" s="2655"/>
      <c r="G89" s="2656"/>
      <c r="H89" s="2656"/>
      <c r="I89" s="2656"/>
      <c r="J89" s="2656"/>
      <c r="K89" s="2656"/>
      <c r="L89" s="2657"/>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2651"/>
      <c r="C90" s="2652"/>
      <c r="D90" s="2653"/>
      <c r="E90" s="2654"/>
      <c r="F90" s="2655"/>
      <c r="G90" s="2656"/>
      <c r="H90" s="2656"/>
      <c r="I90" s="2656"/>
      <c r="J90" s="2656"/>
      <c r="K90" s="2656"/>
      <c r="L90" s="2657"/>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2651"/>
      <c r="C91" s="2652"/>
      <c r="D91" s="2653"/>
      <c r="E91" s="2654"/>
      <c r="F91" s="2655"/>
      <c r="G91" s="2656"/>
      <c r="H91" s="2656"/>
      <c r="I91" s="2656"/>
      <c r="J91" s="2656"/>
      <c r="K91" s="2656"/>
      <c r="L91" s="2657"/>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2651"/>
      <c r="C92" s="2652"/>
      <c r="D92" s="2653"/>
      <c r="E92" s="2654"/>
      <c r="F92" s="2655"/>
      <c r="G92" s="2656"/>
      <c r="H92" s="2656"/>
      <c r="I92" s="2656"/>
      <c r="J92" s="2656"/>
      <c r="K92" s="2656"/>
      <c r="L92" s="2657"/>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2651"/>
      <c r="C93" s="2652"/>
      <c r="D93" s="2653"/>
      <c r="E93" s="2654"/>
      <c r="F93" s="2655"/>
      <c r="G93" s="2656"/>
      <c r="H93" s="2656"/>
      <c r="I93" s="2656"/>
      <c r="J93" s="2656"/>
      <c r="K93" s="2656"/>
      <c r="L93" s="2657"/>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2651"/>
      <c r="C94" s="2652"/>
      <c r="D94" s="2653"/>
      <c r="E94" s="2654"/>
      <c r="F94" s="2655"/>
      <c r="G94" s="2656"/>
      <c r="H94" s="2656"/>
      <c r="I94" s="2656"/>
      <c r="J94" s="2656"/>
      <c r="K94" s="2656"/>
      <c r="L94" s="2657"/>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2651"/>
      <c r="C95" s="2652"/>
      <c r="D95" s="2653"/>
      <c r="E95" s="2654"/>
      <c r="F95" s="2655"/>
      <c r="G95" s="2656"/>
      <c r="H95" s="2656"/>
      <c r="I95" s="2656"/>
      <c r="J95" s="2656"/>
      <c r="K95" s="2656"/>
      <c r="L95" s="2657"/>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2651"/>
      <c r="C96" s="2652"/>
      <c r="D96" s="2653"/>
      <c r="E96" s="2654"/>
      <c r="F96" s="2655"/>
      <c r="G96" s="2656"/>
      <c r="H96" s="2656"/>
      <c r="I96" s="2656"/>
      <c r="J96" s="2656"/>
      <c r="K96" s="2656"/>
      <c r="L96" s="2657"/>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2651"/>
      <c r="C97" s="2652"/>
      <c r="D97" s="2653"/>
      <c r="E97" s="2654"/>
      <c r="F97" s="2655"/>
      <c r="G97" s="2656"/>
      <c r="H97" s="2656"/>
      <c r="I97" s="2656"/>
      <c r="J97" s="2656"/>
      <c r="K97" s="2656"/>
      <c r="L97" s="2657"/>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2651"/>
      <c r="C98" s="2652"/>
      <c r="D98" s="2653"/>
      <c r="E98" s="2654"/>
      <c r="F98" s="2655"/>
      <c r="G98" s="2656"/>
      <c r="H98" s="2656"/>
      <c r="I98" s="2656"/>
      <c r="J98" s="2656"/>
      <c r="K98" s="2656"/>
      <c r="L98" s="2657"/>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2651"/>
      <c r="C99" s="2652"/>
      <c r="D99" s="2653"/>
      <c r="E99" s="2654"/>
      <c r="F99" s="2655"/>
      <c r="G99" s="2656"/>
      <c r="H99" s="2656"/>
      <c r="I99" s="2656"/>
      <c r="J99" s="2656"/>
      <c r="K99" s="2656"/>
      <c r="L99" s="2657"/>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2651"/>
      <c r="C100" s="2652"/>
      <c r="D100" s="2653"/>
      <c r="E100" s="2654"/>
      <c r="F100" s="2655"/>
      <c r="G100" s="2656"/>
      <c r="H100" s="2656"/>
      <c r="I100" s="2656"/>
      <c r="J100" s="2656"/>
      <c r="K100" s="2656"/>
      <c r="L100" s="2657"/>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2651"/>
      <c r="C101" s="2652"/>
      <c r="D101" s="2653"/>
      <c r="E101" s="2654"/>
      <c r="F101" s="2655"/>
      <c r="G101" s="2656"/>
      <c r="H101" s="2656"/>
      <c r="I101" s="2656"/>
      <c r="J101" s="2656"/>
      <c r="K101" s="2656"/>
      <c r="L101" s="2657"/>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2651"/>
      <c r="C102" s="2652"/>
      <c r="D102" s="2653"/>
      <c r="E102" s="2654"/>
      <c r="F102" s="2655"/>
      <c r="G102" s="2656"/>
      <c r="H102" s="2656"/>
      <c r="I102" s="2656"/>
      <c r="J102" s="2656"/>
      <c r="K102" s="2656"/>
      <c r="L102" s="2657"/>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2651"/>
      <c r="C103" s="2652"/>
      <c r="D103" s="2653"/>
      <c r="E103" s="2654"/>
      <c r="F103" s="2655"/>
      <c r="G103" s="2656"/>
      <c r="H103" s="2656"/>
      <c r="I103" s="2656"/>
      <c r="J103" s="2656"/>
      <c r="K103" s="2656"/>
      <c r="L103" s="2657"/>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2651"/>
      <c r="C104" s="2652"/>
      <c r="D104" s="2653"/>
      <c r="E104" s="2654"/>
      <c r="F104" s="2655"/>
      <c r="G104" s="2656"/>
      <c r="H104" s="2656"/>
      <c r="I104" s="2656"/>
      <c r="J104" s="2656"/>
      <c r="K104" s="2656"/>
      <c r="L104" s="2657"/>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2651"/>
      <c r="C105" s="2652"/>
      <c r="D105" s="2653"/>
      <c r="E105" s="2654"/>
      <c r="F105" s="2655"/>
      <c r="G105" s="2656"/>
      <c r="H105" s="2656"/>
      <c r="I105" s="2656"/>
      <c r="J105" s="2656"/>
      <c r="K105" s="2656"/>
      <c r="L105" s="2657"/>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2651"/>
      <c r="C106" s="2652"/>
      <c r="D106" s="2653"/>
      <c r="E106" s="2654"/>
      <c r="F106" s="2655"/>
      <c r="G106" s="2656"/>
      <c r="H106" s="2656"/>
      <c r="I106" s="2656"/>
      <c r="J106" s="2656"/>
      <c r="K106" s="2656"/>
      <c r="L106" s="2657"/>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2651"/>
      <c r="C107" s="2652"/>
      <c r="D107" s="2653"/>
      <c r="E107" s="2654"/>
      <c r="F107" s="2655"/>
      <c r="G107" s="2656"/>
      <c r="H107" s="2656"/>
      <c r="I107" s="2656"/>
      <c r="J107" s="2656"/>
      <c r="K107" s="2656"/>
      <c r="L107" s="2657"/>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2651"/>
      <c r="C108" s="2652"/>
      <c r="D108" s="2653"/>
      <c r="E108" s="2654"/>
      <c r="F108" s="2655"/>
      <c r="G108" s="2656"/>
      <c r="H108" s="2656"/>
      <c r="I108" s="2656"/>
      <c r="J108" s="2656"/>
      <c r="K108" s="2656"/>
      <c r="L108" s="2657"/>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2651"/>
      <c r="C109" s="2652"/>
      <c r="D109" s="2653"/>
      <c r="E109" s="2654"/>
      <c r="F109" s="2655"/>
      <c r="G109" s="2656"/>
      <c r="H109" s="2656"/>
      <c r="I109" s="2656"/>
      <c r="J109" s="2656"/>
      <c r="K109" s="2656"/>
      <c r="L109" s="2657"/>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2651"/>
      <c r="C110" s="2652"/>
      <c r="D110" s="2653"/>
      <c r="E110" s="2654"/>
      <c r="F110" s="2655"/>
      <c r="G110" s="2656"/>
      <c r="H110" s="2656"/>
      <c r="I110" s="2656"/>
      <c r="J110" s="2656"/>
      <c r="K110" s="2656"/>
      <c r="L110" s="2657"/>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2651"/>
      <c r="C111" s="2652"/>
      <c r="D111" s="2653"/>
      <c r="E111" s="2654"/>
      <c r="F111" s="2655"/>
      <c r="G111" s="2656"/>
      <c r="H111" s="2656"/>
      <c r="I111" s="2656"/>
      <c r="J111" s="2656"/>
      <c r="K111" s="2656"/>
      <c r="L111" s="2657"/>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2651"/>
      <c r="C112" s="2652"/>
      <c r="D112" s="2653"/>
      <c r="E112" s="2654"/>
      <c r="F112" s="2655"/>
      <c r="G112" s="2656"/>
      <c r="H112" s="2656"/>
      <c r="I112" s="2656"/>
      <c r="J112" s="2656"/>
      <c r="K112" s="2656"/>
      <c r="L112" s="2657"/>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2651"/>
      <c r="C113" s="2652"/>
      <c r="D113" s="2653"/>
      <c r="E113" s="2654"/>
      <c r="F113" s="2655"/>
      <c r="G113" s="2656"/>
      <c r="H113" s="2656"/>
      <c r="I113" s="2656"/>
      <c r="J113" s="2656"/>
      <c r="K113" s="2656"/>
      <c r="L113" s="2657"/>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2651"/>
      <c r="C114" s="2652"/>
      <c r="D114" s="2653"/>
      <c r="E114" s="2654"/>
      <c r="F114" s="2655"/>
      <c r="G114" s="2656"/>
      <c r="H114" s="2656"/>
      <c r="I114" s="2656"/>
      <c r="J114" s="2656"/>
      <c r="K114" s="2656"/>
      <c r="L114" s="2657"/>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2651"/>
      <c r="C115" s="2652"/>
      <c r="D115" s="2653"/>
      <c r="E115" s="2654"/>
      <c r="F115" s="2655"/>
      <c r="G115" s="2656"/>
      <c r="H115" s="2656"/>
      <c r="I115" s="2656"/>
      <c r="J115" s="2656"/>
      <c r="K115" s="2656"/>
      <c r="L115" s="2657"/>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2651"/>
      <c r="C116" s="2652"/>
      <c r="D116" s="2653"/>
      <c r="E116" s="2654"/>
      <c r="F116" s="2655"/>
      <c r="G116" s="2656"/>
      <c r="H116" s="2656"/>
      <c r="I116" s="2656"/>
      <c r="J116" s="2656"/>
      <c r="K116" s="2656"/>
      <c r="L116" s="2657"/>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2651"/>
      <c r="C117" s="2652"/>
      <c r="D117" s="2653"/>
      <c r="E117" s="2654"/>
      <c r="F117" s="2655"/>
      <c r="G117" s="2656"/>
      <c r="H117" s="2656"/>
      <c r="I117" s="2656"/>
      <c r="J117" s="2656"/>
      <c r="K117" s="2656"/>
      <c r="L117" s="2657"/>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2651"/>
      <c r="C118" s="2652"/>
      <c r="D118" s="2653"/>
      <c r="E118" s="2654"/>
      <c r="F118" s="2655"/>
      <c r="G118" s="2656"/>
      <c r="H118" s="2656"/>
      <c r="I118" s="2656"/>
      <c r="J118" s="2656"/>
      <c r="K118" s="2656"/>
      <c r="L118" s="2657"/>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2651"/>
      <c r="C119" s="2652"/>
      <c r="D119" s="2653"/>
      <c r="E119" s="2654"/>
      <c r="F119" s="2655"/>
      <c r="G119" s="2656"/>
      <c r="H119" s="2656"/>
      <c r="I119" s="2656"/>
      <c r="J119" s="2656"/>
      <c r="K119" s="2656"/>
      <c r="L119" s="2657"/>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2651"/>
      <c r="C120" s="2652"/>
      <c r="D120" s="2653"/>
      <c r="E120" s="2654"/>
      <c r="F120" s="2655"/>
      <c r="G120" s="2656"/>
      <c r="H120" s="2656"/>
      <c r="I120" s="2656"/>
      <c r="J120" s="2656"/>
      <c r="K120" s="2656"/>
      <c r="L120" s="2657"/>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2651"/>
      <c r="C121" s="2652"/>
      <c r="D121" s="2653"/>
      <c r="E121" s="2654"/>
      <c r="F121" s="2655"/>
      <c r="G121" s="2656"/>
      <c r="H121" s="2656"/>
      <c r="I121" s="2656"/>
      <c r="J121" s="2656"/>
      <c r="K121" s="2656"/>
      <c r="L121" s="2657"/>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2651"/>
      <c r="C122" s="2652"/>
      <c r="D122" s="2653"/>
      <c r="E122" s="2654"/>
      <c r="F122" s="2655"/>
      <c r="G122" s="2656"/>
      <c r="H122" s="2656"/>
      <c r="I122" s="2656"/>
      <c r="J122" s="2656"/>
      <c r="K122" s="2656"/>
      <c r="L122" s="2657"/>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2651"/>
      <c r="C123" s="2652"/>
      <c r="D123" s="2653"/>
      <c r="E123" s="2654"/>
      <c r="F123" s="2655"/>
      <c r="G123" s="2656"/>
      <c r="H123" s="2656"/>
      <c r="I123" s="2656"/>
      <c r="J123" s="2656"/>
      <c r="K123" s="2656"/>
      <c r="L123" s="2657"/>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2651"/>
      <c r="C124" s="2652"/>
      <c r="D124" s="2653"/>
      <c r="E124" s="2654"/>
      <c r="F124" s="2655"/>
      <c r="G124" s="2656"/>
      <c r="H124" s="2656"/>
      <c r="I124" s="2656"/>
      <c r="J124" s="2656"/>
      <c r="K124" s="2656"/>
      <c r="L124" s="2657"/>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2651"/>
      <c r="C125" s="2652"/>
      <c r="D125" s="2653"/>
      <c r="E125" s="2654"/>
      <c r="F125" s="2655"/>
      <c r="G125" s="2656"/>
      <c r="H125" s="2656"/>
      <c r="I125" s="2656"/>
      <c r="J125" s="2656"/>
      <c r="K125" s="2656"/>
      <c r="L125" s="2657"/>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2651"/>
      <c r="C126" s="2652"/>
      <c r="D126" s="2653"/>
      <c r="E126" s="2654"/>
      <c r="F126" s="2655"/>
      <c r="G126" s="2656"/>
      <c r="H126" s="2656"/>
      <c r="I126" s="2656"/>
      <c r="J126" s="2656"/>
      <c r="K126" s="2656"/>
      <c r="L126" s="2657"/>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2651"/>
      <c r="C127" s="2652"/>
      <c r="D127" s="2653"/>
      <c r="E127" s="2654"/>
      <c r="F127" s="2655"/>
      <c r="G127" s="2656"/>
      <c r="H127" s="2656"/>
      <c r="I127" s="2656"/>
      <c r="J127" s="2656"/>
      <c r="K127" s="2656"/>
      <c r="L127" s="2657"/>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2651"/>
      <c r="C128" s="2652"/>
      <c r="D128" s="2653"/>
      <c r="E128" s="2654"/>
      <c r="F128" s="2655"/>
      <c r="G128" s="2656"/>
      <c r="H128" s="2656"/>
      <c r="I128" s="2656"/>
      <c r="J128" s="2656"/>
      <c r="K128" s="2656"/>
      <c r="L128" s="2657"/>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2651"/>
      <c r="C129" s="2652"/>
      <c r="D129" s="2653"/>
      <c r="E129" s="2654"/>
      <c r="F129" s="2655"/>
      <c r="G129" s="2656"/>
      <c r="H129" s="2656"/>
      <c r="I129" s="2656"/>
      <c r="J129" s="2656"/>
      <c r="K129" s="2656"/>
      <c r="L129" s="2657"/>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2651"/>
      <c r="C130" s="2652"/>
      <c r="D130" s="2653"/>
      <c r="E130" s="2654"/>
      <c r="F130" s="2655"/>
      <c r="G130" s="2656"/>
      <c r="H130" s="2656"/>
      <c r="I130" s="2656"/>
      <c r="J130" s="2656"/>
      <c r="K130" s="2656"/>
      <c r="L130" s="2657"/>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2651"/>
      <c r="C131" s="2652"/>
      <c r="D131" s="2653"/>
      <c r="E131" s="2654"/>
      <c r="F131" s="2655"/>
      <c r="G131" s="2656"/>
      <c r="H131" s="2656"/>
      <c r="I131" s="2656"/>
      <c r="J131" s="2656"/>
      <c r="K131" s="2656"/>
      <c r="L131" s="2657"/>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2651"/>
      <c r="C132" s="2652"/>
      <c r="D132" s="2653"/>
      <c r="E132" s="2654"/>
      <c r="F132" s="2655"/>
      <c r="G132" s="2656"/>
      <c r="H132" s="2656"/>
      <c r="I132" s="2656"/>
      <c r="J132" s="2656"/>
      <c r="K132" s="2656"/>
      <c r="L132" s="2657"/>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2651"/>
      <c r="C133" s="2652"/>
      <c r="D133" s="2653"/>
      <c r="E133" s="2654"/>
      <c r="F133" s="2655"/>
      <c r="G133" s="2656"/>
      <c r="H133" s="2656"/>
      <c r="I133" s="2656"/>
      <c r="J133" s="2656"/>
      <c r="K133" s="2656"/>
      <c r="L133" s="2657"/>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2651"/>
      <c r="C134" s="2652"/>
      <c r="D134" s="2653"/>
      <c r="E134" s="2654"/>
      <c r="F134" s="2655"/>
      <c r="G134" s="2656"/>
      <c r="H134" s="2656"/>
      <c r="I134" s="2656"/>
      <c r="J134" s="2656"/>
      <c r="K134" s="2656"/>
      <c r="L134" s="2657"/>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2651"/>
      <c r="C135" s="2652"/>
      <c r="D135" s="2653"/>
      <c r="E135" s="2654"/>
      <c r="F135" s="2655"/>
      <c r="G135" s="2656"/>
      <c r="H135" s="2656"/>
      <c r="I135" s="2656"/>
      <c r="J135" s="2656"/>
      <c r="K135" s="2656"/>
      <c r="L135" s="2657"/>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2651"/>
      <c r="C136" s="2652"/>
      <c r="D136" s="2653"/>
      <c r="E136" s="2654"/>
      <c r="F136" s="2655"/>
      <c r="G136" s="2656"/>
      <c r="H136" s="2656"/>
      <c r="I136" s="2656"/>
      <c r="J136" s="2656"/>
      <c r="K136" s="2656"/>
      <c r="L136" s="2657"/>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2651"/>
      <c r="C137" s="2652"/>
      <c r="D137" s="2653"/>
      <c r="E137" s="2654"/>
      <c r="F137" s="2655"/>
      <c r="G137" s="2656"/>
      <c r="H137" s="2656"/>
      <c r="I137" s="2656"/>
      <c r="J137" s="2656"/>
      <c r="K137" s="2656"/>
      <c r="L137" s="2657"/>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2651"/>
      <c r="C138" s="2652"/>
      <c r="D138" s="2653"/>
      <c r="E138" s="2654"/>
      <c r="F138" s="2655"/>
      <c r="G138" s="2656"/>
      <c r="H138" s="2656"/>
      <c r="I138" s="2656"/>
      <c r="J138" s="2656"/>
      <c r="K138" s="2656"/>
      <c r="L138" s="2657"/>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2651"/>
      <c r="C139" s="2652"/>
      <c r="D139" s="2653"/>
      <c r="E139" s="2654"/>
      <c r="F139" s="2655"/>
      <c r="G139" s="2656"/>
      <c r="H139" s="2656"/>
      <c r="I139" s="2656"/>
      <c r="J139" s="2656"/>
      <c r="K139" s="2656"/>
      <c r="L139" s="2657"/>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2651"/>
      <c r="C140" s="2652"/>
      <c r="D140" s="2653"/>
      <c r="E140" s="2654"/>
      <c r="F140" s="2655"/>
      <c r="G140" s="2656"/>
      <c r="H140" s="2656"/>
      <c r="I140" s="2656"/>
      <c r="J140" s="2656"/>
      <c r="K140" s="2656"/>
      <c r="L140" s="2657"/>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2651"/>
      <c r="C141" s="2652"/>
      <c r="D141" s="2653"/>
      <c r="E141" s="2654"/>
      <c r="F141" s="2655"/>
      <c r="G141" s="2656"/>
      <c r="H141" s="2656"/>
      <c r="I141" s="2656"/>
      <c r="J141" s="2656"/>
      <c r="K141" s="2656"/>
      <c r="L141" s="2657"/>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2651"/>
      <c r="C142" s="2652"/>
      <c r="D142" s="2653"/>
      <c r="E142" s="2654"/>
      <c r="F142" s="2655"/>
      <c r="G142" s="2656"/>
      <c r="H142" s="2656"/>
      <c r="I142" s="2656"/>
      <c r="J142" s="2656"/>
      <c r="K142" s="2656"/>
      <c r="L142" s="2657"/>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2651"/>
      <c r="C143" s="2652"/>
      <c r="D143" s="2653"/>
      <c r="E143" s="2654"/>
      <c r="F143" s="2655"/>
      <c r="G143" s="2656"/>
      <c r="H143" s="2656"/>
      <c r="I143" s="2656"/>
      <c r="J143" s="2656"/>
      <c r="K143" s="2656"/>
      <c r="L143" s="2657"/>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2651"/>
      <c r="C144" s="2652"/>
      <c r="D144" s="2653"/>
      <c r="E144" s="2654"/>
      <c r="F144" s="2655"/>
      <c r="G144" s="2656"/>
      <c r="H144" s="2656"/>
      <c r="I144" s="2656"/>
      <c r="J144" s="2656"/>
      <c r="K144" s="2656"/>
      <c r="L144" s="2657"/>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2651"/>
      <c r="C145" s="2652"/>
      <c r="D145" s="2653"/>
      <c r="E145" s="2654"/>
      <c r="F145" s="2655"/>
      <c r="G145" s="2656"/>
      <c r="H145" s="2656"/>
      <c r="I145" s="2656"/>
      <c r="J145" s="2656"/>
      <c r="K145" s="2656"/>
      <c r="L145" s="2657"/>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2651"/>
      <c r="C146" s="2652"/>
      <c r="D146" s="2653"/>
      <c r="E146" s="2654"/>
      <c r="F146" s="2655"/>
      <c r="G146" s="2656"/>
      <c r="H146" s="2656"/>
      <c r="I146" s="2656"/>
      <c r="J146" s="2656"/>
      <c r="K146" s="2656"/>
      <c r="L146" s="2657"/>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2651"/>
      <c r="C147" s="2652"/>
      <c r="D147" s="2653"/>
      <c r="E147" s="2654"/>
      <c r="F147" s="2655"/>
      <c r="G147" s="2656"/>
      <c r="H147" s="2656"/>
      <c r="I147" s="2656"/>
      <c r="J147" s="2656"/>
      <c r="K147" s="2656"/>
      <c r="L147" s="2657"/>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2651"/>
      <c r="C148" s="2652"/>
      <c r="D148" s="2653"/>
      <c r="E148" s="2654"/>
      <c r="F148" s="2655"/>
      <c r="G148" s="2656"/>
      <c r="H148" s="2656"/>
      <c r="I148" s="2656"/>
      <c r="J148" s="2656"/>
      <c r="K148" s="2656"/>
      <c r="L148" s="2657"/>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2651"/>
      <c r="C149" s="2652"/>
      <c r="D149" s="2653"/>
      <c r="E149" s="2654"/>
      <c r="F149" s="2655"/>
      <c r="G149" s="2656"/>
      <c r="H149" s="2656"/>
      <c r="I149" s="2656"/>
      <c r="J149" s="2656"/>
      <c r="K149" s="2656"/>
      <c r="L149" s="2657"/>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2651"/>
      <c r="C150" s="2652"/>
      <c r="D150" s="2653"/>
      <c r="E150" s="2654"/>
      <c r="F150" s="2655"/>
      <c r="G150" s="2656"/>
      <c r="H150" s="2656"/>
      <c r="I150" s="2656"/>
      <c r="J150" s="2656"/>
      <c r="K150" s="2656"/>
      <c r="L150" s="2657"/>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2651"/>
      <c r="C151" s="2652"/>
      <c r="D151" s="2653"/>
      <c r="E151" s="2654"/>
      <c r="F151" s="2655"/>
      <c r="G151" s="2656"/>
      <c r="H151" s="2656"/>
      <c r="I151" s="2656"/>
      <c r="J151" s="2656"/>
      <c r="K151" s="2656"/>
      <c r="L151" s="2657"/>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2651"/>
      <c r="C152" s="2652"/>
      <c r="D152" s="2653"/>
      <c r="E152" s="2654"/>
      <c r="F152" s="2655"/>
      <c r="G152" s="2656"/>
      <c r="H152" s="2656"/>
      <c r="I152" s="2656"/>
      <c r="J152" s="2656"/>
      <c r="K152" s="2656"/>
      <c r="L152" s="2657"/>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2651"/>
      <c r="C153" s="2652"/>
      <c r="D153" s="2653"/>
      <c r="E153" s="2654"/>
      <c r="F153" s="2655"/>
      <c r="G153" s="2656"/>
      <c r="H153" s="2656"/>
      <c r="I153" s="2656"/>
      <c r="J153" s="2656"/>
      <c r="K153" s="2656"/>
      <c r="L153" s="2657"/>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2651"/>
      <c r="C154" s="2652"/>
      <c r="D154" s="2653"/>
      <c r="E154" s="2654"/>
      <c r="F154" s="2655"/>
      <c r="G154" s="2656"/>
      <c r="H154" s="2656"/>
      <c r="I154" s="2656"/>
      <c r="J154" s="2656"/>
      <c r="K154" s="2656"/>
      <c r="L154" s="2657"/>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2651"/>
      <c r="C155" s="2652"/>
      <c r="D155" s="2653"/>
      <c r="E155" s="2654"/>
      <c r="F155" s="2655"/>
      <c r="G155" s="2656"/>
      <c r="H155" s="2656"/>
      <c r="I155" s="2656"/>
      <c r="J155" s="2656"/>
      <c r="K155" s="2656"/>
      <c r="L155" s="2657"/>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2651"/>
      <c r="C156" s="2652"/>
      <c r="D156" s="2653"/>
      <c r="E156" s="2654"/>
      <c r="F156" s="2655"/>
      <c r="G156" s="2656"/>
      <c r="H156" s="2656"/>
      <c r="I156" s="2656"/>
      <c r="J156" s="2656"/>
      <c r="K156" s="2656"/>
      <c r="L156" s="2657"/>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2651"/>
      <c r="C157" s="2652"/>
      <c r="D157" s="2653"/>
      <c r="E157" s="2654"/>
      <c r="F157" s="2655"/>
      <c r="G157" s="2656"/>
      <c r="H157" s="2656"/>
      <c r="I157" s="2656"/>
      <c r="J157" s="2656"/>
      <c r="K157" s="2656"/>
      <c r="L157" s="2657"/>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2651"/>
      <c r="C158" s="2652"/>
      <c r="D158" s="2653"/>
      <c r="E158" s="2654"/>
      <c r="F158" s="2655"/>
      <c r="G158" s="2656"/>
      <c r="H158" s="2656"/>
      <c r="I158" s="2656"/>
      <c r="J158" s="2656"/>
      <c r="K158" s="2656"/>
      <c r="L158" s="2657"/>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2651"/>
      <c r="C159" s="2652"/>
      <c r="D159" s="2653"/>
      <c r="E159" s="2654"/>
      <c r="F159" s="2655"/>
      <c r="G159" s="2656"/>
      <c r="H159" s="2656"/>
      <c r="I159" s="2656"/>
      <c r="J159" s="2656"/>
      <c r="K159" s="2656"/>
      <c r="L159" s="2657"/>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2651"/>
      <c r="C160" s="2652"/>
      <c r="D160" s="2653"/>
      <c r="E160" s="2654"/>
      <c r="F160" s="2655"/>
      <c r="G160" s="2656"/>
      <c r="H160" s="2656"/>
      <c r="I160" s="2656"/>
      <c r="J160" s="2656"/>
      <c r="K160" s="2656"/>
      <c r="L160" s="2657"/>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2651"/>
      <c r="C161" s="2652"/>
      <c r="D161" s="2653"/>
      <c r="E161" s="2654"/>
      <c r="F161" s="2655"/>
      <c r="G161" s="2656"/>
      <c r="H161" s="2656"/>
      <c r="I161" s="2656"/>
      <c r="J161" s="2656"/>
      <c r="K161" s="2656"/>
      <c r="L161" s="2657"/>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2651"/>
      <c r="C162" s="2652"/>
      <c r="D162" s="2653"/>
      <c r="E162" s="2654"/>
      <c r="F162" s="2655"/>
      <c r="G162" s="2656"/>
      <c r="H162" s="2656"/>
      <c r="I162" s="2656"/>
      <c r="J162" s="2656"/>
      <c r="K162" s="2656"/>
      <c r="L162" s="2657"/>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2651"/>
      <c r="C163" s="2652"/>
      <c r="D163" s="2653"/>
      <c r="E163" s="2654"/>
      <c r="F163" s="2655"/>
      <c r="G163" s="2656"/>
      <c r="H163" s="2656"/>
      <c r="I163" s="2656"/>
      <c r="J163" s="2656"/>
      <c r="K163" s="2656"/>
      <c r="L163" s="2657"/>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2651"/>
      <c r="C164" s="2652"/>
      <c r="D164" s="2653"/>
      <c r="E164" s="2654"/>
      <c r="F164" s="2655"/>
      <c r="G164" s="2656"/>
      <c r="H164" s="2656"/>
      <c r="I164" s="2656"/>
      <c r="J164" s="2656"/>
      <c r="K164" s="2656"/>
      <c r="L164" s="2657"/>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2651"/>
      <c r="C165" s="2652"/>
      <c r="D165" s="2653"/>
      <c r="E165" s="2654"/>
      <c r="F165" s="2655"/>
      <c r="G165" s="2656"/>
      <c r="H165" s="2656"/>
      <c r="I165" s="2656"/>
      <c r="J165" s="2656"/>
      <c r="K165" s="2656"/>
      <c r="L165" s="2657"/>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2651"/>
      <c r="C166" s="2652"/>
      <c r="D166" s="2653"/>
      <c r="E166" s="2654"/>
      <c r="F166" s="2655"/>
      <c r="G166" s="2656"/>
      <c r="H166" s="2656"/>
      <c r="I166" s="2656"/>
      <c r="J166" s="2656"/>
      <c r="K166" s="2656"/>
      <c r="L166" s="2657"/>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2651"/>
      <c r="C167" s="2652"/>
      <c r="D167" s="2653"/>
      <c r="E167" s="2654"/>
      <c r="F167" s="2655"/>
      <c r="G167" s="2656"/>
      <c r="H167" s="2656"/>
      <c r="I167" s="2656"/>
      <c r="J167" s="2656"/>
      <c r="K167" s="2656"/>
      <c r="L167" s="2657"/>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2651"/>
      <c r="C168" s="2652"/>
      <c r="D168" s="2653"/>
      <c r="E168" s="2654"/>
      <c r="F168" s="2655"/>
      <c r="G168" s="2656"/>
      <c r="H168" s="2656"/>
      <c r="I168" s="2656"/>
      <c r="J168" s="2656"/>
      <c r="K168" s="2656"/>
      <c r="L168" s="2657"/>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2651"/>
      <c r="C169" s="2652"/>
      <c r="D169" s="2653"/>
      <c r="E169" s="2654"/>
      <c r="F169" s="2655"/>
      <c r="G169" s="2656"/>
      <c r="H169" s="2656"/>
      <c r="I169" s="2656"/>
      <c r="J169" s="2656"/>
      <c r="K169" s="2656"/>
      <c r="L169" s="2657"/>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2651"/>
      <c r="C170" s="2652"/>
      <c r="D170" s="2653"/>
      <c r="E170" s="2654"/>
      <c r="F170" s="2655"/>
      <c r="G170" s="2656"/>
      <c r="H170" s="2656"/>
      <c r="I170" s="2656"/>
      <c r="J170" s="2656"/>
      <c r="K170" s="2656"/>
      <c r="L170" s="2657"/>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2651"/>
      <c r="C171" s="2652"/>
      <c r="D171" s="2653"/>
      <c r="E171" s="2654"/>
      <c r="F171" s="2655"/>
      <c r="G171" s="2656"/>
      <c r="H171" s="2656"/>
      <c r="I171" s="2656"/>
      <c r="J171" s="2656"/>
      <c r="K171" s="2656"/>
      <c r="L171" s="2657"/>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2651"/>
      <c r="C172" s="2652"/>
      <c r="D172" s="2653"/>
      <c r="E172" s="2654"/>
      <c r="F172" s="2655"/>
      <c r="G172" s="2656"/>
      <c r="H172" s="2656"/>
      <c r="I172" s="2656"/>
      <c r="J172" s="2656"/>
      <c r="K172" s="2656"/>
      <c r="L172" s="2657"/>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2651"/>
      <c r="C173" s="2652"/>
      <c r="D173" s="2653"/>
      <c r="E173" s="2654"/>
      <c r="F173" s="2655"/>
      <c r="G173" s="2656"/>
      <c r="H173" s="2656"/>
      <c r="I173" s="2656"/>
      <c r="J173" s="2656"/>
      <c r="K173" s="2656"/>
      <c r="L173" s="2657"/>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2651"/>
      <c r="C174" s="2652"/>
      <c r="D174" s="2653"/>
      <c r="E174" s="2654"/>
      <c r="F174" s="2655"/>
      <c r="G174" s="2656"/>
      <c r="H174" s="2656"/>
      <c r="I174" s="2656"/>
      <c r="J174" s="2656"/>
      <c r="K174" s="2656"/>
      <c r="L174" s="2657"/>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2651"/>
      <c r="C175" s="2652"/>
      <c r="D175" s="2653"/>
      <c r="E175" s="2654"/>
      <c r="F175" s="2655"/>
      <c r="G175" s="2656"/>
      <c r="H175" s="2656"/>
      <c r="I175" s="2656"/>
      <c r="J175" s="2656"/>
      <c r="K175" s="2656"/>
      <c r="L175" s="2657"/>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2651"/>
      <c r="C176" s="2652"/>
      <c r="D176" s="2653"/>
      <c r="E176" s="2654"/>
      <c r="F176" s="2655"/>
      <c r="G176" s="2656"/>
      <c r="H176" s="2656"/>
      <c r="I176" s="2656"/>
      <c r="J176" s="2656"/>
      <c r="K176" s="2656"/>
      <c r="L176" s="2657"/>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2651"/>
      <c r="C177" s="2652"/>
      <c r="D177" s="2653"/>
      <c r="E177" s="2654"/>
      <c r="F177" s="2655"/>
      <c r="G177" s="2656"/>
      <c r="H177" s="2656"/>
      <c r="I177" s="2656"/>
      <c r="J177" s="2656"/>
      <c r="K177" s="2656"/>
      <c r="L177" s="2657"/>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2651"/>
      <c r="C178" s="2652"/>
      <c r="D178" s="2653"/>
      <c r="E178" s="2654"/>
      <c r="F178" s="2655"/>
      <c r="G178" s="2656"/>
      <c r="H178" s="2656"/>
      <c r="I178" s="2656"/>
      <c r="J178" s="2656"/>
      <c r="K178" s="2656"/>
      <c r="L178" s="2657"/>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2651"/>
      <c r="C179" s="2652"/>
      <c r="D179" s="2653"/>
      <c r="E179" s="2654"/>
      <c r="F179" s="2655"/>
      <c r="G179" s="2656"/>
      <c r="H179" s="2656"/>
      <c r="I179" s="2656"/>
      <c r="J179" s="2656"/>
      <c r="K179" s="2656"/>
      <c r="L179" s="2657"/>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2651"/>
      <c r="C180" s="2652"/>
      <c r="D180" s="2653"/>
      <c r="E180" s="2654"/>
      <c r="F180" s="2655"/>
      <c r="G180" s="2656"/>
      <c r="H180" s="2656"/>
      <c r="I180" s="2656"/>
      <c r="J180" s="2656"/>
      <c r="K180" s="2656"/>
      <c r="L180" s="2657"/>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2651"/>
      <c r="C181" s="2652"/>
      <c r="D181" s="2653"/>
      <c r="E181" s="2654"/>
      <c r="F181" s="2655"/>
      <c r="G181" s="2656"/>
      <c r="H181" s="2656"/>
      <c r="I181" s="2656"/>
      <c r="J181" s="2656"/>
      <c r="K181" s="2656"/>
      <c r="L181" s="2657"/>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2651"/>
      <c r="C182" s="2652"/>
      <c r="D182" s="2653"/>
      <c r="E182" s="2654"/>
      <c r="F182" s="2655"/>
      <c r="G182" s="2656"/>
      <c r="H182" s="2656"/>
      <c r="I182" s="2656"/>
      <c r="J182" s="2656"/>
      <c r="K182" s="2656"/>
      <c r="L182" s="2657"/>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2651"/>
      <c r="C183" s="2652"/>
      <c r="D183" s="2653"/>
      <c r="E183" s="2654"/>
      <c r="F183" s="2655"/>
      <c r="G183" s="2656"/>
      <c r="H183" s="2656"/>
      <c r="I183" s="2656"/>
      <c r="J183" s="2656"/>
      <c r="K183" s="2656"/>
      <c r="L183" s="2657"/>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2651"/>
      <c r="C184" s="2652"/>
      <c r="D184" s="2653"/>
      <c r="E184" s="2654"/>
      <c r="F184" s="2655"/>
      <c r="G184" s="2656"/>
      <c r="H184" s="2656"/>
      <c r="I184" s="2656"/>
      <c r="J184" s="2656"/>
      <c r="K184" s="2656"/>
      <c r="L184" s="2657"/>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2651"/>
      <c r="C185" s="2652"/>
      <c r="D185" s="2653"/>
      <c r="E185" s="2654"/>
      <c r="F185" s="2655"/>
      <c r="G185" s="2656"/>
      <c r="H185" s="2656"/>
      <c r="I185" s="2656"/>
      <c r="J185" s="2656"/>
      <c r="K185" s="2656"/>
      <c r="L185" s="2657"/>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2651"/>
      <c r="C186" s="2652"/>
      <c r="D186" s="2653"/>
      <c r="E186" s="2654"/>
      <c r="F186" s="2655"/>
      <c r="G186" s="2656"/>
      <c r="H186" s="2656"/>
      <c r="I186" s="2656"/>
      <c r="J186" s="2656"/>
      <c r="K186" s="2656"/>
      <c r="L186" s="2657"/>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2651"/>
      <c r="C187" s="2652"/>
      <c r="D187" s="2653"/>
      <c r="E187" s="2654"/>
      <c r="F187" s="2655"/>
      <c r="G187" s="2656"/>
      <c r="H187" s="2656"/>
      <c r="I187" s="2656"/>
      <c r="J187" s="2656"/>
      <c r="K187" s="2656"/>
      <c r="L187" s="2657"/>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2651"/>
      <c r="C188" s="2652"/>
      <c r="D188" s="2653"/>
      <c r="E188" s="2654"/>
      <c r="F188" s="2655"/>
      <c r="G188" s="2656"/>
      <c r="H188" s="2656"/>
      <c r="I188" s="2656"/>
      <c r="J188" s="2656"/>
      <c r="K188" s="2656"/>
      <c r="L188" s="2657"/>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2651"/>
      <c r="C189" s="2652"/>
      <c r="D189" s="2653"/>
      <c r="E189" s="2654"/>
      <c r="F189" s="2655"/>
      <c r="G189" s="2656"/>
      <c r="H189" s="2656"/>
      <c r="I189" s="2656"/>
      <c r="J189" s="2656"/>
      <c r="K189" s="2656"/>
      <c r="L189" s="2657"/>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2651"/>
      <c r="C190" s="2652"/>
      <c r="D190" s="2653"/>
      <c r="E190" s="2654"/>
      <c r="F190" s="2655"/>
      <c r="G190" s="2656"/>
      <c r="H190" s="2656"/>
      <c r="I190" s="2656"/>
      <c r="J190" s="2656"/>
      <c r="K190" s="2656"/>
      <c r="L190" s="2657"/>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2651"/>
      <c r="C191" s="2652"/>
      <c r="D191" s="2653"/>
      <c r="E191" s="2654"/>
      <c r="F191" s="2655"/>
      <c r="G191" s="2656"/>
      <c r="H191" s="2656"/>
      <c r="I191" s="2656"/>
      <c r="J191" s="2656"/>
      <c r="K191" s="2656"/>
      <c r="L191" s="2657"/>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2651"/>
      <c r="C192" s="2652"/>
      <c r="D192" s="2653"/>
      <c r="E192" s="2654"/>
      <c r="F192" s="2655"/>
      <c r="G192" s="2656"/>
      <c r="H192" s="2656"/>
      <c r="I192" s="2656"/>
      <c r="J192" s="2656"/>
      <c r="K192" s="2656"/>
      <c r="L192" s="2657"/>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2651"/>
      <c r="C193" s="2652"/>
      <c r="D193" s="2653"/>
      <c r="E193" s="2654"/>
      <c r="F193" s="2655"/>
      <c r="G193" s="2656"/>
      <c r="H193" s="2656"/>
      <c r="I193" s="2656"/>
      <c r="J193" s="2656"/>
      <c r="K193" s="2656"/>
      <c r="L193" s="2657"/>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2651"/>
      <c r="C194" s="2652"/>
      <c r="D194" s="2653"/>
      <c r="E194" s="2654"/>
      <c r="F194" s="2655"/>
      <c r="G194" s="2656"/>
      <c r="H194" s="2656"/>
      <c r="I194" s="2656"/>
      <c r="J194" s="2656"/>
      <c r="K194" s="2656"/>
      <c r="L194" s="2657"/>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2651"/>
      <c r="C195" s="2652"/>
      <c r="D195" s="2653"/>
      <c r="E195" s="2654"/>
      <c r="F195" s="2655"/>
      <c r="G195" s="2656"/>
      <c r="H195" s="2656"/>
      <c r="I195" s="2656"/>
      <c r="J195" s="2656"/>
      <c r="K195" s="2656"/>
      <c r="L195" s="2657"/>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2651"/>
      <c r="C196" s="2652"/>
      <c r="D196" s="2653"/>
      <c r="E196" s="2654"/>
      <c r="F196" s="2655"/>
      <c r="G196" s="2656"/>
      <c r="H196" s="2656"/>
      <c r="I196" s="2656"/>
      <c r="J196" s="2656"/>
      <c r="K196" s="2656"/>
      <c r="L196" s="2657"/>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2651"/>
      <c r="C197" s="2652"/>
      <c r="D197" s="2653"/>
      <c r="E197" s="2654"/>
      <c r="F197" s="2655"/>
      <c r="G197" s="2656"/>
      <c r="H197" s="2656"/>
      <c r="I197" s="2656"/>
      <c r="J197" s="2656"/>
      <c r="K197" s="2656"/>
      <c r="L197" s="2657"/>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2651"/>
      <c r="C198" s="2652"/>
      <c r="D198" s="2653"/>
      <c r="E198" s="2654"/>
      <c r="F198" s="2655"/>
      <c r="G198" s="2656"/>
      <c r="H198" s="2656"/>
      <c r="I198" s="2656"/>
      <c r="J198" s="2656"/>
      <c r="K198" s="2656"/>
      <c r="L198" s="2657"/>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2651"/>
      <c r="C199" s="2652"/>
      <c r="D199" s="2653"/>
      <c r="E199" s="2654"/>
      <c r="F199" s="2655"/>
      <c r="G199" s="2656"/>
      <c r="H199" s="2656"/>
      <c r="I199" s="2656"/>
      <c r="J199" s="2656"/>
      <c r="K199" s="2656"/>
      <c r="L199" s="2657"/>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2651"/>
      <c r="C200" s="2652"/>
      <c r="D200" s="2653"/>
      <c r="E200" s="2654"/>
      <c r="F200" s="2655"/>
      <c r="G200" s="2656"/>
      <c r="H200" s="2656"/>
      <c r="I200" s="2656"/>
      <c r="J200" s="2656"/>
      <c r="K200" s="2656"/>
      <c r="L200" s="2657"/>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2651"/>
      <c r="C201" s="2652"/>
      <c r="D201" s="2653"/>
      <c r="E201" s="2654"/>
      <c r="F201" s="2655"/>
      <c r="G201" s="2656"/>
      <c r="H201" s="2656"/>
      <c r="I201" s="2656"/>
      <c r="J201" s="2656"/>
      <c r="K201" s="2656"/>
      <c r="L201" s="2657"/>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2651"/>
      <c r="C202" s="2652"/>
      <c r="D202" s="2653"/>
      <c r="E202" s="2654"/>
      <c r="F202" s="2655"/>
      <c r="G202" s="2656"/>
      <c r="H202" s="2656"/>
      <c r="I202" s="2656"/>
      <c r="J202" s="2656"/>
      <c r="K202" s="2656"/>
      <c r="L202" s="2657"/>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2651"/>
      <c r="C203" s="2652"/>
      <c r="D203" s="2653"/>
      <c r="E203" s="2654"/>
      <c r="F203" s="2655"/>
      <c r="G203" s="2656"/>
      <c r="H203" s="2656"/>
      <c r="I203" s="2656"/>
      <c r="J203" s="2656"/>
      <c r="K203" s="2656"/>
      <c r="L203" s="2657"/>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2651"/>
      <c r="C204" s="2652"/>
      <c r="D204" s="2653"/>
      <c r="E204" s="2654"/>
      <c r="F204" s="2655"/>
      <c r="G204" s="2656"/>
      <c r="H204" s="2656"/>
      <c r="I204" s="2656"/>
      <c r="J204" s="2656"/>
      <c r="K204" s="2656"/>
      <c r="L204" s="2657"/>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2651"/>
      <c r="C205" s="2652"/>
      <c r="D205" s="2653"/>
      <c r="E205" s="2654"/>
      <c r="F205" s="2655"/>
      <c r="G205" s="2656"/>
      <c r="H205" s="2656"/>
      <c r="I205" s="2656"/>
      <c r="J205" s="2656"/>
      <c r="K205" s="2656"/>
      <c r="L205" s="2657"/>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2651"/>
      <c r="C206" s="2652"/>
      <c r="D206" s="2653"/>
      <c r="E206" s="2654"/>
      <c r="F206" s="2655"/>
      <c r="G206" s="2656"/>
      <c r="H206" s="2656"/>
      <c r="I206" s="2656"/>
      <c r="J206" s="2656"/>
      <c r="K206" s="2656"/>
      <c r="L206" s="2657"/>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2651"/>
      <c r="C207" s="2652"/>
      <c r="D207" s="2653"/>
      <c r="E207" s="2654"/>
      <c r="F207" s="2655"/>
      <c r="G207" s="2656"/>
      <c r="H207" s="2656"/>
      <c r="I207" s="2656"/>
      <c r="J207" s="2656"/>
      <c r="K207" s="2656"/>
      <c r="L207" s="2657"/>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2651"/>
      <c r="C208" s="2652"/>
      <c r="D208" s="2653"/>
      <c r="E208" s="2654"/>
      <c r="F208" s="2655"/>
      <c r="G208" s="2656"/>
      <c r="H208" s="2656"/>
      <c r="I208" s="2656"/>
      <c r="J208" s="2656"/>
      <c r="K208" s="2656"/>
      <c r="L208" s="2657"/>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2651"/>
      <c r="C209" s="2652"/>
      <c r="D209" s="2653"/>
      <c r="E209" s="2654"/>
      <c r="F209" s="2655"/>
      <c r="G209" s="2656"/>
      <c r="H209" s="2656"/>
      <c r="I209" s="2656"/>
      <c r="J209" s="2656"/>
      <c r="K209" s="2656"/>
      <c r="L209" s="2657"/>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2651"/>
      <c r="C210" s="2652"/>
      <c r="D210" s="2653"/>
      <c r="E210" s="2654"/>
      <c r="F210" s="2655"/>
      <c r="G210" s="2656"/>
      <c r="H210" s="2656"/>
      <c r="I210" s="2656"/>
      <c r="J210" s="2656"/>
      <c r="K210" s="2656"/>
      <c r="L210" s="2657"/>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2651"/>
      <c r="C211" s="2652"/>
      <c r="D211" s="2653"/>
      <c r="E211" s="2654"/>
      <c r="F211" s="2655"/>
      <c r="G211" s="2656"/>
      <c r="H211" s="2656"/>
      <c r="I211" s="2656"/>
      <c r="J211" s="2656"/>
      <c r="K211" s="2656"/>
      <c r="L211" s="2657"/>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2651"/>
      <c r="C212" s="2652"/>
      <c r="D212" s="2653"/>
      <c r="E212" s="2654"/>
      <c r="F212" s="2655"/>
      <c r="G212" s="2656"/>
      <c r="H212" s="2656"/>
      <c r="I212" s="2656"/>
      <c r="J212" s="2656"/>
      <c r="K212" s="2656"/>
      <c r="L212" s="2657"/>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2651"/>
      <c r="C213" s="2652"/>
      <c r="D213" s="2653"/>
      <c r="E213" s="2654"/>
      <c r="F213" s="2655"/>
      <c r="G213" s="2656"/>
      <c r="H213" s="2656"/>
      <c r="I213" s="2656"/>
      <c r="J213" s="2656"/>
      <c r="K213" s="2656"/>
      <c r="L213" s="2657"/>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2651"/>
      <c r="C214" s="2652"/>
      <c r="D214" s="2653"/>
      <c r="E214" s="2654"/>
      <c r="F214" s="2655"/>
      <c r="G214" s="2656"/>
      <c r="H214" s="2656"/>
      <c r="I214" s="2656"/>
      <c r="J214" s="2656"/>
      <c r="K214" s="2656"/>
      <c r="L214" s="2657"/>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2651"/>
      <c r="C215" s="2652"/>
      <c r="D215" s="2653"/>
      <c r="E215" s="2654"/>
      <c r="F215" s="2655"/>
      <c r="G215" s="2656"/>
      <c r="H215" s="2656"/>
      <c r="I215" s="2656"/>
      <c r="J215" s="2656"/>
      <c r="K215" s="2656"/>
      <c r="L215" s="2657"/>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2651"/>
      <c r="C216" s="2652"/>
      <c r="D216" s="2653"/>
      <c r="E216" s="2654"/>
      <c r="F216" s="2655"/>
      <c r="G216" s="2656"/>
      <c r="H216" s="2656"/>
      <c r="I216" s="2656"/>
      <c r="J216" s="2656"/>
      <c r="K216" s="2656"/>
      <c r="L216" s="2657"/>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2651"/>
      <c r="C217" s="2652"/>
      <c r="D217" s="2653"/>
      <c r="E217" s="2654"/>
      <c r="F217" s="2655"/>
      <c r="G217" s="2656"/>
      <c r="H217" s="2656"/>
      <c r="I217" s="2656"/>
      <c r="J217" s="2656"/>
      <c r="K217" s="2656"/>
      <c r="L217" s="2657"/>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2651"/>
      <c r="C218" s="2652"/>
      <c r="D218" s="2653"/>
      <c r="E218" s="2654"/>
      <c r="F218" s="2655"/>
      <c r="G218" s="2656"/>
      <c r="H218" s="2656"/>
      <c r="I218" s="2656"/>
      <c r="J218" s="2656"/>
      <c r="K218" s="2656"/>
      <c r="L218" s="2657"/>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2651"/>
      <c r="C219" s="2652"/>
      <c r="D219" s="2653"/>
      <c r="E219" s="2654"/>
      <c r="F219" s="2655"/>
      <c r="G219" s="2656"/>
      <c r="H219" s="2656"/>
      <c r="I219" s="2656"/>
      <c r="J219" s="2656"/>
      <c r="K219" s="2656"/>
      <c r="L219" s="2657"/>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2651"/>
      <c r="C220" s="2652"/>
      <c r="D220" s="2653"/>
      <c r="E220" s="2654"/>
      <c r="F220" s="2655"/>
      <c r="G220" s="2656"/>
      <c r="H220" s="2656"/>
      <c r="I220" s="2656"/>
      <c r="J220" s="2656"/>
      <c r="K220" s="2656"/>
      <c r="L220" s="2657"/>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2651"/>
      <c r="C221" s="2652"/>
      <c r="D221" s="2653"/>
      <c r="E221" s="2654"/>
      <c r="F221" s="2655"/>
      <c r="G221" s="2656"/>
      <c r="H221" s="2656"/>
      <c r="I221" s="2656"/>
      <c r="J221" s="2656"/>
      <c r="K221" s="2656"/>
      <c r="L221" s="2657"/>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2651"/>
      <c r="C222" s="2652"/>
      <c r="D222" s="2653"/>
      <c r="E222" s="2654"/>
      <c r="F222" s="2655"/>
      <c r="G222" s="2656"/>
      <c r="H222" s="2656"/>
      <c r="I222" s="2656"/>
      <c r="J222" s="2656"/>
      <c r="K222" s="2656"/>
      <c r="L222" s="2657"/>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2651"/>
      <c r="C223" s="2652"/>
      <c r="D223" s="2653"/>
      <c r="E223" s="2654"/>
      <c r="F223" s="2655"/>
      <c r="G223" s="2656"/>
      <c r="H223" s="2656"/>
      <c r="I223" s="2656"/>
      <c r="J223" s="2656"/>
      <c r="K223" s="2656"/>
      <c r="L223" s="2657"/>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2651"/>
      <c r="C224" s="2652"/>
      <c r="D224" s="2653"/>
      <c r="E224" s="2654"/>
      <c r="F224" s="2655"/>
      <c r="G224" s="2656"/>
      <c r="H224" s="2656"/>
      <c r="I224" s="2656"/>
      <c r="J224" s="2656"/>
      <c r="K224" s="2656"/>
      <c r="L224" s="2657"/>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2651"/>
      <c r="C225" s="2652"/>
      <c r="D225" s="2653"/>
      <c r="E225" s="2654"/>
      <c r="F225" s="2655"/>
      <c r="G225" s="2656"/>
      <c r="H225" s="2656"/>
      <c r="I225" s="2656"/>
      <c r="J225" s="2656"/>
      <c r="K225" s="2656"/>
      <c r="L225" s="2657"/>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2651"/>
      <c r="C226" s="2652"/>
      <c r="D226" s="2653"/>
      <c r="E226" s="2654"/>
      <c r="F226" s="2655"/>
      <c r="G226" s="2656"/>
      <c r="H226" s="2656"/>
      <c r="I226" s="2656"/>
      <c r="J226" s="2656"/>
      <c r="K226" s="2656"/>
      <c r="L226" s="2657"/>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2651"/>
      <c r="C227" s="2652"/>
      <c r="D227" s="2653"/>
      <c r="E227" s="2654"/>
      <c r="F227" s="2655"/>
      <c r="G227" s="2656"/>
      <c r="H227" s="2656"/>
      <c r="I227" s="2656"/>
      <c r="J227" s="2656"/>
      <c r="K227" s="2656"/>
      <c r="L227" s="2657"/>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2651"/>
      <c r="C228" s="2652"/>
      <c r="D228" s="2653"/>
      <c r="E228" s="2654"/>
      <c r="F228" s="2655"/>
      <c r="G228" s="2656"/>
      <c r="H228" s="2656"/>
      <c r="I228" s="2656"/>
      <c r="J228" s="2656"/>
      <c r="K228" s="2656"/>
      <c r="L228" s="2657"/>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2651"/>
      <c r="C229" s="2652"/>
      <c r="D229" s="2653"/>
      <c r="E229" s="2654"/>
      <c r="F229" s="2655"/>
      <c r="G229" s="2656"/>
      <c r="H229" s="2656"/>
      <c r="I229" s="2656"/>
      <c r="J229" s="2656"/>
      <c r="K229" s="2656"/>
      <c r="L229" s="2657"/>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2651"/>
      <c r="C230" s="2652"/>
      <c r="D230" s="2653"/>
      <c r="E230" s="2654"/>
      <c r="F230" s="2655"/>
      <c r="G230" s="2656"/>
      <c r="H230" s="2656"/>
      <c r="I230" s="2656"/>
      <c r="J230" s="2656"/>
      <c r="K230" s="2656"/>
      <c r="L230" s="2657"/>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2651"/>
      <c r="C231" s="2652"/>
      <c r="D231" s="2653"/>
      <c r="E231" s="2654"/>
      <c r="F231" s="2655"/>
      <c r="G231" s="2656"/>
      <c r="H231" s="2656"/>
      <c r="I231" s="2656"/>
      <c r="J231" s="2656"/>
      <c r="K231" s="2656"/>
      <c r="L231" s="2657"/>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2651"/>
      <c r="C232" s="2652"/>
      <c r="D232" s="2653"/>
      <c r="E232" s="2654"/>
      <c r="F232" s="2655"/>
      <c r="G232" s="2656"/>
      <c r="H232" s="2656"/>
      <c r="I232" s="2656"/>
      <c r="J232" s="2656"/>
      <c r="K232" s="2656"/>
      <c r="L232" s="2657"/>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2651"/>
      <c r="C233" s="2652"/>
      <c r="D233" s="2653"/>
      <c r="E233" s="2654"/>
      <c r="F233" s="2655"/>
      <c r="G233" s="2656"/>
      <c r="H233" s="2656"/>
      <c r="I233" s="2656"/>
      <c r="J233" s="2656"/>
      <c r="K233" s="2656"/>
      <c r="L233" s="2657"/>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2651"/>
      <c r="C234" s="2652"/>
      <c r="D234" s="2653"/>
      <c r="E234" s="2654"/>
      <c r="F234" s="2655"/>
      <c r="G234" s="2656"/>
      <c r="H234" s="2656"/>
      <c r="I234" s="2656"/>
      <c r="J234" s="2656"/>
      <c r="K234" s="2656"/>
      <c r="L234" s="2657"/>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2651"/>
      <c r="C235" s="2652"/>
      <c r="D235" s="2653"/>
      <c r="E235" s="2654"/>
      <c r="F235" s="2655"/>
      <c r="G235" s="2656"/>
      <c r="H235" s="2656"/>
      <c r="I235" s="2656"/>
      <c r="J235" s="2656"/>
      <c r="K235" s="2656"/>
      <c r="L235" s="2657"/>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2651"/>
      <c r="C236" s="2652"/>
      <c r="D236" s="2653"/>
      <c r="E236" s="2654"/>
      <c r="F236" s="2655"/>
      <c r="G236" s="2656"/>
      <c r="H236" s="2656"/>
      <c r="I236" s="2656"/>
      <c r="J236" s="2656"/>
      <c r="K236" s="2656"/>
      <c r="L236" s="2657"/>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2651"/>
      <c r="C237" s="2652"/>
      <c r="D237" s="2653"/>
      <c r="E237" s="2654"/>
      <c r="F237" s="2655"/>
      <c r="G237" s="2656"/>
      <c r="H237" s="2656"/>
      <c r="I237" s="2656"/>
      <c r="J237" s="2656"/>
      <c r="K237" s="2656"/>
      <c r="L237" s="2657"/>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2651"/>
      <c r="C238" s="2652"/>
      <c r="D238" s="2653"/>
      <c r="E238" s="2654"/>
      <c r="F238" s="2655"/>
      <c r="G238" s="2656"/>
      <c r="H238" s="2656"/>
      <c r="I238" s="2656"/>
      <c r="J238" s="2656"/>
      <c r="K238" s="2656"/>
      <c r="L238" s="2657"/>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2651"/>
      <c r="C239" s="2652"/>
      <c r="D239" s="2653"/>
      <c r="E239" s="2654"/>
      <c r="F239" s="2655"/>
      <c r="G239" s="2656"/>
      <c r="H239" s="2656"/>
      <c r="I239" s="2656"/>
      <c r="J239" s="2656"/>
      <c r="K239" s="2656"/>
      <c r="L239" s="2657"/>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2651"/>
      <c r="C240" s="2652"/>
      <c r="D240" s="2653"/>
      <c r="E240" s="2654"/>
      <c r="F240" s="2655"/>
      <c r="G240" s="2656"/>
      <c r="H240" s="2656"/>
      <c r="I240" s="2656"/>
      <c r="J240" s="2656"/>
      <c r="K240" s="2656"/>
      <c r="L240" s="2657"/>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2651"/>
      <c r="C241" s="2652"/>
      <c r="D241" s="2653"/>
      <c r="E241" s="2654"/>
      <c r="F241" s="2655"/>
      <c r="G241" s="2656"/>
      <c r="H241" s="2656"/>
      <c r="I241" s="2656"/>
      <c r="J241" s="2656"/>
      <c r="K241" s="2656"/>
      <c r="L241" s="2657"/>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2651"/>
      <c r="C242" s="2652"/>
      <c r="D242" s="2653"/>
      <c r="E242" s="2654"/>
      <c r="F242" s="2655"/>
      <c r="G242" s="2656"/>
      <c r="H242" s="2656"/>
      <c r="I242" s="2656"/>
      <c r="J242" s="2656"/>
      <c r="K242" s="2656"/>
      <c r="L242" s="2657"/>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2651"/>
      <c r="C243" s="2652"/>
      <c r="D243" s="2653"/>
      <c r="E243" s="2654"/>
      <c r="F243" s="2655"/>
      <c r="G243" s="2656"/>
      <c r="H243" s="2656"/>
      <c r="I243" s="2656"/>
      <c r="J243" s="2656"/>
      <c r="K243" s="2656"/>
      <c r="L243" s="2657"/>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2651"/>
      <c r="C244" s="2652"/>
      <c r="D244" s="2653"/>
      <c r="E244" s="2654"/>
      <c r="F244" s="2655"/>
      <c r="G244" s="2656"/>
      <c r="H244" s="2656"/>
      <c r="I244" s="2656"/>
      <c r="J244" s="2656"/>
      <c r="K244" s="2656"/>
      <c r="L244" s="2657"/>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2651"/>
      <c r="C245" s="2652"/>
      <c r="D245" s="2653"/>
      <c r="E245" s="2654"/>
      <c r="F245" s="2655"/>
      <c r="G245" s="2656"/>
      <c r="H245" s="2656"/>
      <c r="I245" s="2656"/>
      <c r="J245" s="2656"/>
      <c r="K245" s="2656"/>
      <c r="L245" s="2657"/>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2651"/>
      <c r="C246" s="2652"/>
      <c r="D246" s="2653"/>
      <c r="E246" s="2654"/>
      <c r="F246" s="2655"/>
      <c r="G246" s="2656"/>
      <c r="H246" s="2656"/>
      <c r="I246" s="2656"/>
      <c r="J246" s="2656"/>
      <c r="K246" s="2656"/>
      <c r="L246" s="2657"/>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2651"/>
      <c r="C247" s="2652"/>
      <c r="D247" s="2653"/>
      <c r="E247" s="2654"/>
      <c r="F247" s="2655"/>
      <c r="G247" s="2656"/>
      <c r="H247" s="2656"/>
      <c r="I247" s="2656"/>
      <c r="J247" s="2656"/>
      <c r="K247" s="2656"/>
      <c r="L247" s="2657"/>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2651"/>
      <c r="C248" s="2652"/>
      <c r="D248" s="2653"/>
      <c r="E248" s="2654"/>
      <c r="F248" s="2655"/>
      <c r="G248" s="2656"/>
      <c r="H248" s="2656"/>
      <c r="I248" s="2656"/>
      <c r="J248" s="2656"/>
      <c r="K248" s="2656"/>
      <c r="L248" s="2657"/>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2651"/>
      <c r="C249" s="2652"/>
      <c r="D249" s="2653"/>
      <c r="E249" s="2654"/>
      <c r="F249" s="2655"/>
      <c r="G249" s="2656"/>
      <c r="H249" s="2656"/>
      <c r="I249" s="2656"/>
      <c r="J249" s="2656"/>
      <c r="K249" s="2656"/>
      <c r="L249" s="2657"/>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2651"/>
      <c r="C250" s="2652"/>
      <c r="D250" s="2653"/>
      <c r="E250" s="2654"/>
      <c r="F250" s="2655"/>
      <c r="G250" s="2656"/>
      <c r="H250" s="2656"/>
      <c r="I250" s="2656"/>
      <c r="J250" s="2656"/>
      <c r="K250" s="2656"/>
      <c r="L250" s="2657"/>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2651"/>
      <c r="C251" s="2652"/>
      <c r="D251" s="2653"/>
      <c r="E251" s="2654"/>
      <c r="F251" s="2655"/>
      <c r="G251" s="2656"/>
      <c r="H251" s="2656"/>
      <c r="I251" s="2656"/>
      <c r="J251" s="2656"/>
      <c r="K251" s="2656"/>
      <c r="L251" s="2657"/>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2651"/>
      <c r="C252" s="2652"/>
      <c r="D252" s="2653"/>
      <c r="E252" s="2654"/>
      <c r="F252" s="2655"/>
      <c r="G252" s="2656"/>
      <c r="H252" s="2656"/>
      <c r="I252" s="2656"/>
      <c r="J252" s="2656"/>
      <c r="K252" s="2656"/>
      <c r="L252" s="2657"/>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2651"/>
      <c r="C253" s="2652"/>
      <c r="D253" s="2653"/>
      <c r="E253" s="2654"/>
      <c r="F253" s="2655"/>
      <c r="G253" s="2656"/>
      <c r="H253" s="2656"/>
      <c r="I253" s="2656"/>
      <c r="J253" s="2656"/>
      <c r="K253" s="2656"/>
      <c r="L253" s="2657"/>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2651"/>
      <c r="C254" s="2652"/>
      <c r="D254" s="2653"/>
      <c r="E254" s="2654"/>
      <c r="F254" s="2655"/>
      <c r="G254" s="2656"/>
      <c r="H254" s="2656"/>
      <c r="I254" s="2656"/>
      <c r="J254" s="2656"/>
      <c r="K254" s="2656"/>
      <c r="L254" s="2657"/>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2651"/>
      <c r="C255" s="2652"/>
      <c r="D255" s="2653"/>
      <c r="E255" s="2654"/>
      <c r="F255" s="2655"/>
      <c r="G255" s="2656"/>
      <c r="H255" s="2656"/>
      <c r="I255" s="2656"/>
      <c r="J255" s="2656"/>
      <c r="K255" s="2656"/>
      <c r="L255" s="2657"/>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2651"/>
      <c r="C256" s="2652"/>
      <c r="D256" s="2653"/>
      <c r="E256" s="2654"/>
      <c r="F256" s="2655"/>
      <c r="G256" s="2656"/>
      <c r="H256" s="2656"/>
      <c r="I256" s="2656"/>
      <c r="J256" s="2656"/>
      <c r="K256" s="2656"/>
      <c r="L256" s="2657"/>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2651"/>
      <c r="C257" s="2652"/>
      <c r="D257" s="2653"/>
      <c r="E257" s="2654"/>
      <c r="F257" s="2655"/>
      <c r="G257" s="2656"/>
      <c r="H257" s="2656"/>
      <c r="I257" s="2656"/>
      <c r="J257" s="2656"/>
      <c r="K257" s="2656"/>
      <c r="L257" s="2657"/>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2651"/>
      <c r="C258" s="2652"/>
      <c r="D258" s="2653"/>
      <c r="E258" s="2654"/>
      <c r="F258" s="2655"/>
      <c r="G258" s="2656"/>
      <c r="H258" s="2656"/>
      <c r="I258" s="2656"/>
      <c r="J258" s="2656"/>
      <c r="K258" s="2656"/>
      <c r="L258" s="2657"/>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2651"/>
      <c r="C259" s="2652"/>
      <c r="D259" s="2653"/>
      <c r="E259" s="2654"/>
      <c r="F259" s="2655"/>
      <c r="G259" s="2656"/>
      <c r="H259" s="2656"/>
      <c r="I259" s="2656"/>
      <c r="J259" s="2656"/>
      <c r="K259" s="2656"/>
      <c r="L259" s="2657"/>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2651"/>
      <c r="C260" s="2652"/>
      <c r="D260" s="2653"/>
      <c r="E260" s="2654"/>
      <c r="F260" s="2655"/>
      <c r="G260" s="2656"/>
      <c r="H260" s="2656"/>
      <c r="I260" s="2656"/>
      <c r="J260" s="2656"/>
      <c r="K260" s="2656"/>
      <c r="L260" s="2657"/>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2651"/>
      <c r="C261" s="2652"/>
      <c r="D261" s="2653"/>
      <c r="E261" s="2654"/>
      <c r="F261" s="2655"/>
      <c r="G261" s="2656"/>
      <c r="H261" s="2656"/>
      <c r="I261" s="2656"/>
      <c r="J261" s="2656"/>
      <c r="K261" s="2656"/>
      <c r="L261" s="2657"/>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2651"/>
      <c r="C262" s="2652"/>
      <c r="D262" s="2653"/>
      <c r="E262" s="2654"/>
      <c r="F262" s="2655"/>
      <c r="G262" s="2656"/>
      <c r="H262" s="2656"/>
      <c r="I262" s="2656"/>
      <c r="J262" s="2656"/>
      <c r="K262" s="2656"/>
      <c r="L262" s="2657"/>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2651"/>
      <c r="C263" s="2652"/>
      <c r="D263" s="2653"/>
      <c r="E263" s="2654"/>
      <c r="F263" s="2655"/>
      <c r="G263" s="2656"/>
      <c r="H263" s="2656"/>
      <c r="I263" s="2656"/>
      <c r="J263" s="2656"/>
      <c r="K263" s="2656"/>
      <c r="L263" s="2657"/>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2651"/>
      <c r="C264" s="2652"/>
      <c r="D264" s="2653"/>
      <c r="E264" s="2654"/>
      <c r="F264" s="2655"/>
      <c r="G264" s="2656"/>
      <c r="H264" s="2656"/>
      <c r="I264" s="2656"/>
      <c r="J264" s="2656"/>
      <c r="K264" s="2656"/>
      <c r="L264" s="2657"/>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2651"/>
      <c r="C265" s="2652"/>
      <c r="D265" s="2653"/>
      <c r="E265" s="2654"/>
      <c r="F265" s="2655"/>
      <c r="G265" s="2656"/>
      <c r="H265" s="2656"/>
      <c r="I265" s="2656"/>
      <c r="J265" s="2656"/>
      <c r="K265" s="2656"/>
      <c r="L265" s="2657"/>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2651"/>
      <c r="C266" s="2652"/>
      <c r="D266" s="2653"/>
      <c r="E266" s="2654"/>
      <c r="F266" s="2655"/>
      <c r="G266" s="2656"/>
      <c r="H266" s="2656"/>
      <c r="I266" s="2656"/>
      <c r="J266" s="2656"/>
      <c r="K266" s="2656"/>
      <c r="L266" s="2657"/>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2651"/>
      <c r="C267" s="2652"/>
      <c r="D267" s="2653"/>
      <c r="E267" s="2654"/>
      <c r="F267" s="2655"/>
      <c r="G267" s="2656"/>
      <c r="H267" s="2656"/>
      <c r="I267" s="2656"/>
      <c r="J267" s="2656"/>
      <c r="K267" s="2656"/>
      <c r="L267" s="2657"/>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2651"/>
      <c r="C268" s="2652"/>
      <c r="D268" s="2653"/>
      <c r="E268" s="2654"/>
      <c r="F268" s="2655"/>
      <c r="G268" s="2656"/>
      <c r="H268" s="2656"/>
      <c r="I268" s="2656"/>
      <c r="J268" s="2656"/>
      <c r="K268" s="2656"/>
      <c r="L268" s="2657"/>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2651"/>
      <c r="C269" s="2652"/>
      <c r="D269" s="2653"/>
      <c r="E269" s="2654"/>
      <c r="F269" s="2655"/>
      <c r="G269" s="2656"/>
      <c r="H269" s="2656"/>
      <c r="I269" s="2656"/>
      <c r="J269" s="2656"/>
      <c r="K269" s="2656"/>
      <c r="L269" s="2657"/>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2651"/>
      <c r="C270" s="2652"/>
      <c r="D270" s="2653"/>
      <c r="E270" s="2654"/>
      <c r="F270" s="2655"/>
      <c r="G270" s="2656"/>
      <c r="H270" s="2656"/>
      <c r="I270" s="2656"/>
      <c r="J270" s="2656"/>
      <c r="K270" s="2656"/>
      <c r="L270" s="2657"/>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2651"/>
      <c r="C271" s="2652"/>
      <c r="D271" s="2653"/>
      <c r="E271" s="2654"/>
      <c r="F271" s="2655"/>
      <c r="G271" s="2656"/>
      <c r="H271" s="2656"/>
      <c r="I271" s="2656"/>
      <c r="J271" s="2656"/>
      <c r="K271" s="2656"/>
      <c r="L271" s="2657"/>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2651"/>
      <c r="C272" s="2652"/>
      <c r="D272" s="2653"/>
      <c r="E272" s="2654"/>
      <c r="F272" s="2655"/>
      <c r="G272" s="2656"/>
      <c r="H272" s="2656"/>
      <c r="I272" s="2656"/>
      <c r="J272" s="2656"/>
      <c r="K272" s="2656"/>
      <c r="L272" s="2657"/>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2651"/>
      <c r="C273" s="2652"/>
      <c r="D273" s="2653"/>
      <c r="E273" s="2654"/>
      <c r="F273" s="2655"/>
      <c r="G273" s="2656"/>
      <c r="H273" s="2656"/>
      <c r="I273" s="2656"/>
      <c r="J273" s="2656"/>
      <c r="K273" s="2656"/>
      <c r="L273" s="2657"/>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2651"/>
      <c r="C274" s="2652"/>
      <c r="D274" s="2653"/>
      <c r="E274" s="2654"/>
      <c r="F274" s="2655"/>
      <c r="G274" s="2656"/>
      <c r="H274" s="2656"/>
      <c r="I274" s="2656"/>
      <c r="J274" s="2656"/>
      <c r="K274" s="2656"/>
      <c r="L274" s="2657"/>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2651"/>
      <c r="C275" s="2652"/>
      <c r="D275" s="2653"/>
      <c r="E275" s="2654"/>
      <c r="F275" s="2655"/>
      <c r="G275" s="2656"/>
      <c r="H275" s="2656"/>
      <c r="I275" s="2656"/>
      <c r="J275" s="2656"/>
      <c r="K275" s="2656"/>
      <c r="L275" s="2657"/>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2651"/>
      <c r="C276" s="2652"/>
      <c r="D276" s="2653"/>
      <c r="E276" s="2654"/>
      <c r="F276" s="2655"/>
      <c r="G276" s="2656"/>
      <c r="H276" s="2656"/>
      <c r="I276" s="2656"/>
      <c r="J276" s="2656"/>
      <c r="K276" s="2656"/>
      <c r="L276" s="2657"/>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2651"/>
      <c r="C277" s="2652"/>
      <c r="D277" s="2653"/>
      <c r="E277" s="2654"/>
      <c r="F277" s="2655"/>
      <c r="G277" s="2656"/>
      <c r="H277" s="2656"/>
      <c r="I277" s="2656"/>
      <c r="J277" s="2656"/>
      <c r="K277" s="2656"/>
      <c r="L277" s="2657"/>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2651"/>
      <c r="C278" s="2652"/>
      <c r="D278" s="2653"/>
      <c r="E278" s="2654"/>
      <c r="F278" s="2655"/>
      <c r="G278" s="2656"/>
      <c r="H278" s="2656"/>
      <c r="I278" s="2656"/>
      <c r="J278" s="2656"/>
      <c r="K278" s="2656"/>
      <c r="L278" s="2657"/>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2651"/>
      <c r="C279" s="2652"/>
      <c r="D279" s="2653"/>
      <c r="E279" s="2654"/>
      <c r="F279" s="2655"/>
      <c r="G279" s="2656"/>
      <c r="H279" s="2656"/>
      <c r="I279" s="2656"/>
      <c r="J279" s="2656"/>
      <c r="K279" s="2656"/>
      <c r="L279" s="2657"/>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2651"/>
      <c r="C280" s="2652"/>
      <c r="D280" s="2653"/>
      <c r="E280" s="2654"/>
      <c r="F280" s="2655"/>
      <c r="G280" s="2656"/>
      <c r="H280" s="2656"/>
      <c r="I280" s="2656"/>
      <c r="J280" s="2656"/>
      <c r="K280" s="2656"/>
      <c r="L280" s="2657"/>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2651"/>
      <c r="C281" s="2652"/>
      <c r="D281" s="2653"/>
      <c r="E281" s="2654"/>
      <c r="F281" s="2655"/>
      <c r="G281" s="2656"/>
      <c r="H281" s="2656"/>
      <c r="I281" s="2656"/>
      <c r="J281" s="2656"/>
      <c r="K281" s="2656"/>
      <c r="L281" s="2657"/>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2651"/>
      <c r="C282" s="2652"/>
      <c r="D282" s="2653"/>
      <c r="E282" s="2654"/>
      <c r="F282" s="2655"/>
      <c r="G282" s="2656"/>
      <c r="H282" s="2656"/>
      <c r="I282" s="2656"/>
      <c r="J282" s="2656"/>
      <c r="K282" s="2656"/>
      <c r="L282" s="2657"/>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2651"/>
      <c r="C283" s="2652"/>
      <c r="D283" s="2653"/>
      <c r="E283" s="2654"/>
      <c r="F283" s="2655"/>
      <c r="G283" s="2656"/>
      <c r="H283" s="2656"/>
      <c r="I283" s="2656"/>
      <c r="J283" s="2656"/>
      <c r="K283" s="2656"/>
      <c r="L283" s="2657"/>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2651"/>
      <c r="C284" s="2652"/>
      <c r="D284" s="2653"/>
      <c r="E284" s="2654"/>
      <c r="F284" s="2655"/>
      <c r="G284" s="2656"/>
      <c r="H284" s="2656"/>
      <c r="I284" s="2656"/>
      <c r="J284" s="2656"/>
      <c r="K284" s="2656"/>
      <c r="L284" s="2657"/>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2651"/>
      <c r="C285" s="2652"/>
      <c r="D285" s="2653"/>
      <c r="E285" s="2654"/>
      <c r="F285" s="2655"/>
      <c r="G285" s="2656"/>
      <c r="H285" s="2656"/>
      <c r="I285" s="2656"/>
      <c r="J285" s="2656"/>
      <c r="K285" s="2656"/>
      <c r="L285" s="2657"/>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2651"/>
      <c r="C286" s="2652"/>
      <c r="D286" s="2653"/>
      <c r="E286" s="2654"/>
      <c r="F286" s="2655"/>
      <c r="G286" s="2656"/>
      <c r="H286" s="2656"/>
      <c r="I286" s="2656"/>
      <c r="J286" s="2656"/>
      <c r="K286" s="2656"/>
      <c r="L286" s="2657"/>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2651"/>
      <c r="C287" s="2652"/>
      <c r="D287" s="2653"/>
      <c r="E287" s="2654"/>
      <c r="F287" s="2655"/>
      <c r="G287" s="2656"/>
      <c r="H287" s="2656"/>
      <c r="I287" s="2656"/>
      <c r="J287" s="2656"/>
      <c r="K287" s="2656"/>
      <c r="L287" s="2657"/>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2651"/>
      <c r="C288" s="2652"/>
      <c r="D288" s="2653"/>
      <c r="E288" s="2654"/>
      <c r="F288" s="2655"/>
      <c r="G288" s="2656"/>
      <c r="H288" s="2656"/>
      <c r="I288" s="2656"/>
      <c r="J288" s="2656"/>
      <c r="K288" s="2656"/>
      <c r="L288" s="2657"/>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2651"/>
      <c r="C289" s="2652"/>
      <c r="D289" s="2653"/>
      <c r="E289" s="2654"/>
      <c r="F289" s="2655"/>
      <c r="G289" s="2656"/>
      <c r="H289" s="2656"/>
      <c r="I289" s="2656"/>
      <c r="J289" s="2656"/>
      <c r="K289" s="2656"/>
      <c r="L289" s="2657"/>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2651"/>
      <c r="C290" s="2652"/>
      <c r="D290" s="2653"/>
      <c r="E290" s="2654"/>
      <c r="F290" s="2655"/>
      <c r="G290" s="2656"/>
      <c r="H290" s="2656"/>
      <c r="I290" s="2656"/>
      <c r="J290" s="2656"/>
      <c r="K290" s="2656"/>
      <c r="L290" s="2657"/>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2651"/>
      <c r="C291" s="2652"/>
      <c r="D291" s="2653"/>
      <c r="E291" s="2654"/>
      <c r="F291" s="2655"/>
      <c r="G291" s="2656"/>
      <c r="H291" s="2656"/>
      <c r="I291" s="2656"/>
      <c r="J291" s="2656"/>
      <c r="K291" s="2656"/>
      <c r="L291" s="2657"/>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2651"/>
      <c r="C292" s="2652"/>
      <c r="D292" s="2653"/>
      <c r="E292" s="2654"/>
      <c r="F292" s="2655"/>
      <c r="G292" s="2656"/>
      <c r="H292" s="2656"/>
      <c r="I292" s="2656"/>
      <c r="J292" s="2656"/>
      <c r="K292" s="2656"/>
      <c r="L292" s="2657"/>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2651"/>
      <c r="C293" s="2652"/>
      <c r="D293" s="2653"/>
      <c r="E293" s="2654"/>
      <c r="F293" s="2655"/>
      <c r="G293" s="2656"/>
      <c r="H293" s="2656"/>
      <c r="I293" s="2656"/>
      <c r="J293" s="2656"/>
      <c r="K293" s="2656"/>
      <c r="L293" s="2657"/>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2651"/>
      <c r="C294" s="2652"/>
      <c r="D294" s="2653"/>
      <c r="E294" s="2654"/>
      <c r="F294" s="2655"/>
      <c r="G294" s="2656"/>
      <c r="H294" s="2656"/>
      <c r="I294" s="2656"/>
      <c r="J294" s="2656"/>
      <c r="K294" s="2656"/>
      <c r="L294" s="2657"/>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2651"/>
      <c r="C295" s="2652"/>
      <c r="D295" s="2653"/>
      <c r="E295" s="2654"/>
      <c r="F295" s="2655"/>
      <c r="G295" s="2656"/>
      <c r="H295" s="2656"/>
      <c r="I295" s="2656"/>
      <c r="J295" s="2656"/>
      <c r="K295" s="2656"/>
      <c r="L295" s="2657"/>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2651"/>
      <c r="C296" s="2652"/>
      <c r="D296" s="2653"/>
      <c r="E296" s="2654"/>
      <c r="F296" s="2655"/>
      <c r="G296" s="2656"/>
      <c r="H296" s="2656"/>
      <c r="I296" s="2656"/>
      <c r="J296" s="2656"/>
      <c r="K296" s="2656"/>
      <c r="L296" s="2657"/>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2651"/>
      <c r="C297" s="2652"/>
      <c r="D297" s="2653"/>
      <c r="E297" s="2654"/>
      <c r="F297" s="2655"/>
      <c r="G297" s="2656"/>
      <c r="H297" s="2656"/>
      <c r="I297" s="2656"/>
      <c r="J297" s="2656"/>
      <c r="K297" s="2656"/>
      <c r="L297" s="2657"/>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2651"/>
      <c r="C298" s="2652"/>
      <c r="D298" s="2653"/>
      <c r="E298" s="2654"/>
      <c r="F298" s="2655"/>
      <c r="G298" s="2656"/>
      <c r="H298" s="2656"/>
      <c r="I298" s="2656"/>
      <c r="J298" s="2656"/>
      <c r="K298" s="2656"/>
      <c r="L298" s="2657"/>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2651"/>
      <c r="C299" s="2652"/>
      <c r="D299" s="2653"/>
      <c r="E299" s="2654"/>
      <c r="F299" s="2655"/>
      <c r="G299" s="2656"/>
      <c r="H299" s="2656"/>
      <c r="I299" s="2656"/>
      <c r="J299" s="2656"/>
      <c r="K299" s="2656"/>
      <c r="L299" s="2657"/>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2651"/>
      <c r="C300" s="2652"/>
      <c r="D300" s="2653"/>
      <c r="E300" s="2654"/>
      <c r="F300" s="2655"/>
      <c r="G300" s="2656"/>
      <c r="H300" s="2656"/>
      <c r="I300" s="2656"/>
      <c r="J300" s="2656"/>
      <c r="K300" s="2656"/>
      <c r="L300" s="2657"/>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2651"/>
      <c r="C301" s="2652"/>
      <c r="D301" s="2653"/>
      <c r="E301" s="2654"/>
      <c r="F301" s="2655"/>
      <c r="G301" s="2656"/>
      <c r="H301" s="2656"/>
      <c r="I301" s="2656"/>
      <c r="J301" s="2656"/>
      <c r="K301" s="2656"/>
      <c r="L301" s="2657"/>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2651"/>
      <c r="C302" s="2652"/>
      <c r="D302" s="2653"/>
      <c r="E302" s="2654"/>
      <c r="F302" s="2655"/>
      <c r="G302" s="2656"/>
      <c r="H302" s="2656"/>
      <c r="I302" s="2656"/>
      <c r="J302" s="2656"/>
      <c r="K302" s="2656"/>
      <c r="L302" s="2657"/>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2651"/>
      <c r="C303" s="2652"/>
      <c r="D303" s="2653"/>
      <c r="E303" s="2654"/>
      <c r="F303" s="2655"/>
      <c r="G303" s="2656"/>
      <c r="H303" s="2656"/>
      <c r="I303" s="2656"/>
      <c r="J303" s="2656"/>
      <c r="K303" s="2656"/>
      <c r="L303" s="2657"/>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2651"/>
      <c r="C304" s="2652"/>
      <c r="D304" s="2653"/>
      <c r="E304" s="2654"/>
      <c r="F304" s="2655"/>
      <c r="G304" s="2656"/>
      <c r="H304" s="2656"/>
      <c r="I304" s="2656"/>
      <c r="J304" s="2656"/>
      <c r="K304" s="2656"/>
      <c r="L304" s="2657"/>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2651"/>
      <c r="C305" s="2652"/>
      <c r="D305" s="2653"/>
      <c r="E305" s="2654"/>
      <c r="F305" s="2655"/>
      <c r="G305" s="2656"/>
      <c r="H305" s="2656"/>
      <c r="I305" s="2656"/>
      <c r="J305" s="2656"/>
      <c r="K305" s="2656"/>
      <c r="L305" s="2657"/>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2651"/>
      <c r="C306" s="2652"/>
      <c r="D306" s="2653"/>
      <c r="E306" s="2654"/>
      <c r="F306" s="2655"/>
      <c r="G306" s="2656"/>
      <c r="H306" s="2656"/>
      <c r="I306" s="2656"/>
      <c r="J306" s="2656"/>
      <c r="K306" s="2656"/>
      <c r="L306" s="2657"/>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2651"/>
      <c r="C307" s="2652"/>
      <c r="D307" s="2653"/>
      <c r="E307" s="2654"/>
      <c r="F307" s="2655"/>
      <c r="G307" s="2656"/>
      <c r="H307" s="2656"/>
      <c r="I307" s="2656"/>
      <c r="J307" s="2656"/>
      <c r="K307" s="2656"/>
      <c r="L307" s="2657"/>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2651"/>
      <c r="C308" s="2652"/>
      <c r="D308" s="2653"/>
      <c r="E308" s="2654"/>
      <c r="F308" s="2655"/>
      <c r="G308" s="2656"/>
      <c r="H308" s="2656"/>
      <c r="I308" s="2656"/>
      <c r="J308" s="2656"/>
      <c r="K308" s="2656"/>
      <c r="L308" s="2657"/>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2651"/>
      <c r="C309" s="2652"/>
      <c r="D309" s="2653"/>
      <c r="E309" s="2654"/>
      <c r="F309" s="2655"/>
      <c r="G309" s="2656"/>
      <c r="H309" s="2656"/>
      <c r="I309" s="2656"/>
      <c r="J309" s="2656"/>
      <c r="K309" s="2656"/>
      <c r="L309" s="2657"/>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2651"/>
      <c r="C310" s="2652"/>
      <c r="D310" s="2653"/>
      <c r="E310" s="2654"/>
      <c r="F310" s="2655"/>
      <c r="G310" s="2656"/>
      <c r="H310" s="2656"/>
      <c r="I310" s="2656"/>
      <c r="J310" s="2656"/>
      <c r="K310" s="2656"/>
      <c r="L310" s="2657"/>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2651"/>
      <c r="C311" s="2652"/>
      <c r="D311" s="2653"/>
      <c r="E311" s="2654"/>
      <c r="F311" s="2655"/>
      <c r="G311" s="2656"/>
      <c r="H311" s="2656"/>
      <c r="I311" s="2656"/>
      <c r="J311" s="2656"/>
      <c r="K311" s="2656"/>
      <c r="L311" s="2657"/>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2651"/>
      <c r="C312" s="2652"/>
      <c r="D312" s="2653"/>
      <c r="E312" s="2654"/>
      <c r="F312" s="2655"/>
      <c r="G312" s="2656"/>
      <c r="H312" s="2656"/>
      <c r="I312" s="2656"/>
      <c r="J312" s="2656"/>
      <c r="K312" s="2656"/>
      <c r="L312" s="2657"/>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2651"/>
      <c r="C313" s="2652"/>
      <c r="D313" s="2653"/>
      <c r="E313" s="2654"/>
      <c r="F313" s="2655"/>
      <c r="G313" s="2656"/>
      <c r="H313" s="2656"/>
      <c r="I313" s="2656"/>
      <c r="J313" s="2656"/>
      <c r="K313" s="2656"/>
      <c r="L313" s="2657"/>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2651"/>
      <c r="C314" s="2652"/>
      <c r="D314" s="2653"/>
      <c r="E314" s="2654"/>
      <c r="F314" s="2655"/>
      <c r="G314" s="2656"/>
      <c r="H314" s="2656"/>
      <c r="I314" s="2656"/>
      <c r="J314" s="2656"/>
      <c r="K314" s="2656"/>
      <c r="L314" s="2657"/>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2651"/>
      <c r="C315" s="2652"/>
      <c r="D315" s="2653"/>
      <c r="E315" s="2654"/>
      <c r="F315" s="2655"/>
      <c r="G315" s="2656"/>
      <c r="H315" s="2656"/>
      <c r="I315" s="2656"/>
      <c r="J315" s="2656"/>
      <c r="K315" s="2656"/>
      <c r="L315" s="2657"/>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2651"/>
      <c r="C316" s="2652"/>
      <c r="D316" s="2653"/>
      <c r="E316" s="2654"/>
      <c r="F316" s="2655"/>
      <c r="G316" s="2656"/>
      <c r="H316" s="2656"/>
      <c r="I316" s="2656"/>
      <c r="J316" s="2656"/>
      <c r="K316" s="2656"/>
      <c r="L316" s="2657"/>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2651"/>
      <c r="C317" s="2652"/>
      <c r="D317" s="2653"/>
      <c r="E317" s="2654"/>
      <c r="F317" s="2655"/>
      <c r="G317" s="2656"/>
      <c r="H317" s="2656"/>
      <c r="I317" s="2656"/>
      <c r="J317" s="2656"/>
      <c r="K317" s="2656"/>
      <c r="L317" s="2657"/>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2651"/>
      <c r="C318" s="2652"/>
      <c r="D318" s="2653"/>
      <c r="E318" s="2654"/>
      <c r="F318" s="2655"/>
      <c r="G318" s="2656"/>
      <c r="H318" s="2656"/>
      <c r="I318" s="2656"/>
      <c r="J318" s="2656"/>
      <c r="K318" s="2656"/>
      <c r="L318" s="2657"/>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2651"/>
      <c r="C319" s="2652"/>
      <c r="D319" s="2653"/>
      <c r="E319" s="2654"/>
      <c r="F319" s="2655"/>
      <c r="G319" s="2656"/>
      <c r="H319" s="2656"/>
      <c r="I319" s="2656"/>
      <c r="J319" s="2656"/>
      <c r="K319" s="2656"/>
      <c r="L319" s="2657"/>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2651"/>
      <c r="C320" s="2652"/>
      <c r="D320" s="2653"/>
      <c r="E320" s="2654"/>
      <c r="F320" s="2655"/>
      <c r="G320" s="2656"/>
      <c r="H320" s="2656"/>
      <c r="I320" s="2656"/>
      <c r="J320" s="2656"/>
      <c r="K320" s="2656"/>
      <c r="L320" s="2657"/>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2651"/>
      <c r="C321" s="2652"/>
      <c r="D321" s="2653"/>
      <c r="E321" s="2654"/>
      <c r="F321" s="2655"/>
      <c r="G321" s="2656"/>
      <c r="H321" s="2656"/>
      <c r="I321" s="2656"/>
      <c r="J321" s="2656"/>
      <c r="K321" s="2656"/>
      <c r="L321" s="2657"/>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2651"/>
      <c r="C322" s="2652"/>
      <c r="D322" s="2653"/>
      <c r="E322" s="2654"/>
      <c r="F322" s="2655"/>
      <c r="G322" s="2656"/>
      <c r="H322" s="2656"/>
      <c r="I322" s="2656"/>
      <c r="J322" s="2656"/>
      <c r="K322" s="2656"/>
      <c r="L322" s="2657"/>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2651"/>
      <c r="C323" s="2652"/>
      <c r="D323" s="2653"/>
      <c r="E323" s="2654"/>
      <c r="F323" s="2655"/>
      <c r="G323" s="2656"/>
      <c r="H323" s="2656"/>
      <c r="I323" s="2656"/>
      <c r="J323" s="2656"/>
      <c r="K323" s="2656"/>
      <c r="L323" s="2657"/>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2651"/>
      <c r="C324" s="2652"/>
      <c r="D324" s="2653"/>
      <c r="E324" s="2654"/>
      <c r="F324" s="2655"/>
      <c r="G324" s="2656"/>
      <c r="H324" s="2656"/>
      <c r="I324" s="2656"/>
      <c r="J324" s="2656"/>
      <c r="K324" s="2656"/>
      <c r="L324" s="2657"/>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2651"/>
      <c r="C325" s="2652"/>
      <c r="D325" s="2653"/>
      <c r="E325" s="2654"/>
      <c r="F325" s="2655"/>
      <c r="G325" s="2656"/>
      <c r="H325" s="2656"/>
      <c r="I325" s="2656"/>
      <c r="J325" s="2656"/>
      <c r="K325" s="2656"/>
      <c r="L325" s="2657"/>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2651"/>
      <c r="C326" s="2652"/>
      <c r="D326" s="2653"/>
      <c r="E326" s="2654"/>
      <c r="F326" s="2655"/>
      <c r="G326" s="2656"/>
      <c r="H326" s="2656"/>
      <c r="I326" s="2656"/>
      <c r="J326" s="2656"/>
      <c r="K326" s="2656"/>
      <c r="L326" s="2657"/>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2651"/>
      <c r="C327" s="2652"/>
      <c r="D327" s="2653"/>
      <c r="E327" s="2654"/>
      <c r="F327" s="2655"/>
      <c r="G327" s="2656"/>
      <c r="H327" s="2656"/>
      <c r="I327" s="2656"/>
      <c r="J327" s="2656"/>
      <c r="K327" s="2656"/>
      <c r="L327" s="2657"/>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2651"/>
      <c r="C328" s="2652"/>
      <c r="D328" s="2653"/>
      <c r="E328" s="2654"/>
      <c r="F328" s="2655"/>
      <c r="G328" s="2656"/>
      <c r="H328" s="2656"/>
      <c r="I328" s="2656"/>
      <c r="J328" s="2656"/>
      <c r="K328" s="2656"/>
      <c r="L328" s="2657"/>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2651"/>
      <c r="C329" s="2652"/>
      <c r="D329" s="2653"/>
      <c r="E329" s="2654"/>
      <c r="F329" s="2655"/>
      <c r="G329" s="2656"/>
      <c r="H329" s="2656"/>
      <c r="I329" s="2656"/>
      <c r="J329" s="2656"/>
      <c r="K329" s="2656"/>
      <c r="L329" s="2657"/>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2651"/>
      <c r="C330" s="2652"/>
      <c r="D330" s="2653"/>
      <c r="E330" s="2654"/>
      <c r="F330" s="2655"/>
      <c r="G330" s="2656"/>
      <c r="H330" s="2656"/>
      <c r="I330" s="2656"/>
      <c r="J330" s="2656"/>
      <c r="K330" s="2656"/>
      <c r="L330" s="2657"/>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2651"/>
      <c r="C331" s="2652"/>
      <c r="D331" s="2653"/>
      <c r="E331" s="2654"/>
      <c r="F331" s="2655"/>
      <c r="G331" s="2656"/>
      <c r="H331" s="2656"/>
      <c r="I331" s="2656"/>
      <c r="J331" s="2656"/>
      <c r="K331" s="2656"/>
      <c r="L331" s="2657"/>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2651"/>
      <c r="C332" s="2652"/>
      <c r="D332" s="2653"/>
      <c r="E332" s="2654"/>
      <c r="F332" s="2655"/>
      <c r="G332" s="2656"/>
      <c r="H332" s="2656"/>
      <c r="I332" s="2656"/>
      <c r="J332" s="2656"/>
      <c r="K332" s="2656"/>
      <c r="L332" s="2657"/>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2651"/>
      <c r="C333" s="2652"/>
      <c r="D333" s="2653"/>
      <c r="E333" s="2654"/>
      <c r="F333" s="2655"/>
      <c r="G333" s="2656"/>
      <c r="H333" s="2656"/>
      <c r="I333" s="2656"/>
      <c r="J333" s="2656"/>
      <c r="K333" s="2656"/>
      <c r="L333" s="2657"/>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2651"/>
      <c r="C334" s="2652"/>
      <c r="D334" s="2653"/>
      <c r="E334" s="2654"/>
      <c r="F334" s="2655"/>
      <c r="G334" s="2656"/>
      <c r="H334" s="2656"/>
      <c r="I334" s="2656"/>
      <c r="J334" s="2656"/>
      <c r="K334" s="2656"/>
      <c r="L334" s="2657"/>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2651"/>
      <c r="C335" s="2652"/>
      <c r="D335" s="2653"/>
      <c r="E335" s="2654"/>
      <c r="F335" s="2655"/>
      <c r="G335" s="2656"/>
      <c r="H335" s="2656"/>
      <c r="I335" s="2656"/>
      <c r="J335" s="2656"/>
      <c r="K335" s="2656"/>
      <c r="L335" s="2657"/>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2651"/>
      <c r="C336" s="2652"/>
      <c r="D336" s="2653"/>
      <c r="E336" s="2654"/>
      <c r="F336" s="2655"/>
      <c r="G336" s="2656"/>
      <c r="H336" s="2656"/>
      <c r="I336" s="2656"/>
      <c r="J336" s="2656"/>
      <c r="K336" s="2656"/>
      <c r="L336" s="2657"/>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2651"/>
      <c r="C337" s="2652"/>
      <c r="D337" s="2653"/>
      <c r="E337" s="2654"/>
      <c r="F337" s="2655"/>
      <c r="G337" s="2656"/>
      <c r="H337" s="2656"/>
      <c r="I337" s="2656"/>
      <c r="J337" s="2656"/>
      <c r="K337" s="2656"/>
      <c r="L337" s="2657"/>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2651"/>
      <c r="C338" s="2652"/>
      <c r="D338" s="2653"/>
      <c r="E338" s="2654"/>
      <c r="F338" s="2655"/>
      <c r="G338" s="2656"/>
      <c r="H338" s="2656"/>
      <c r="I338" s="2656"/>
      <c r="J338" s="2656"/>
      <c r="K338" s="2656"/>
      <c r="L338" s="2657"/>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2651"/>
      <c r="C339" s="2652"/>
      <c r="D339" s="2653"/>
      <c r="E339" s="2654"/>
      <c r="F339" s="2655"/>
      <c r="G339" s="2656"/>
      <c r="H339" s="2656"/>
      <c r="I339" s="2656"/>
      <c r="J339" s="2656"/>
      <c r="K339" s="2656"/>
      <c r="L339" s="2657"/>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2651"/>
      <c r="C340" s="2652"/>
      <c r="D340" s="2653"/>
      <c r="E340" s="2654"/>
      <c r="F340" s="2655"/>
      <c r="G340" s="2656"/>
      <c r="H340" s="2656"/>
      <c r="I340" s="2656"/>
      <c r="J340" s="2656"/>
      <c r="K340" s="2656"/>
      <c r="L340" s="2657"/>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2651"/>
      <c r="C341" s="2652"/>
      <c r="D341" s="2653"/>
      <c r="E341" s="2654"/>
      <c r="F341" s="2655"/>
      <c r="G341" s="2656"/>
      <c r="H341" s="2656"/>
      <c r="I341" s="2656"/>
      <c r="J341" s="2656"/>
      <c r="K341" s="2656"/>
      <c r="L341" s="2657"/>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2651"/>
      <c r="C342" s="2652"/>
      <c r="D342" s="2653"/>
      <c r="E342" s="2654"/>
      <c r="F342" s="2655"/>
      <c r="G342" s="2656"/>
      <c r="H342" s="2656"/>
      <c r="I342" s="2656"/>
      <c r="J342" s="2656"/>
      <c r="K342" s="2656"/>
      <c r="L342" s="2657"/>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2651"/>
      <c r="C343" s="2652"/>
      <c r="D343" s="2653"/>
      <c r="E343" s="2654"/>
      <c r="F343" s="2655"/>
      <c r="G343" s="2656"/>
      <c r="H343" s="2656"/>
      <c r="I343" s="2656"/>
      <c r="J343" s="2656"/>
      <c r="K343" s="2656"/>
      <c r="L343" s="2657"/>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2651"/>
      <c r="C344" s="2652"/>
      <c r="D344" s="2653"/>
      <c r="E344" s="2654"/>
      <c r="F344" s="2655"/>
      <c r="G344" s="2656"/>
      <c r="H344" s="2656"/>
      <c r="I344" s="2656"/>
      <c r="J344" s="2656"/>
      <c r="K344" s="2656"/>
      <c r="L344" s="2657"/>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2651"/>
      <c r="C345" s="2652"/>
      <c r="D345" s="2653"/>
      <c r="E345" s="2654"/>
      <c r="F345" s="2655"/>
      <c r="G345" s="2656"/>
      <c r="H345" s="2656"/>
      <c r="I345" s="2656"/>
      <c r="J345" s="2656"/>
      <c r="K345" s="2656"/>
      <c r="L345" s="2657"/>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2651"/>
      <c r="C346" s="2652"/>
      <c r="D346" s="2653"/>
      <c r="E346" s="2654"/>
      <c r="F346" s="2655"/>
      <c r="G346" s="2656"/>
      <c r="H346" s="2656"/>
      <c r="I346" s="2656"/>
      <c r="J346" s="2656"/>
      <c r="K346" s="2656"/>
      <c r="L346" s="2657"/>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2651"/>
      <c r="C347" s="2652"/>
      <c r="D347" s="2653"/>
      <c r="E347" s="2654"/>
      <c r="F347" s="2655"/>
      <c r="G347" s="2656"/>
      <c r="H347" s="2656"/>
      <c r="I347" s="2656"/>
      <c r="J347" s="2656"/>
      <c r="K347" s="2656"/>
      <c r="L347" s="2657"/>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2651"/>
      <c r="C348" s="2652"/>
      <c r="D348" s="2653"/>
      <c r="E348" s="2654"/>
      <c r="F348" s="2655"/>
      <c r="G348" s="2656"/>
      <c r="H348" s="2656"/>
      <c r="I348" s="2656"/>
      <c r="J348" s="2656"/>
      <c r="K348" s="2656"/>
      <c r="L348" s="2657"/>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2651"/>
      <c r="C349" s="2652"/>
      <c r="D349" s="2653"/>
      <c r="E349" s="2654"/>
      <c r="F349" s="2655"/>
      <c r="G349" s="2656"/>
      <c r="H349" s="2656"/>
      <c r="I349" s="2656"/>
      <c r="J349" s="2656"/>
      <c r="K349" s="2656"/>
      <c r="L349" s="2657"/>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2651"/>
      <c r="C350" s="2652"/>
      <c r="D350" s="2653"/>
      <c r="E350" s="2654"/>
      <c r="F350" s="2655"/>
      <c r="G350" s="2656"/>
      <c r="H350" s="2656"/>
      <c r="I350" s="2656"/>
      <c r="J350" s="2656"/>
      <c r="K350" s="2656"/>
      <c r="L350" s="2657"/>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2651"/>
      <c r="C351" s="2652"/>
      <c r="D351" s="2653"/>
      <c r="E351" s="2654"/>
      <c r="F351" s="2655"/>
      <c r="G351" s="2656"/>
      <c r="H351" s="2656"/>
      <c r="I351" s="2656"/>
      <c r="J351" s="2656"/>
      <c r="K351" s="2656"/>
      <c r="L351" s="2657"/>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2651"/>
      <c r="C352" s="2652"/>
      <c r="D352" s="2653"/>
      <c r="E352" s="2654"/>
      <c r="F352" s="2655"/>
      <c r="G352" s="2656"/>
      <c r="H352" s="2656"/>
      <c r="I352" s="2656"/>
      <c r="J352" s="2656"/>
      <c r="K352" s="2656"/>
      <c r="L352" s="2657"/>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2651"/>
      <c r="C353" s="2652"/>
      <c r="D353" s="2653"/>
      <c r="E353" s="2654"/>
      <c r="F353" s="2655"/>
      <c r="G353" s="2656"/>
      <c r="H353" s="2656"/>
      <c r="I353" s="2656"/>
      <c r="J353" s="2656"/>
      <c r="K353" s="2656"/>
      <c r="L353" s="2657"/>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2651"/>
      <c r="C354" s="2652"/>
      <c r="D354" s="2653"/>
      <c r="E354" s="2654"/>
      <c r="F354" s="2655"/>
      <c r="G354" s="2656"/>
      <c r="H354" s="2656"/>
      <c r="I354" s="2656"/>
      <c r="J354" s="2656"/>
      <c r="K354" s="2656"/>
      <c r="L354" s="2657"/>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2651"/>
      <c r="C355" s="2652"/>
      <c r="D355" s="2653"/>
      <c r="E355" s="2654"/>
      <c r="F355" s="2655"/>
      <c r="G355" s="2656"/>
      <c r="H355" s="2656"/>
      <c r="I355" s="2656"/>
      <c r="J355" s="2656"/>
      <c r="K355" s="2656"/>
      <c r="L355" s="2657"/>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2651"/>
      <c r="C356" s="2652"/>
      <c r="D356" s="2653"/>
      <c r="E356" s="2654"/>
      <c r="F356" s="2655"/>
      <c r="G356" s="2656"/>
      <c r="H356" s="2656"/>
      <c r="I356" s="2656"/>
      <c r="J356" s="2656"/>
      <c r="K356" s="2656"/>
      <c r="L356" s="2657"/>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2651"/>
      <c r="C357" s="2652"/>
      <c r="D357" s="2653"/>
      <c r="E357" s="2654"/>
      <c r="F357" s="2655"/>
      <c r="G357" s="2656"/>
      <c r="H357" s="2656"/>
      <c r="I357" s="2656"/>
      <c r="J357" s="2656"/>
      <c r="K357" s="2656"/>
      <c r="L357" s="2657"/>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2651"/>
      <c r="C358" s="2652"/>
      <c r="D358" s="2653"/>
      <c r="E358" s="2654"/>
      <c r="F358" s="2655"/>
      <c r="G358" s="2656"/>
      <c r="H358" s="2656"/>
      <c r="I358" s="2656"/>
      <c r="J358" s="2656"/>
      <c r="K358" s="2656"/>
      <c r="L358" s="2657"/>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2651"/>
      <c r="C359" s="2652"/>
      <c r="D359" s="2653"/>
      <c r="E359" s="2654"/>
      <c r="F359" s="2655"/>
      <c r="G359" s="2656"/>
      <c r="H359" s="2656"/>
      <c r="I359" s="2656"/>
      <c r="J359" s="2656"/>
      <c r="K359" s="2656"/>
      <c r="L359" s="2657"/>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2651"/>
      <c r="C360" s="2652"/>
      <c r="D360" s="2653"/>
      <c r="E360" s="2654"/>
      <c r="F360" s="2655"/>
      <c r="G360" s="2656"/>
      <c r="H360" s="2656"/>
      <c r="I360" s="2656"/>
      <c r="J360" s="2656"/>
      <c r="K360" s="2656"/>
      <c r="L360" s="2657"/>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2651"/>
      <c r="C361" s="2652"/>
      <c r="D361" s="2653"/>
      <c r="E361" s="2654"/>
      <c r="F361" s="2655"/>
      <c r="G361" s="2656"/>
      <c r="H361" s="2656"/>
      <c r="I361" s="2656"/>
      <c r="J361" s="2656"/>
      <c r="K361" s="2656"/>
      <c r="L361" s="2657"/>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2651"/>
      <c r="C362" s="2652"/>
      <c r="D362" s="2653"/>
      <c r="E362" s="2654"/>
      <c r="F362" s="2655"/>
      <c r="G362" s="2656"/>
      <c r="H362" s="2656"/>
      <c r="I362" s="2656"/>
      <c r="J362" s="2656"/>
      <c r="K362" s="2656"/>
      <c r="L362" s="2657"/>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2651"/>
      <c r="C363" s="2652"/>
      <c r="D363" s="2653"/>
      <c r="E363" s="2654"/>
      <c r="F363" s="2655"/>
      <c r="G363" s="2656"/>
      <c r="H363" s="2656"/>
      <c r="I363" s="2656"/>
      <c r="J363" s="2656"/>
      <c r="K363" s="2656"/>
      <c r="L363" s="2657"/>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2651"/>
      <c r="C364" s="2652"/>
      <c r="D364" s="2653"/>
      <c r="E364" s="2654"/>
      <c r="F364" s="2655"/>
      <c r="G364" s="2656"/>
      <c r="H364" s="2656"/>
      <c r="I364" s="2656"/>
      <c r="J364" s="2656"/>
      <c r="K364" s="2656"/>
      <c r="L364" s="2657"/>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2651"/>
      <c r="C365" s="2652"/>
      <c r="D365" s="2653"/>
      <c r="E365" s="2654"/>
      <c r="F365" s="2655"/>
      <c r="G365" s="2656"/>
      <c r="H365" s="2656"/>
      <c r="I365" s="2656"/>
      <c r="J365" s="2656"/>
      <c r="K365" s="2656"/>
      <c r="L365" s="2657"/>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2651"/>
      <c r="C366" s="2652"/>
      <c r="D366" s="2653"/>
      <c r="E366" s="2654"/>
      <c r="F366" s="2655"/>
      <c r="G366" s="2656"/>
      <c r="H366" s="2656"/>
      <c r="I366" s="2656"/>
      <c r="J366" s="2656"/>
      <c r="K366" s="2656"/>
      <c r="L366" s="2657"/>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2651"/>
      <c r="C367" s="2652"/>
      <c r="D367" s="2653"/>
      <c r="E367" s="2654"/>
      <c r="F367" s="2655"/>
      <c r="G367" s="2656"/>
      <c r="H367" s="2656"/>
      <c r="I367" s="2656"/>
      <c r="J367" s="2656"/>
      <c r="K367" s="2656"/>
      <c r="L367" s="2657"/>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2651"/>
      <c r="C368" s="2652"/>
      <c r="D368" s="2653"/>
      <c r="E368" s="2654"/>
      <c r="F368" s="2655"/>
      <c r="G368" s="2656"/>
      <c r="H368" s="2656"/>
      <c r="I368" s="2656"/>
      <c r="J368" s="2656"/>
      <c r="K368" s="2656"/>
      <c r="L368" s="2657"/>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2651"/>
      <c r="C369" s="2652"/>
      <c r="D369" s="2653"/>
      <c r="E369" s="2654"/>
      <c r="F369" s="2655"/>
      <c r="G369" s="2656"/>
      <c r="H369" s="2656"/>
      <c r="I369" s="2656"/>
      <c r="J369" s="2656"/>
      <c r="K369" s="2656"/>
      <c r="L369" s="2657"/>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2651"/>
      <c r="C370" s="2652"/>
      <c r="D370" s="2653"/>
      <c r="E370" s="2654"/>
      <c r="F370" s="2655"/>
      <c r="G370" s="2656"/>
      <c r="H370" s="2656"/>
      <c r="I370" s="2656"/>
      <c r="J370" s="2656"/>
      <c r="K370" s="2656"/>
      <c r="L370" s="2657"/>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2651"/>
      <c r="C371" s="2652"/>
      <c r="D371" s="2653"/>
      <c r="E371" s="2654"/>
      <c r="F371" s="2655"/>
      <c r="G371" s="2656"/>
      <c r="H371" s="2656"/>
      <c r="I371" s="2656"/>
      <c r="J371" s="2656"/>
      <c r="K371" s="2656"/>
      <c r="L371" s="2657"/>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2651"/>
      <c r="C372" s="2652"/>
      <c r="D372" s="2653"/>
      <c r="E372" s="2654"/>
      <c r="F372" s="2655"/>
      <c r="G372" s="2656"/>
      <c r="H372" s="2656"/>
      <c r="I372" s="2656"/>
      <c r="J372" s="2656"/>
      <c r="K372" s="2656"/>
      <c r="L372" s="2657"/>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2651"/>
      <c r="C373" s="2652"/>
      <c r="D373" s="2653"/>
      <c r="E373" s="2654"/>
      <c r="F373" s="2655"/>
      <c r="G373" s="2656"/>
      <c r="H373" s="2656"/>
      <c r="I373" s="2656"/>
      <c r="J373" s="2656"/>
      <c r="K373" s="2656"/>
      <c r="L373" s="2657"/>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2651"/>
      <c r="C374" s="2652"/>
      <c r="D374" s="2653"/>
      <c r="E374" s="2654"/>
      <c r="F374" s="2655"/>
      <c r="G374" s="2656"/>
      <c r="H374" s="2656"/>
      <c r="I374" s="2656"/>
      <c r="J374" s="2656"/>
      <c r="K374" s="2656"/>
      <c r="L374" s="2657"/>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2651"/>
      <c r="C375" s="2652"/>
      <c r="D375" s="2653"/>
      <c r="E375" s="2654"/>
      <c r="F375" s="2655"/>
      <c r="G375" s="2656"/>
      <c r="H375" s="2656"/>
      <c r="I375" s="2656"/>
      <c r="J375" s="2656"/>
      <c r="K375" s="2656"/>
      <c r="L375" s="2657"/>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2651"/>
      <c r="C376" s="2652"/>
      <c r="D376" s="2653"/>
      <c r="E376" s="2654"/>
      <c r="F376" s="2655"/>
      <c r="G376" s="2656"/>
      <c r="H376" s="2656"/>
      <c r="I376" s="2656"/>
      <c r="J376" s="2656"/>
      <c r="K376" s="2656"/>
      <c r="L376" s="2657"/>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2651"/>
      <c r="C377" s="2652"/>
      <c r="D377" s="2653"/>
      <c r="E377" s="2654"/>
      <c r="F377" s="2655"/>
      <c r="G377" s="2656"/>
      <c r="H377" s="2656"/>
      <c r="I377" s="2656"/>
      <c r="J377" s="2656"/>
      <c r="K377" s="2656"/>
      <c r="L377" s="2657"/>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2651"/>
      <c r="C378" s="2652"/>
      <c r="D378" s="2653"/>
      <c r="E378" s="2654"/>
      <c r="F378" s="2655"/>
      <c r="G378" s="2656"/>
      <c r="H378" s="2656"/>
      <c r="I378" s="2656"/>
      <c r="J378" s="2656"/>
      <c r="K378" s="2656"/>
      <c r="L378" s="2657"/>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2651"/>
      <c r="C379" s="2652"/>
      <c r="D379" s="2653"/>
      <c r="E379" s="2654"/>
      <c r="F379" s="2655"/>
      <c r="G379" s="2656"/>
      <c r="H379" s="2656"/>
      <c r="I379" s="2656"/>
      <c r="J379" s="2656"/>
      <c r="K379" s="2656"/>
      <c r="L379" s="2657"/>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2651"/>
      <c r="C380" s="2652"/>
      <c r="D380" s="2653"/>
      <c r="E380" s="2654"/>
      <c r="F380" s="2655"/>
      <c r="G380" s="2656"/>
      <c r="H380" s="2656"/>
      <c r="I380" s="2656"/>
      <c r="J380" s="2656"/>
      <c r="K380" s="2656"/>
      <c r="L380" s="2657"/>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2651"/>
      <c r="C381" s="2652"/>
      <c r="D381" s="2653"/>
      <c r="E381" s="2654"/>
      <c r="F381" s="2655"/>
      <c r="G381" s="2656"/>
      <c r="H381" s="2656"/>
      <c r="I381" s="2656"/>
      <c r="J381" s="2656"/>
      <c r="K381" s="2656"/>
      <c r="L381" s="2657"/>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2651"/>
      <c r="C382" s="2652"/>
      <c r="D382" s="2653"/>
      <c r="E382" s="2654"/>
      <c r="F382" s="2655"/>
      <c r="G382" s="2656"/>
      <c r="H382" s="2656"/>
      <c r="I382" s="2656"/>
      <c r="J382" s="2656"/>
      <c r="K382" s="2656"/>
      <c r="L382" s="2657"/>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2651"/>
      <c r="C383" s="2652"/>
      <c r="D383" s="2653"/>
      <c r="E383" s="2654"/>
      <c r="F383" s="2655"/>
      <c r="G383" s="2656"/>
      <c r="H383" s="2656"/>
      <c r="I383" s="2656"/>
      <c r="J383" s="2656"/>
      <c r="K383" s="2656"/>
      <c r="L383" s="2657"/>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2651"/>
      <c r="C384" s="2652"/>
      <c r="D384" s="2653"/>
      <c r="E384" s="2654"/>
      <c r="F384" s="2655"/>
      <c r="G384" s="2656"/>
      <c r="H384" s="2656"/>
      <c r="I384" s="2656"/>
      <c r="J384" s="2656"/>
      <c r="K384" s="2656"/>
      <c r="L384" s="2657"/>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2651"/>
      <c r="C385" s="2652"/>
      <c r="D385" s="2653"/>
      <c r="E385" s="2654"/>
      <c r="F385" s="2655"/>
      <c r="G385" s="2656"/>
      <c r="H385" s="2656"/>
      <c r="I385" s="2656"/>
      <c r="J385" s="2656"/>
      <c r="K385" s="2656"/>
      <c r="L385" s="2657"/>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2651"/>
      <c r="C386" s="2652"/>
      <c r="D386" s="2653"/>
      <c r="E386" s="2654"/>
      <c r="F386" s="2655"/>
      <c r="G386" s="2656"/>
      <c r="H386" s="2656"/>
      <c r="I386" s="2656"/>
      <c r="J386" s="2656"/>
      <c r="K386" s="2656"/>
      <c r="L386" s="2657"/>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2651"/>
      <c r="C387" s="2652"/>
      <c r="D387" s="2653"/>
      <c r="E387" s="2654"/>
      <c r="F387" s="2655"/>
      <c r="G387" s="2656"/>
      <c r="H387" s="2656"/>
      <c r="I387" s="2656"/>
      <c r="J387" s="2656"/>
      <c r="K387" s="2656"/>
      <c r="L387" s="2657"/>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2651"/>
      <c r="C388" s="2652"/>
      <c r="D388" s="2653"/>
      <c r="E388" s="2654"/>
      <c r="F388" s="2655"/>
      <c r="G388" s="2656"/>
      <c r="H388" s="2656"/>
      <c r="I388" s="2656"/>
      <c r="J388" s="2656"/>
      <c r="K388" s="2656"/>
      <c r="L388" s="2657"/>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2651"/>
      <c r="C389" s="2652"/>
      <c r="D389" s="2653"/>
      <c r="E389" s="2654"/>
      <c r="F389" s="2655"/>
      <c r="G389" s="2656"/>
      <c r="H389" s="2656"/>
      <c r="I389" s="2656"/>
      <c r="J389" s="2656"/>
      <c r="K389" s="2656"/>
      <c r="L389" s="2657"/>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2651"/>
      <c r="C390" s="2652"/>
      <c r="D390" s="2653"/>
      <c r="E390" s="2654"/>
      <c r="F390" s="2655"/>
      <c r="G390" s="2656"/>
      <c r="H390" s="2656"/>
      <c r="I390" s="2656"/>
      <c r="J390" s="2656"/>
      <c r="K390" s="2656"/>
      <c r="L390" s="2657"/>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2651"/>
      <c r="C391" s="2652"/>
      <c r="D391" s="2653"/>
      <c r="E391" s="2654"/>
      <c r="F391" s="2655"/>
      <c r="G391" s="2656"/>
      <c r="H391" s="2656"/>
      <c r="I391" s="2656"/>
      <c r="J391" s="2656"/>
      <c r="K391" s="2656"/>
      <c r="L391" s="2657"/>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2651"/>
      <c r="C392" s="2652"/>
      <c r="D392" s="2653"/>
      <c r="E392" s="2654"/>
      <c r="F392" s="2655"/>
      <c r="G392" s="2656"/>
      <c r="H392" s="2656"/>
      <c r="I392" s="2656"/>
      <c r="J392" s="2656"/>
      <c r="K392" s="2656"/>
      <c r="L392" s="2657"/>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2651"/>
      <c r="C393" s="2652"/>
      <c r="D393" s="2653"/>
      <c r="E393" s="2654"/>
      <c r="F393" s="2655"/>
      <c r="G393" s="2656"/>
      <c r="H393" s="2656"/>
      <c r="I393" s="2656"/>
      <c r="J393" s="2656"/>
      <c r="K393" s="2656"/>
      <c r="L393" s="2657"/>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2651"/>
      <c r="C394" s="2652"/>
      <c r="D394" s="2653"/>
      <c r="E394" s="2654"/>
      <c r="F394" s="2655"/>
      <c r="G394" s="2656"/>
      <c r="H394" s="2656"/>
      <c r="I394" s="2656"/>
      <c r="J394" s="2656"/>
      <c r="K394" s="2656"/>
      <c r="L394" s="2657"/>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2651"/>
      <c r="C395" s="2652"/>
      <c r="D395" s="2653"/>
      <c r="E395" s="2654"/>
      <c r="F395" s="2655"/>
      <c r="G395" s="2656"/>
      <c r="H395" s="2656"/>
      <c r="I395" s="2656"/>
      <c r="J395" s="2656"/>
      <c r="K395" s="2656"/>
      <c r="L395" s="2657"/>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2651"/>
      <c r="C396" s="2652"/>
      <c r="D396" s="2653"/>
      <c r="E396" s="2654"/>
      <c r="F396" s="2655"/>
      <c r="G396" s="2656"/>
      <c r="H396" s="2656"/>
      <c r="I396" s="2656"/>
      <c r="J396" s="2656"/>
      <c r="K396" s="2656"/>
      <c r="L396" s="2657"/>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2651"/>
      <c r="C397" s="2652"/>
      <c r="D397" s="2653"/>
      <c r="E397" s="2654"/>
      <c r="F397" s="2655"/>
      <c r="G397" s="2656"/>
      <c r="H397" s="2656"/>
      <c r="I397" s="2656"/>
      <c r="J397" s="2656"/>
      <c r="K397" s="2656"/>
      <c r="L397" s="2657"/>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2651"/>
      <c r="C398" s="2652"/>
      <c r="D398" s="2653"/>
      <c r="E398" s="2654"/>
      <c r="F398" s="2655"/>
      <c r="G398" s="2656"/>
      <c r="H398" s="2656"/>
      <c r="I398" s="2656"/>
      <c r="J398" s="2656"/>
      <c r="K398" s="2656"/>
      <c r="L398" s="2657"/>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2651"/>
      <c r="C399" s="2652"/>
      <c r="D399" s="2653"/>
      <c r="E399" s="2654"/>
      <c r="F399" s="2655"/>
      <c r="G399" s="2656"/>
      <c r="H399" s="2656"/>
      <c r="I399" s="2656"/>
      <c r="J399" s="2656"/>
      <c r="K399" s="2656"/>
      <c r="L399" s="2657"/>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2651"/>
      <c r="C400" s="2652"/>
      <c r="D400" s="2653"/>
      <c r="E400" s="2654"/>
      <c r="F400" s="2655"/>
      <c r="G400" s="2656"/>
      <c r="H400" s="2656"/>
      <c r="I400" s="2656"/>
      <c r="J400" s="2656"/>
      <c r="K400" s="2656"/>
      <c r="L400" s="2657"/>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2651"/>
      <c r="C401" s="2652"/>
      <c r="D401" s="2653"/>
      <c r="E401" s="2654"/>
      <c r="F401" s="2655"/>
      <c r="G401" s="2656"/>
      <c r="H401" s="2656"/>
      <c r="I401" s="2656"/>
      <c r="J401" s="2656"/>
      <c r="K401" s="2656"/>
      <c r="L401" s="2657"/>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2651"/>
      <c r="C402" s="2652"/>
      <c r="D402" s="2653"/>
      <c r="E402" s="2654"/>
      <c r="F402" s="2655"/>
      <c r="G402" s="2656"/>
      <c r="H402" s="2656"/>
      <c r="I402" s="2656"/>
      <c r="J402" s="2656"/>
      <c r="K402" s="2656"/>
      <c r="L402" s="2657"/>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2651"/>
      <c r="C403" s="2652"/>
      <c r="D403" s="2653"/>
      <c r="E403" s="2654"/>
      <c r="F403" s="2655"/>
      <c r="G403" s="2656"/>
      <c r="H403" s="2656"/>
      <c r="I403" s="2656"/>
      <c r="J403" s="2656"/>
      <c r="K403" s="2656"/>
      <c r="L403" s="2657"/>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2651"/>
      <c r="C404" s="2652"/>
      <c r="D404" s="2653"/>
      <c r="E404" s="2654"/>
      <c r="F404" s="2655"/>
      <c r="G404" s="2656"/>
      <c r="H404" s="2656"/>
      <c r="I404" s="2656"/>
      <c r="J404" s="2656"/>
      <c r="K404" s="2656"/>
      <c r="L404" s="2657"/>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2651"/>
      <c r="C405" s="2652"/>
      <c r="D405" s="2653"/>
      <c r="E405" s="2654"/>
      <c r="F405" s="2655"/>
      <c r="G405" s="2656"/>
      <c r="H405" s="2656"/>
      <c r="I405" s="2656"/>
      <c r="J405" s="2656"/>
      <c r="K405" s="2656"/>
      <c r="L405" s="2657"/>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2651"/>
      <c r="C406" s="2652"/>
      <c r="D406" s="2653"/>
      <c r="E406" s="2654"/>
      <c r="F406" s="2655"/>
      <c r="G406" s="2656"/>
      <c r="H406" s="2656"/>
      <c r="I406" s="2656"/>
      <c r="J406" s="2656"/>
      <c r="K406" s="2656"/>
      <c r="L406" s="2657"/>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2651"/>
      <c r="C407" s="2652"/>
      <c r="D407" s="2653"/>
      <c r="E407" s="2654"/>
      <c r="F407" s="2655"/>
      <c r="G407" s="2656"/>
      <c r="H407" s="2656"/>
      <c r="I407" s="2656"/>
      <c r="J407" s="2656"/>
      <c r="K407" s="2656"/>
      <c r="L407" s="2657"/>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2651"/>
      <c r="C408" s="2652"/>
      <c r="D408" s="2653"/>
      <c r="E408" s="2654"/>
      <c r="F408" s="2655"/>
      <c r="G408" s="2656"/>
      <c r="H408" s="2656"/>
      <c r="I408" s="2656"/>
      <c r="J408" s="2656"/>
      <c r="K408" s="2656"/>
      <c r="L408" s="2657"/>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2651"/>
      <c r="C409" s="2652"/>
      <c r="D409" s="2653"/>
      <c r="E409" s="2654"/>
      <c r="F409" s="2655"/>
      <c r="G409" s="2656"/>
      <c r="H409" s="2656"/>
      <c r="I409" s="2656"/>
      <c r="J409" s="2656"/>
      <c r="K409" s="2656"/>
      <c r="L409" s="2657"/>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2651"/>
      <c r="C410" s="2652"/>
      <c r="D410" s="2653"/>
      <c r="E410" s="2654"/>
      <c r="F410" s="2655"/>
      <c r="G410" s="2656"/>
      <c r="H410" s="2656"/>
      <c r="I410" s="2656"/>
      <c r="J410" s="2656"/>
      <c r="K410" s="2656"/>
      <c r="L410" s="2657"/>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2651"/>
      <c r="C411" s="2652"/>
      <c r="D411" s="2653"/>
      <c r="E411" s="2654"/>
      <c r="F411" s="2655"/>
      <c r="G411" s="2656"/>
      <c r="H411" s="2656"/>
      <c r="I411" s="2656"/>
      <c r="J411" s="2656"/>
      <c r="K411" s="2656"/>
      <c r="L411" s="2657"/>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2651"/>
      <c r="C412" s="2652"/>
      <c r="D412" s="2653"/>
      <c r="E412" s="2654"/>
      <c r="F412" s="2655"/>
      <c r="G412" s="2656"/>
      <c r="H412" s="2656"/>
      <c r="I412" s="2656"/>
      <c r="J412" s="2656"/>
      <c r="K412" s="2656"/>
      <c r="L412" s="2657"/>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2651"/>
      <c r="C413" s="2652"/>
      <c r="D413" s="2653"/>
      <c r="E413" s="2654"/>
      <c r="F413" s="2655"/>
      <c r="G413" s="2656"/>
      <c r="H413" s="2656"/>
      <c r="I413" s="2656"/>
      <c r="J413" s="2656"/>
      <c r="K413" s="2656"/>
      <c r="L413" s="2657"/>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2651"/>
      <c r="C414" s="2652"/>
      <c r="D414" s="2653"/>
      <c r="E414" s="2654"/>
      <c r="F414" s="2655"/>
      <c r="G414" s="2656"/>
      <c r="H414" s="2656"/>
      <c r="I414" s="2656"/>
      <c r="J414" s="2656"/>
      <c r="K414" s="2656"/>
      <c r="L414" s="2657"/>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2651"/>
      <c r="C415" s="2652"/>
      <c r="D415" s="2653"/>
      <c r="E415" s="2654"/>
      <c r="F415" s="2655"/>
      <c r="G415" s="2656"/>
      <c r="H415" s="2656"/>
      <c r="I415" s="2656"/>
      <c r="J415" s="2656"/>
      <c r="K415" s="2656"/>
      <c r="L415" s="2657"/>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2651"/>
      <c r="C416" s="2652"/>
      <c r="D416" s="2653"/>
      <c r="E416" s="2654"/>
      <c r="F416" s="2655"/>
      <c r="G416" s="2656"/>
      <c r="H416" s="2656"/>
      <c r="I416" s="2656"/>
      <c r="J416" s="2656"/>
      <c r="K416" s="2656"/>
      <c r="L416" s="2657"/>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2651"/>
      <c r="C417" s="2652"/>
      <c r="D417" s="2653"/>
      <c r="E417" s="2654"/>
      <c r="F417" s="2655"/>
      <c r="G417" s="2656"/>
      <c r="H417" s="2656"/>
      <c r="I417" s="2656"/>
      <c r="J417" s="2656"/>
      <c r="K417" s="2656"/>
      <c r="L417" s="2657"/>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2651"/>
      <c r="C418" s="2652"/>
      <c r="D418" s="2653"/>
      <c r="E418" s="2654"/>
      <c r="F418" s="2655"/>
      <c r="G418" s="2656"/>
      <c r="H418" s="2656"/>
      <c r="I418" s="2656"/>
      <c r="J418" s="2656"/>
      <c r="K418" s="2656"/>
      <c r="L418" s="2657"/>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2651"/>
      <c r="C419" s="2652"/>
      <c r="D419" s="2653"/>
      <c r="E419" s="2654"/>
      <c r="F419" s="2655"/>
      <c r="G419" s="2656"/>
      <c r="H419" s="2656"/>
      <c r="I419" s="2656"/>
      <c r="J419" s="2656"/>
      <c r="K419" s="2656"/>
      <c r="L419" s="2657"/>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2651"/>
      <c r="C420" s="2652"/>
      <c r="D420" s="2653"/>
      <c r="E420" s="2654"/>
      <c r="F420" s="2655"/>
      <c r="G420" s="2656"/>
      <c r="H420" s="2656"/>
      <c r="I420" s="2656"/>
      <c r="J420" s="2656"/>
      <c r="K420" s="2656"/>
      <c r="L420" s="2657"/>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2651"/>
      <c r="C421" s="2652"/>
      <c r="D421" s="2653"/>
      <c r="E421" s="2654"/>
      <c r="F421" s="2655"/>
      <c r="G421" s="2656"/>
      <c r="H421" s="2656"/>
      <c r="I421" s="2656"/>
      <c r="J421" s="2656"/>
      <c r="K421" s="2656"/>
      <c r="L421" s="2657"/>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2651"/>
      <c r="C422" s="2652"/>
      <c r="D422" s="2653"/>
      <c r="E422" s="2654"/>
      <c r="F422" s="2655"/>
      <c r="G422" s="2656"/>
      <c r="H422" s="2656"/>
      <c r="I422" s="2656"/>
      <c r="J422" s="2656"/>
      <c r="K422" s="2656"/>
      <c r="L422" s="2657"/>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2651"/>
      <c r="C423" s="2652"/>
      <c r="D423" s="2653"/>
      <c r="E423" s="2654"/>
      <c r="F423" s="2655"/>
      <c r="G423" s="2656"/>
      <c r="H423" s="2656"/>
      <c r="I423" s="2656"/>
      <c r="J423" s="2656"/>
      <c r="K423" s="2656"/>
      <c r="L423" s="2657"/>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2651"/>
      <c r="C424" s="2652"/>
      <c r="D424" s="2653"/>
      <c r="E424" s="2654"/>
      <c r="F424" s="2655"/>
      <c r="G424" s="2656"/>
      <c r="H424" s="2656"/>
      <c r="I424" s="2656"/>
      <c r="J424" s="2656"/>
      <c r="K424" s="2656"/>
      <c r="L424" s="2657"/>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2651"/>
      <c r="C425" s="2652"/>
      <c r="D425" s="2653"/>
      <c r="E425" s="2654"/>
      <c r="F425" s="2655"/>
      <c r="G425" s="2656"/>
      <c r="H425" s="2656"/>
      <c r="I425" s="2656"/>
      <c r="J425" s="2656"/>
      <c r="K425" s="2656"/>
      <c r="L425" s="2657"/>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2651"/>
      <c r="C426" s="2652"/>
      <c r="D426" s="2653"/>
      <c r="E426" s="2654"/>
      <c r="F426" s="2655"/>
      <c r="G426" s="2656"/>
      <c r="H426" s="2656"/>
      <c r="I426" s="2656"/>
      <c r="J426" s="2656"/>
      <c r="K426" s="2656"/>
      <c r="L426" s="2657"/>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2651"/>
      <c r="C427" s="2652"/>
      <c r="D427" s="2653"/>
      <c r="E427" s="2654"/>
      <c r="F427" s="2655"/>
      <c r="G427" s="2656"/>
      <c r="H427" s="2656"/>
      <c r="I427" s="2656"/>
      <c r="J427" s="2656"/>
      <c r="K427" s="2656"/>
      <c r="L427" s="2657"/>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2651"/>
      <c r="C428" s="2652"/>
      <c r="D428" s="2653"/>
      <c r="E428" s="2654"/>
      <c r="F428" s="2655"/>
      <c r="G428" s="2656"/>
      <c r="H428" s="2656"/>
      <c r="I428" s="2656"/>
      <c r="J428" s="2656"/>
      <c r="K428" s="2656"/>
      <c r="L428" s="2657"/>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2651"/>
      <c r="C429" s="2652"/>
      <c r="D429" s="2653"/>
      <c r="E429" s="2654"/>
      <c r="F429" s="2655"/>
      <c r="G429" s="2656"/>
      <c r="H429" s="2656"/>
      <c r="I429" s="2656"/>
      <c r="J429" s="2656"/>
      <c r="K429" s="2656"/>
      <c r="L429" s="2657"/>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2651"/>
      <c r="C430" s="2652"/>
      <c r="D430" s="2653"/>
      <c r="E430" s="2654"/>
      <c r="F430" s="2655"/>
      <c r="G430" s="2656"/>
      <c r="H430" s="2656"/>
      <c r="I430" s="2656"/>
      <c r="J430" s="2656"/>
      <c r="K430" s="2656"/>
      <c r="L430" s="2657"/>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2651"/>
      <c r="C431" s="2652"/>
      <c r="D431" s="2653"/>
      <c r="E431" s="2654"/>
      <c r="F431" s="2655"/>
      <c r="G431" s="2656"/>
      <c r="H431" s="2656"/>
      <c r="I431" s="2656"/>
      <c r="J431" s="2656"/>
      <c r="K431" s="2656"/>
      <c r="L431" s="2657"/>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2651"/>
      <c r="C432" s="2652"/>
      <c r="D432" s="2653"/>
      <c r="E432" s="2654"/>
      <c r="F432" s="2655"/>
      <c r="G432" s="2656"/>
      <c r="H432" s="2656"/>
      <c r="I432" s="2656"/>
      <c r="J432" s="2656"/>
      <c r="K432" s="2656"/>
      <c r="L432" s="2657"/>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2651"/>
      <c r="C433" s="2652"/>
      <c r="D433" s="2653"/>
      <c r="E433" s="2654"/>
      <c r="F433" s="2655"/>
      <c r="G433" s="2656"/>
      <c r="H433" s="2656"/>
      <c r="I433" s="2656"/>
      <c r="J433" s="2656"/>
      <c r="K433" s="2656"/>
      <c r="L433" s="2657"/>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2651"/>
      <c r="C434" s="2652"/>
      <c r="D434" s="2653"/>
      <c r="E434" s="2654"/>
      <c r="F434" s="2655"/>
      <c r="G434" s="2656"/>
      <c r="H434" s="2656"/>
      <c r="I434" s="2656"/>
      <c r="J434" s="2656"/>
      <c r="K434" s="2656"/>
      <c r="L434" s="2657"/>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2651"/>
      <c r="C435" s="2652"/>
      <c r="D435" s="2653"/>
      <c r="E435" s="2654"/>
      <c r="F435" s="2655"/>
      <c r="G435" s="2656"/>
      <c r="H435" s="2656"/>
      <c r="I435" s="2656"/>
      <c r="J435" s="2656"/>
      <c r="K435" s="2656"/>
      <c r="L435" s="2657"/>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2651"/>
      <c r="C436" s="2652"/>
      <c r="D436" s="2653"/>
      <c r="E436" s="2654"/>
      <c r="F436" s="2655"/>
      <c r="G436" s="2656"/>
      <c r="H436" s="2656"/>
      <c r="I436" s="2656"/>
      <c r="J436" s="2656"/>
      <c r="K436" s="2656"/>
      <c r="L436" s="2657"/>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2651"/>
      <c r="C437" s="2652"/>
      <c r="D437" s="2653"/>
      <c r="E437" s="2654"/>
      <c r="F437" s="2655"/>
      <c r="G437" s="2656"/>
      <c r="H437" s="2656"/>
      <c r="I437" s="2656"/>
      <c r="J437" s="2656"/>
      <c r="K437" s="2656"/>
      <c r="L437" s="2657"/>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2651"/>
      <c r="C438" s="2652"/>
      <c r="D438" s="2653"/>
      <c r="E438" s="2654"/>
      <c r="F438" s="2655"/>
      <c r="G438" s="2656"/>
      <c r="H438" s="2656"/>
      <c r="I438" s="2656"/>
      <c r="J438" s="2656"/>
      <c r="K438" s="2656"/>
      <c r="L438" s="2657"/>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2651"/>
      <c r="C439" s="2652"/>
      <c r="D439" s="2653"/>
      <c r="E439" s="2654"/>
      <c r="F439" s="2655"/>
      <c r="G439" s="2656"/>
      <c r="H439" s="2656"/>
      <c r="I439" s="2656"/>
      <c r="J439" s="2656"/>
      <c r="K439" s="2656"/>
      <c r="L439" s="2657"/>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2651"/>
      <c r="C440" s="2652"/>
      <c r="D440" s="2653"/>
      <c r="E440" s="2654"/>
      <c r="F440" s="2655"/>
      <c r="G440" s="2656"/>
      <c r="H440" s="2656"/>
      <c r="I440" s="2656"/>
      <c r="J440" s="2656"/>
      <c r="K440" s="2656"/>
      <c r="L440" s="2657"/>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2651"/>
      <c r="C441" s="2652"/>
      <c r="D441" s="2653"/>
      <c r="E441" s="2654"/>
      <c r="F441" s="2655"/>
      <c r="G441" s="2656"/>
      <c r="H441" s="2656"/>
      <c r="I441" s="2656"/>
      <c r="J441" s="2656"/>
      <c r="K441" s="2656"/>
      <c r="L441" s="2657"/>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2651"/>
      <c r="C442" s="2652"/>
      <c r="D442" s="2653"/>
      <c r="E442" s="2654"/>
      <c r="F442" s="2655"/>
      <c r="G442" s="2656"/>
      <c r="H442" s="2656"/>
      <c r="I442" s="2656"/>
      <c r="J442" s="2656"/>
      <c r="K442" s="2656"/>
      <c r="L442" s="2657"/>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2651"/>
      <c r="C443" s="2652"/>
      <c r="D443" s="2653"/>
      <c r="E443" s="2654"/>
      <c r="F443" s="2655"/>
      <c r="G443" s="2656"/>
      <c r="H443" s="2656"/>
      <c r="I443" s="2656"/>
      <c r="J443" s="2656"/>
      <c r="K443" s="2656"/>
      <c r="L443" s="2657"/>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2651"/>
      <c r="C444" s="2652"/>
      <c r="D444" s="2653"/>
      <c r="E444" s="2654"/>
      <c r="F444" s="2655"/>
      <c r="G444" s="2656"/>
      <c r="H444" s="2656"/>
      <c r="I444" s="2656"/>
      <c r="J444" s="2656"/>
      <c r="K444" s="2656"/>
      <c r="L444" s="2657"/>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2651"/>
      <c r="C445" s="2652"/>
      <c r="D445" s="2653"/>
      <c r="E445" s="2654"/>
      <c r="F445" s="2655"/>
      <c r="G445" s="2656"/>
      <c r="H445" s="2656"/>
      <c r="I445" s="2656"/>
      <c r="J445" s="2656"/>
      <c r="K445" s="2656"/>
      <c r="L445" s="2657"/>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2651"/>
      <c r="C446" s="2652"/>
      <c r="D446" s="2653"/>
      <c r="E446" s="2654"/>
      <c r="F446" s="2655"/>
      <c r="G446" s="2656"/>
      <c r="H446" s="2656"/>
      <c r="I446" s="2656"/>
      <c r="J446" s="2656"/>
      <c r="K446" s="2656"/>
      <c r="L446" s="2657"/>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2651"/>
      <c r="C447" s="2652"/>
      <c r="D447" s="2653"/>
      <c r="E447" s="2654"/>
      <c r="F447" s="2655"/>
      <c r="G447" s="2656"/>
      <c r="H447" s="2656"/>
      <c r="I447" s="2656"/>
      <c r="J447" s="2656"/>
      <c r="K447" s="2656"/>
      <c r="L447" s="2657"/>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2651"/>
      <c r="C448" s="2652"/>
      <c r="D448" s="2653"/>
      <c r="E448" s="2654"/>
      <c r="F448" s="2655"/>
      <c r="G448" s="2656"/>
      <c r="H448" s="2656"/>
      <c r="I448" s="2656"/>
      <c r="J448" s="2656"/>
      <c r="K448" s="2656"/>
      <c r="L448" s="2657"/>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2651"/>
      <c r="C449" s="2652"/>
      <c r="D449" s="2653"/>
      <c r="E449" s="2654"/>
      <c r="F449" s="2655"/>
      <c r="G449" s="2656"/>
      <c r="H449" s="2656"/>
      <c r="I449" s="2656"/>
      <c r="J449" s="2656"/>
      <c r="K449" s="2656"/>
      <c r="L449" s="2657"/>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2651"/>
      <c r="C450" s="2652"/>
      <c r="D450" s="2653"/>
      <c r="E450" s="2654"/>
      <c r="F450" s="2655"/>
      <c r="G450" s="2656"/>
      <c r="H450" s="2656"/>
      <c r="I450" s="2656"/>
      <c r="J450" s="2656"/>
      <c r="K450" s="2656"/>
      <c r="L450" s="2657"/>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2651"/>
      <c r="C451" s="2652"/>
      <c r="D451" s="2653"/>
      <c r="E451" s="2654"/>
      <c r="F451" s="2655"/>
      <c r="G451" s="2656"/>
      <c r="H451" s="2656"/>
      <c r="I451" s="2656"/>
      <c r="J451" s="2656"/>
      <c r="K451" s="2656"/>
      <c r="L451" s="2657"/>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2651"/>
      <c r="C452" s="2652"/>
      <c r="D452" s="2653"/>
      <c r="E452" s="2654"/>
      <c r="F452" s="2655"/>
      <c r="G452" s="2656"/>
      <c r="H452" s="2656"/>
      <c r="I452" s="2656"/>
      <c r="J452" s="2656"/>
      <c r="K452" s="2656"/>
      <c r="L452" s="2657"/>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2651"/>
      <c r="C453" s="2652"/>
      <c r="D453" s="2653"/>
      <c r="E453" s="2654"/>
      <c r="F453" s="2655"/>
      <c r="G453" s="2656"/>
      <c r="H453" s="2656"/>
      <c r="I453" s="2656"/>
      <c r="J453" s="2656"/>
      <c r="K453" s="2656"/>
      <c r="L453" s="2657"/>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2651"/>
      <c r="C454" s="2652"/>
      <c r="D454" s="2653"/>
      <c r="E454" s="2654"/>
      <c r="F454" s="2655"/>
      <c r="G454" s="2656"/>
      <c r="H454" s="2656"/>
      <c r="I454" s="2656"/>
      <c r="J454" s="2656"/>
      <c r="K454" s="2656"/>
      <c r="L454" s="2657"/>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2651"/>
      <c r="C455" s="2652"/>
      <c r="D455" s="2653"/>
      <c r="E455" s="2654"/>
      <c r="F455" s="2655"/>
      <c r="G455" s="2656"/>
      <c r="H455" s="2656"/>
      <c r="I455" s="2656"/>
      <c r="J455" s="2656"/>
      <c r="K455" s="2656"/>
      <c r="L455" s="2657"/>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2651"/>
      <c r="C456" s="2652"/>
      <c r="D456" s="2653"/>
      <c r="E456" s="2654"/>
      <c r="F456" s="2655"/>
      <c r="G456" s="2656"/>
      <c r="H456" s="2656"/>
      <c r="I456" s="2656"/>
      <c r="J456" s="2656"/>
      <c r="K456" s="2656"/>
      <c r="L456" s="2657"/>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2651"/>
      <c r="C457" s="2652"/>
      <c r="D457" s="2653"/>
      <c r="E457" s="2654"/>
      <c r="F457" s="2655"/>
      <c r="G457" s="2656"/>
      <c r="H457" s="2656"/>
      <c r="I457" s="2656"/>
      <c r="J457" s="2656"/>
      <c r="K457" s="2656"/>
      <c r="L457" s="2657"/>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2651"/>
      <c r="C458" s="2652"/>
      <c r="D458" s="2653"/>
      <c r="E458" s="2654"/>
      <c r="F458" s="2655"/>
      <c r="G458" s="2656"/>
      <c r="H458" s="2656"/>
      <c r="I458" s="2656"/>
      <c r="J458" s="2656"/>
      <c r="K458" s="2656"/>
      <c r="L458" s="2657"/>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2651"/>
      <c r="C459" s="2652"/>
      <c r="D459" s="2653"/>
      <c r="E459" s="2654"/>
      <c r="F459" s="2655"/>
      <c r="G459" s="2656"/>
      <c r="H459" s="2656"/>
      <c r="I459" s="2656"/>
      <c r="J459" s="2656"/>
      <c r="K459" s="2656"/>
      <c r="L459" s="2657"/>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2651"/>
      <c r="C460" s="2652"/>
      <c r="D460" s="2653"/>
      <c r="E460" s="2654"/>
      <c r="F460" s="2655"/>
      <c r="G460" s="2656"/>
      <c r="H460" s="2656"/>
      <c r="I460" s="2656"/>
      <c r="J460" s="2656"/>
      <c r="K460" s="2656"/>
      <c r="L460" s="2657"/>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2651"/>
      <c r="C461" s="2652"/>
      <c r="D461" s="2653"/>
      <c r="E461" s="2654"/>
      <c r="F461" s="2655"/>
      <c r="G461" s="2656"/>
      <c r="H461" s="2656"/>
      <c r="I461" s="2656"/>
      <c r="J461" s="2656"/>
      <c r="K461" s="2656"/>
      <c r="L461" s="2657"/>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2651"/>
      <c r="C462" s="2652"/>
      <c r="D462" s="2653"/>
      <c r="E462" s="2654"/>
      <c r="F462" s="2655"/>
      <c r="G462" s="2656"/>
      <c r="H462" s="2656"/>
      <c r="I462" s="2656"/>
      <c r="J462" s="2656"/>
      <c r="K462" s="2656"/>
      <c r="L462" s="2657"/>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2651"/>
      <c r="C463" s="2652"/>
      <c r="D463" s="2653"/>
      <c r="E463" s="2654"/>
      <c r="F463" s="2655"/>
      <c r="G463" s="2656"/>
      <c r="H463" s="2656"/>
      <c r="I463" s="2656"/>
      <c r="J463" s="2656"/>
      <c r="K463" s="2656"/>
      <c r="L463" s="2657"/>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2651"/>
      <c r="C464" s="2652"/>
      <c r="D464" s="2653"/>
      <c r="E464" s="2654"/>
      <c r="F464" s="2655"/>
      <c r="G464" s="2656"/>
      <c r="H464" s="2656"/>
      <c r="I464" s="2656"/>
      <c r="J464" s="2656"/>
      <c r="K464" s="2656"/>
      <c r="L464" s="2657"/>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2651"/>
      <c r="C465" s="2652"/>
      <c r="D465" s="2653"/>
      <c r="E465" s="2654"/>
      <c r="F465" s="2655"/>
      <c r="G465" s="2656"/>
      <c r="H465" s="2656"/>
      <c r="I465" s="2656"/>
      <c r="J465" s="2656"/>
      <c r="K465" s="2656"/>
      <c r="L465" s="2657"/>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2651"/>
      <c r="C466" s="2652"/>
      <c r="D466" s="2653"/>
      <c r="E466" s="2654"/>
      <c r="F466" s="2655"/>
      <c r="G466" s="2656"/>
      <c r="H466" s="2656"/>
      <c r="I466" s="2656"/>
      <c r="J466" s="2656"/>
      <c r="K466" s="2656"/>
      <c r="L466" s="2657"/>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2651"/>
      <c r="C467" s="2652"/>
      <c r="D467" s="2653"/>
      <c r="E467" s="2654"/>
      <c r="F467" s="2655"/>
      <c r="G467" s="2656"/>
      <c r="H467" s="2656"/>
      <c r="I467" s="2656"/>
      <c r="J467" s="2656"/>
      <c r="K467" s="2656"/>
      <c r="L467" s="2657"/>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2651"/>
      <c r="C468" s="2652"/>
      <c r="D468" s="2653"/>
      <c r="E468" s="2654"/>
      <c r="F468" s="2655"/>
      <c r="G468" s="2656"/>
      <c r="H468" s="2656"/>
      <c r="I468" s="2656"/>
      <c r="J468" s="2656"/>
      <c r="K468" s="2656"/>
      <c r="L468" s="2657"/>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2651"/>
      <c r="C469" s="2652"/>
      <c r="D469" s="2653"/>
      <c r="E469" s="2654"/>
      <c r="F469" s="2655"/>
      <c r="G469" s="2656"/>
      <c r="H469" s="2656"/>
      <c r="I469" s="2656"/>
      <c r="J469" s="2656"/>
      <c r="K469" s="2656"/>
      <c r="L469" s="2657"/>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2651"/>
      <c r="C470" s="2652"/>
      <c r="D470" s="2653"/>
      <c r="E470" s="2654"/>
      <c r="F470" s="2655"/>
      <c r="G470" s="2656"/>
      <c r="H470" s="2656"/>
      <c r="I470" s="2656"/>
      <c r="J470" s="2656"/>
      <c r="K470" s="2656"/>
      <c r="L470" s="2657"/>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2651"/>
      <c r="C471" s="2652"/>
      <c r="D471" s="2653"/>
      <c r="E471" s="2654"/>
      <c r="F471" s="2655"/>
      <c r="G471" s="2656"/>
      <c r="H471" s="2656"/>
      <c r="I471" s="2656"/>
      <c r="J471" s="2656"/>
      <c r="K471" s="2656"/>
      <c r="L471" s="2657"/>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2651"/>
      <c r="C472" s="2652"/>
      <c r="D472" s="2653"/>
      <c r="E472" s="2654"/>
      <c r="F472" s="2655"/>
      <c r="G472" s="2656"/>
      <c r="H472" s="2656"/>
      <c r="I472" s="2656"/>
      <c r="J472" s="2656"/>
      <c r="K472" s="2656"/>
      <c r="L472" s="2657"/>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2651"/>
      <c r="C473" s="2652"/>
      <c r="D473" s="2653"/>
      <c r="E473" s="2654"/>
      <c r="F473" s="2655"/>
      <c r="G473" s="2656"/>
      <c r="H473" s="2656"/>
      <c r="I473" s="2656"/>
      <c r="J473" s="2656"/>
      <c r="K473" s="2656"/>
      <c r="L473" s="2657"/>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2651"/>
      <c r="C474" s="2652"/>
      <c r="D474" s="2653"/>
      <c r="E474" s="2654"/>
      <c r="F474" s="2655"/>
      <c r="G474" s="2656"/>
      <c r="H474" s="2656"/>
      <c r="I474" s="2656"/>
      <c r="J474" s="2656"/>
      <c r="K474" s="2656"/>
      <c r="L474" s="2657"/>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2651"/>
      <c r="C475" s="2652"/>
      <c r="D475" s="2653"/>
      <c r="E475" s="2654"/>
      <c r="F475" s="2655"/>
      <c r="G475" s="2656"/>
      <c r="H475" s="2656"/>
      <c r="I475" s="2656"/>
      <c r="J475" s="2656"/>
      <c r="K475" s="2656"/>
      <c r="L475" s="2657"/>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2651"/>
      <c r="C476" s="2652"/>
      <c r="D476" s="2653"/>
      <c r="E476" s="2654"/>
      <c r="F476" s="2655"/>
      <c r="G476" s="2656"/>
      <c r="H476" s="2656"/>
      <c r="I476" s="2656"/>
      <c r="J476" s="2656"/>
      <c r="K476" s="2656"/>
      <c r="L476" s="2657"/>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2651"/>
      <c r="C477" s="2652"/>
      <c r="D477" s="2653"/>
      <c r="E477" s="2654"/>
      <c r="F477" s="2655"/>
      <c r="G477" s="2656"/>
      <c r="H477" s="2656"/>
      <c r="I477" s="2656"/>
      <c r="J477" s="2656"/>
      <c r="K477" s="2656"/>
      <c r="L477" s="2657"/>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2651"/>
      <c r="C478" s="2652"/>
      <c r="D478" s="2653"/>
      <c r="E478" s="2654"/>
      <c r="F478" s="2655"/>
      <c r="G478" s="2656"/>
      <c r="H478" s="2656"/>
      <c r="I478" s="2656"/>
      <c r="J478" s="2656"/>
      <c r="K478" s="2656"/>
      <c r="L478" s="2657"/>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2651"/>
      <c r="C479" s="2652"/>
      <c r="D479" s="2653"/>
      <c r="E479" s="2654"/>
      <c r="F479" s="2655"/>
      <c r="G479" s="2656"/>
      <c r="H479" s="2656"/>
      <c r="I479" s="2656"/>
      <c r="J479" s="2656"/>
      <c r="K479" s="2656"/>
      <c r="L479" s="2657"/>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2651"/>
      <c r="C480" s="2652"/>
      <c r="D480" s="2653"/>
      <c r="E480" s="2654"/>
      <c r="F480" s="2655"/>
      <c r="G480" s="2656"/>
      <c r="H480" s="2656"/>
      <c r="I480" s="2656"/>
      <c r="J480" s="2656"/>
      <c r="K480" s="2656"/>
      <c r="L480" s="2657"/>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2651"/>
      <c r="C481" s="2652"/>
      <c r="D481" s="2653"/>
      <c r="E481" s="2654"/>
      <c r="F481" s="2655"/>
      <c r="G481" s="2656"/>
      <c r="H481" s="2656"/>
      <c r="I481" s="2656"/>
      <c r="J481" s="2656"/>
      <c r="K481" s="2656"/>
      <c r="L481" s="2657"/>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2651"/>
      <c r="C482" s="2652"/>
      <c r="D482" s="2653"/>
      <c r="E482" s="2654"/>
      <c r="F482" s="2655"/>
      <c r="G482" s="2656"/>
      <c r="H482" s="2656"/>
      <c r="I482" s="2656"/>
      <c r="J482" s="2656"/>
      <c r="K482" s="2656"/>
      <c r="L482" s="2657"/>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2651"/>
      <c r="C483" s="2652"/>
      <c r="D483" s="2653"/>
      <c r="E483" s="2654"/>
      <c r="F483" s="2655"/>
      <c r="G483" s="2656"/>
      <c r="H483" s="2656"/>
      <c r="I483" s="2656"/>
      <c r="J483" s="2656"/>
      <c r="K483" s="2656"/>
      <c r="L483" s="2657"/>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2651"/>
      <c r="C484" s="2652"/>
      <c r="D484" s="2653"/>
      <c r="E484" s="2654"/>
      <c r="F484" s="2655"/>
      <c r="G484" s="2656"/>
      <c r="H484" s="2656"/>
      <c r="I484" s="2656"/>
      <c r="J484" s="2656"/>
      <c r="K484" s="2656"/>
      <c r="L484" s="2657"/>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2651"/>
      <c r="C485" s="2652"/>
      <c r="D485" s="2653"/>
      <c r="E485" s="2654"/>
      <c r="F485" s="2655"/>
      <c r="G485" s="2656"/>
      <c r="H485" s="2656"/>
      <c r="I485" s="2656"/>
      <c r="J485" s="2656"/>
      <c r="K485" s="2656"/>
      <c r="L485" s="2657"/>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2651"/>
      <c r="C486" s="2652"/>
      <c r="D486" s="2653"/>
      <c r="E486" s="2654"/>
      <c r="F486" s="2655"/>
      <c r="G486" s="2656"/>
      <c r="H486" s="2656"/>
      <c r="I486" s="2656"/>
      <c r="J486" s="2656"/>
      <c r="K486" s="2656"/>
      <c r="L486" s="2657"/>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2651"/>
      <c r="C487" s="2652"/>
      <c r="D487" s="2653"/>
      <c r="E487" s="2654"/>
      <c r="F487" s="2655"/>
      <c r="G487" s="2656"/>
      <c r="H487" s="2656"/>
      <c r="I487" s="2656"/>
      <c r="J487" s="2656"/>
      <c r="K487" s="2656"/>
      <c r="L487" s="2657"/>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2651"/>
      <c r="C488" s="2652"/>
      <c r="D488" s="2653"/>
      <c r="E488" s="2654"/>
      <c r="F488" s="2655"/>
      <c r="G488" s="2656"/>
      <c r="H488" s="2656"/>
      <c r="I488" s="2656"/>
      <c r="J488" s="2656"/>
      <c r="K488" s="2656"/>
      <c r="L488" s="2657"/>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2651"/>
      <c r="C489" s="2652"/>
      <c r="D489" s="2653"/>
      <c r="E489" s="2654"/>
      <c r="F489" s="2655"/>
      <c r="G489" s="2656"/>
      <c r="H489" s="2656"/>
      <c r="I489" s="2656"/>
      <c r="J489" s="2656"/>
      <c r="K489" s="2656"/>
      <c r="L489" s="2657"/>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2651"/>
      <c r="C490" s="2652"/>
      <c r="D490" s="2653"/>
      <c r="E490" s="2654"/>
      <c r="F490" s="2655"/>
      <c r="G490" s="2656"/>
      <c r="H490" s="2656"/>
      <c r="I490" s="2656"/>
      <c r="J490" s="2656"/>
      <c r="K490" s="2656"/>
      <c r="L490" s="2657"/>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2651"/>
      <c r="C491" s="2652"/>
      <c r="D491" s="2653"/>
      <c r="E491" s="2654"/>
      <c r="F491" s="2655"/>
      <c r="G491" s="2656"/>
      <c r="H491" s="2656"/>
      <c r="I491" s="2656"/>
      <c r="J491" s="2656"/>
      <c r="K491" s="2656"/>
      <c r="L491" s="2657"/>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2651"/>
      <c r="C492" s="2652"/>
      <c r="D492" s="2653"/>
      <c r="E492" s="2654"/>
      <c r="F492" s="2655"/>
      <c r="G492" s="2656"/>
      <c r="H492" s="2656"/>
      <c r="I492" s="2656"/>
      <c r="J492" s="2656"/>
      <c r="K492" s="2656"/>
      <c r="L492" s="2657"/>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2651"/>
      <c r="C493" s="2652"/>
      <c r="D493" s="2653"/>
      <c r="E493" s="2654"/>
      <c r="F493" s="2655"/>
      <c r="G493" s="2656"/>
      <c r="H493" s="2656"/>
      <c r="I493" s="2656"/>
      <c r="J493" s="2656"/>
      <c r="K493" s="2656"/>
      <c r="L493" s="2657"/>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2651"/>
      <c r="C494" s="2652"/>
      <c r="D494" s="2653"/>
      <c r="E494" s="2654"/>
      <c r="F494" s="2655"/>
      <c r="G494" s="2656"/>
      <c r="H494" s="2656"/>
      <c r="I494" s="2656"/>
      <c r="J494" s="2656"/>
      <c r="K494" s="2656"/>
      <c r="L494" s="2657"/>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2651"/>
      <c r="C495" s="2652"/>
      <c r="D495" s="2653"/>
      <c r="E495" s="2654"/>
      <c r="F495" s="2655"/>
      <c r="G495" s="2656"/>
      <c r="H495" s="2656"/>
      <c r="I495" s="2656"/>
      <c r="J495" s="2656"/>
      <c r="K495" s="2656"/>
      <c r="L495" s="2657"/>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2651"/>
      <c r="C496" s="2652"/>
      <c r="D496" s="2653"/>
      <c r="E496" s="2654"/>
      <c r="F496" s="2655"/>
      <c r="G496" s="2656"/>
      <c r="H496" s="2656"/>
      <c r="I496" s="2656"/>
      <c r="J496" s="2656"/>
      <c r="K496" s="2656"/>
      <c r="L496" s="2657"/>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2651"/>
      <c r="C497" s="2652"/>
      <c r="D497" s="2653"/>
      <c r="E497" s="2654"/>
      <c r="F497" s="2655"/>
      <c r="G497" s="2656"/>
      <c r="H497" s="2656"/>
      <c r="I497" s="2656"/>
      <c r="J497" s="2656"/>
      <c r="K497" s="2656"/>
      <c r="L497" s="2657"/>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2658"/>
      <c r="C498" s="2659"/>
      <c r="D498" s="2660"/>
      <c r="E498" s="2661"/>
      <c r="F498" s="2662"/>
      <c r="G498" s="2663"/>
      <c r="H498" s="2663"/>
      <c r="I498" s="2663"/>
      <c r="J498" s="2663"/>
      <c r="K498" s="2663"/>
      <c r="L498" s="2664"/>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641" priority="39" stopIfTrue="1">
      <formula>AND(M3&lt;&gt;"",G3="")</formula>
    </cfRule>
  </conditionalFormatting>
  <conditionalFormatting sqref="J3:J498">
    <cfRule type="expression" dxfId="640" priority="40" stopIfTrue="1">
      <formula>AND(M3="C",J3="")</formula>
    </cfRule>
  </conditionalFormatting>
  <conditionalFormatting sqref="H3:H498">
    <cfRule type="expression" dxfId="639" priority="2" stopIfTrue="1">
      <formula>AND(H3="",M3="C")</formula>
    </cfRule>
    <cfRule type="expression" dxfId="638" priority="45" stopIfTrue="1">
      <formula>AND(H3="",OR(M3="B",M3="G"))</formula>
    </cfRule>
  </conditionalFormatting>
  <conditionalFormatting sqref="I3:I498">
    <cfRule type="expression" dxfId="637" priority="46" stopIfTrue="1">
      <formula>AND(H3&lt;&gt;"",I3="")</formula>
    </cfRule>
  </conditionalFormatting>
  <conditionalFormatting sqref="K3:K498">
    <cfRule type="expression" dxfId="636" priority="3" stopIfTrue="1">
      <formula>AND(M3="C",K3="")</formula>
    </cfRule>
    <cfRule type="expression" dxfId="635" priority="47" stopIfTrue="1">
      <formula>AND(M3="C",K3="")</formula>
    </cfRule>
  </conditionalFormatting>
  <conditionalFormatting sqref="L3:L498">
    <cfRule type="expression" dxfId="634" priority="48" stopIfTrue="1">
      <formula>AND(M3="C",L3="",K3&lt;&gt;"")</formula>
    </cfRule>
  </conditionalFormatting>
  <conditionalFormatting sqref="C3:C498">
    <cfRule type="expression" dxfId="633" priority="18" stopIfTrue="1">
      <formula>AND(NOT(ISBLANK(B3)),ISBLANK(C3))</formula>
    </cfRule>
  </conditionalFormatting>
  <conditionalFormatting sqref="E3:E498">
    <cfRule type="expression" dxfId="632" priority="41" stopIfTrue="1">
      <formula>AND(NOT(ISBLANK(C3)),ISBLANK(E3))</formula>
    </cfRule>
  </conditionalFormatting>
  <conditionalFormatting sqref="D3:D498">
    <cfRule type="expression" dxfId="631" priority="43" stopIfTrue="1">
      <formula>AND(NOT(ISBLANK(C3)),ISBLANK(D3))</formula>
    </cfRule>
  </conditionalFormatting>
  <conditionalFormatting sqref="B3:L498">
    <cfRule type="expression" dxfId="63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35" t="s">
        <v>1182</v>
      </c>
      <c r="AG1" s="1896"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36"/>
      <c r="AG2" s="1898"/>
      <c r="AI2" s="1019" t="s">
        <v>598</v>
      </c>
      <c r="AJ2" s="1027" t="s">
        <v>1122</v>
      </c>
      <c r="AK2" s="1020"/>
      <c r="AL2" s="1020"/>
      <c r="AM2" s="1020"/>
      <c r="AN2" s="1020"/>
      <c r="AO2" s="1020"/>
      <c r="AR2" s="257" t="s">
        <v>1383</v>
      </c>
    </row>
    <row r="3" spans="2:49" ht="14.25" thickTop="1" thickBot="1" x14ac:dyDescent="0.25">
      <c r="C3" s="12" t="s">
        <v>66</v>
      </c>
      <c r="D3" s="2637" t="s">
        <v>1606</v>
      </c>
      <c r="E3" s="2638"/>
      <c r="G3" s="2639" t="s">
        <v>569</v>
      </c>
      <c r="H3" s="2640"/>
      <c r="I3" s="2640"/>
      <c r="J3" s="2640"/>
      <c r="K3" s="2640"/>
      <c r="L3" s="2640"/>
      <c r="M3" s="2640"/>
      <c r="N3" s="2640"/>
      <c r="O3" s="2641"/>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18" t="s">
        <v>1607</v>
      </c>
      <c r="E4" s="2619"/>
      <c r="G4" s="2648" t="s">
        <v>570</v>
      </c>
      <c r="H4" s="2642" t="s">
        <v>577</v>
      </c>
      <c r="I4" s="2642" t="s">
        <v>571</v>
      </c>
      <c r="J4" s="2642" t="s">
        <v>572</v>
      </c>
      <c r="K4" s="2642" t="s">
        <v>580</v>
      </c>
      <c r="L4" s="2642" t="s">
        <v>573</v>
      </c>
      <c r="M4" s="2642" t="s">
        <v>574</v>
      </c>
      <c r="N4" s="2642" t="s">
        <v>942</v>
      </c>
      <c r="O4" s="2645"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18" t="s">
        <v>1608</v>
      </c>
      <c r="E5" s="2619"/>
      <c r="G5" s="2649"/>
      <c r="H5" s="2643"/>
      <c r="I5" s="2643"/>
      <c r="J5" s="2643"/>
      <c r="K5" s="2643"/>
      <c r="L5" s="2643"/>
      <c r="M5" s="2643"/>
      <c r="N5" s="2643"/>
      <c r="O5" s="2646"/>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18" t="s">
        <v>1609</v>
      </c>
      <c r="E6" s="2619"/>
      <c r="G6" s="2650"/>
      <c r="H6" s="2644"/>
      <c r="I6" s="2644"/>
      <c r="J6" s="2644"/>
      <c r="K6" s="2644"/>
      <c r="L6" s="2644"/>
      <c r="M6" s="2644"/>
      <c r="N6" s="2644"/>
      <c r="O6" s="2647"/>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18" t="s">
        <v>1610</v>
      </c>
      <c r="E7" s="2619"/>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24">
        <v>45048</v>
      </c>
      <c r="E8" s="2625"/>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18">
        <v>19</v>
      </c>
      <c r="E9" s="2619"/>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28"/>
      <c r="E10" s="2629"/>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26" t="str">
        <f ca="1">IF(P34=0,"",OFFSET(R33,1+((P34-1)*6),0))</f>
        <v>8200 Woolery Way | Fallon, NV 89406 | www.newmill.com</v>
      </c>
      <c r="E11" s="2627"/>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33" t="str">
        <f ca="1">IF(P34=0,"",OFFSET(R33,2+((P34-1)*6),0))</f>
        <v>775-428-0600</v>
      </c>
      <c r="E12" s="2634"/>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33" t="str">
        <f ca="1">IF(P34=0,"",OFFSET(R33,3+((P34-1)*6),0))</f>
        <v>775-867-2140</v>
      </c>
      <c r="E13" s="2634"/>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33" t="str">
        <f ca="1">IF(P34=0,"",OFFSET(R33,4+((P34-1)*6),0))</f>
        <v>775-867-2169</v>
      </c>
      <c r="E14" s="2634"/>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20" t="str">
        <f ca="1">IF(P34=0,"",OFFSET(R33,5+((P34-1)*6),0))</f>
        <v>775-867-2060</v>
      </c>
      <c r="E15" s="2621"/>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30" t="s">
        <v>1108</v>
      </c>
      <c r="H18" s="2631"/>
      <c r="I18" s="2631"/>
      <c r="J18" s="2631"/>
      <c r="K18" s="2631"/>
      <c r="L18" s="2631"/>
      <c r="M18" s="2632"/>
      <c r="X18" s="85"/>
      <c r="Z18" s="84"/>
      <c r="AC18" s="1213" t="str">
        <f t="shared" si="0"/>
        <v/>
      </c>
      <c r="AD18" s="1204" t="str">
        <f t="shared" si="1"/>
        <v/>
      </c>
      <c r="AE18" s="1205" t="str">
        <f t="shared" si="2"/>
        <v/>
      </c>
      <c r="AF18" s="1206"/>
      <c r="AG18" s="1207"/>
    </row>
    <row r="19" spans="3:33" ht="13.5" thickBot="1" x14ac:dyDescent="0.25">
      <c r="G19" s="2622" t="s">
        <v>650</v>
      </c>
      <c r="H19" s="2623"/>
      <c r="I19" s="2623"/>
      <c r="J19" s="2623"/>
      <c r="K19" s="2623"/>
      <c r="L19" s="977">
        <v>0.375</v>
      </c>
      <c r="M19" s="978" t="s">
        <v>576</v>
      </c>
      <c r="Z19" s="84"/>
      <c r="AC19" s="1213" t="str">
        <f t="shared" si="0"/>
        <v/>
      </c>
      <c r="AD19" s="1204" t="str">
        <f t="shared" si="1"/>
        <v/>
      </c>
      <c r="AE19" s="1205" t="str">
        <f t="shared" si="2"/>
        <v/>
      </c>
      <c r="AF19" s="1206"/>
      <c r="AG19" s="1207"/>
    </row>
    <row r="20" spans="3:33" ht="13.5" thickBot="1" x14ac:dyDescent="0.25">
      <c r="G20" s="2622" t="s">
        <v>653</v>
      </c>
      <c r="H20" s="2623"/>
      <c r="I20" s="2623"/>
      <c r="J20" s="2623"/>
      <c r="K20" s="2623"/>
      <c r="L20" s="979">
        <v>0.1875</v>
      </c>
      <c r="M20" s="633"/>
      <c r="AC20" s="1213" t="str">
        <f t="shared" si="0"/>
        <v/>
      </c>
      <c r="AD20" s="1204" t="str">
        <f t="shared" si="1"/>
        <v/>
      </c>
      <c r="AE20" s="1205" t="str">
        <f t="shared" si="2"/>
        <v/>
      </c>
      <c r="AF20" s="1206"/>
      <c r="AG20" s="1207"/>
    </row>
    <row r="21" spans="3:33" ht="13.5" thickBot="1" x14ac:dyDescent="0.25">
      <c r="G21" s="2622" t="s">
        <v>651</v>
      </c>
      <c r="H21" s="2623"/>
      <c r="I21" s="2623"/>
      <c r="J21" s="2623"/>
      <c r="K21" s="2623"/>
      <c r="L21" s="979">
        <v>0.5</v>
      </c>
      <c r="M21" s="633"/>
      <c r="AC21" s="1213" t="str">
        <f t="shared" si="0"/>
        <v/>
      </c>
      <c r="AD21" s="1204" t="str">
        <f t="shared" si="1"/>
        <v/>
      </c>
      <c r="AE21" s="1205" t="str">
        <f t="shared" si="2"/>
        <v/>
      </c>
      <c r="AF21" s="1206"/>
      <c r="AG21" s="1207"/>
    </row>
    <row r="22" spans="3:33" ht="13.5" thickBot="1" x14ac:dyDescent="0.25">
      <c r="G22" s="2622" t="s">
        <v>652</v>
      </c>
      <c r="H22" s="2623"/>
      <c r="I22" s="2623"/>
      <c r="J22" s="2623"/>
      <c r="K22" s="2623"/>
      <c r="L22" s="979">
        <v>0.25</v>
      </c>
      <c r="M22" s="633"/>
      <c r="AC22" s="1213" t="str">
        <f t="shared" si="0"/>
        <v/>
      </c>
      <c r="AD22" s="1204" t="str">
        <f t="shared" si="1"/>
        <v/>
      </c>
      <c r="AE22" s="1205" t="str">
        <f t="shared" si="2"/>
        <v/>
      </c>
      <c r="AF22" s="1206"/>
      <c r="AG22" s="1207"/>
    </row>
    <row r="23" spans="3:33" ht="13.5" thickBot="1" x14ac:dyDescent="0.25">
      <c r="G23" s="2622" t="s">
        <v>1109</v>
      </c>
      <c r="H23" s="2623"/>
      <c r="I23" s="2623"/>
      <c r="J23" s="2623"/>
      <c r="K23" s="2623"/>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hcYepUB3I+O13CeBL9x1MuFDC8q0mYlRd7TW9N4DUBvZPBOqdr9pxyF1HS52Sfq2vzMO53t9JFOjBfCqlq3ZHQ==" saltValue="fLrPj+PFUUUW8cDJ4AnyKw=="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629" priority="2" stopIfTrue="1">
      <formula>AD2&lt;&gt;""</formula>
    </cfRule>
  </conditionalFormatting>
  <conditionalFormatting sqref="AC2:AD301">
    <cfRule type="cellIs" dxfId="628" priority="3" stopIfTrue="1" operator="notEqual">
      <formula>""</formula>
    </cfRule>
  </conditionalFormatting>
  <conditionalFormatting sqref="AF3:AG302">
    <cfRule type="expression" dxfId="62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6">
        <f>IF(ISBLANK('Job Info.'!D8),"",'Job Info.'!D8)</f>
        <v>45048</v>
      </c>
      <c r="G1" s="1806"/>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07" t="s">
        <v>15</v>
      </c>
      <c r="C7" s="1807"/>
      <c r="D7" s="1807"/>
      <c r="E7" s="1807"/>
      <c r="F7" s="1807"/>
      <c r="G7" s="1807"/>
      <c r="H7" s="1807"/>
    </row>
    <row r="8" spans="1:8" ht="15" customHeight="1" x14ac:dyDescent="0.2">
      <c r="A8" s="1051" t="s">
        <v>1404</v>
      </c>
      <c r="B8" s="1812" t="s">
        <v>1588</v>
      </c>
      <c r="C8" s="1812"/>
      <c r="D8" s="1812"/>
      <c r="E8" s="1812"/>
      <c r="F8" s="1812"/>
      <c r="G8" s="1812"/>
      <c r="H8" s="1812"/>
    </row>
    <row r="9" spans="1:8" ht="15" customHeight="1" x14ac:dyDescent="0.2">
      <c r="A9" s="1052"/>
      <c r="B9" s="1811" t="s">
        <v>1589</v>
      </c>
      <c r="C9" s="1811"/>
      <c r="D9" s="1811"/>
      <c r="E9" s="1811"/>
      <c r="F9" s="1811"/>
      <c r="G9" s="1811"/>
      <c r="H9" s="1811"/>
    </row>
    <row r="10" spans="1:8" ht="15" customHeight="1" x14ac:dyDescent="0.2">
      <c r="A10" s="1052" t="s">
        <v>1405</v>
      </c>
      <c r="B10" s="1811" t="s">
        <v>1590</v>
      </c>
      <c r="C10" s="1811"/>
      <c r="D10" s="1811"/>
      <c r="E10" s="1811"/>
      <c r="F10" s="1811"/>
      <c r="G10" s="1811"/>
      <c r="H10" s="1811"/>
    </row>
    <row r="11" spans="1:8" ht="15" customHeight="1" x14ac:dyDescent="0.2">
      <c r="A11" s="1052"/>
      <c r="B11" s="1811" t="s">
        <v>1591</v>
      </c>
      <c r="C11" s="1811"/>
      <c r="D11" s="1811"/>
      <c r="E11" s="1811"/>
      <c r="F11" s="1811"/>
      <c r="G11" s="1811"/>
      <c r="H11" s="1811"/>
    </row>
    <row r="12" spans="1:8" ht="15" customHeight="1" x14ac:dyDescent="0.2">
      <c r="A12" s="1052" t="s">
        <v>1409</v>
      </c>
      <c r="B12" s="1811" t="s">
        <v>1588</v>
      </c>
      <c r="C12" s="1811"/>
      <c r="D12" s="1811"/>
      <c r="E12" s="1811"/>
      <c r="F12" s="1811"/>
      <c r="G12" s="1811"/>
      <c r="H12" s="1811"/>
    </row>
    <row r="13" spans="1:8" ht="15" customHeight="1" x14ac:dyDescent="0.2">
      <c r="A13" s="1052"/>
      <c r="B13" s="1811" t="s">
        <v>1589</v>
      </c>
      <c r="C13" s="1811"/>
      <c r="D13" s="1811"/>
      <c r="E13" s="1811"/>
      <c r="F13" s="1811"/>
      <c r="G13" s="1811"/>
      <c r="H13" s="1811"/>
    </row>
    <row r="14" spans="1:8" ht="15" customHeight="1" x14ac:dyDescent="0.2">
      <c r="A14" s="1052" t="s">
        <v>1410</v>
      </c>
      <c r="B14" s="1811" t="s">
        <v>1590</v>
      </c>
      <c r="C14" s="1811"/>
      <c r="D14" s="1811"/>
      <c r="E14" s="1811"/>
      <c r="F14" s="1811"/>
      <c r="G14" s="1811"/>
      <c r="H14" s="1811"/>
    </row>
    <row r="15" spans="1:8" ht="15" customHeight="1" x14ac:dyDescent="0.2">
      <c r="A15" s="1052"/>
      <c r="B15" s="1811" t="s">
        <v>1591</v>
      </c>
      <c r="C15" s="1811"/>
      <c r="D15" s="1811"/>
      <c r="E15" s="1811"/>
      <c r="F15" s="1811"/>
      <c r="G15" s="1811"/>
      <c r="H15" s="1811"/>
    </row>
    <row r="16" spans="1:8" ht="15" customHeight="1" x14ac:dyDescent="0.2">
      <c r="A16" s="1052" t="s">
        <v>1414</v>
      </c>
      <c r="B16" s="1811" t="s">
        <v>1588</v>
      </c>
      <c r="C16" s="1811"/>
      <c r="D16" s="1811"/>
      <c r="E16" s="1811"/>
      <c r="F16" s="1811"/>
      <c r="G16" s="1811"/>
      <c r="H16" s="1811"/>
    </row>
    <row r="17" spans="1:8" ht="15" customHeight="1" x14ac:dyDescent="0.2">
      <c r="A17" s="1052"/>
      <c r="B17" s="1811" t="s">
        <v>1589</v>
      </c>
      <c r="C17" s="1811"/>
      <c r="D17" s="1811"/>
      <c r="E17" s="1811"/>
      <c r="F17" s="1811"/>
      <c r="G17" s="1811"/>
      <c r="H17" s="1811"/>
    </row>
    <row r="18" spans="1:8" ht="15" customHeight="1" x14ac:dyDescent="0.2">
      <c r="A18" s="1052" t="s">
        <v>1415</v>
      </c>
      <c r="B18" s="1811" t="s">
        <v>1590</v>
      </c>
      <c r="C18" s="1811"/>
      <c r="D18" s="1811"/>
      <c r="E18" s="1811"/>
      <c r="F18" s="1811"/>
      <c r="G18" s="1811"/>
      <c r="H18" s="1811"/>
    </row>
    <row r="19" spans="1:8" ht="15" customHeight="1" x14ac:dyDescent="0.2">
      <c r="A19" s="1052"/>
      <c r="B19" s="1811" t="s">
        <v>1591</v>
      </c>
      <c r="C19" s="1811"/>
      <c r="D19" s="1811"/>
      <c r="E19" s="1811"/>
      <c r="F19" s="1811"/>
      <c r="G19" s="1811"/>
      <c r="H19" s="1811"/>
    </row>
    <row r="20" spans="1:8" ht="15" customHeight="1" x14ac:dyDescent="0.2">
      <c r="A20" s="1052" t="s">
        <v>1420</v>
      </c>
      <c r="B20" s="1811" t="s">
        <v>1588</v>
      </c>
      <c r="C20" s="1811"/>
      <c r="D20" s="1811"/>
      <c r="E20" s="1811"/>
      <c r="F20" s="1811"/>
      <c r="G20" s="1811"/>
      <c r="H20" s="1811"/>
    </row>
    <row r="21" spans="1:8" ht="15" customHeight="1" x14ac:dyDescent="0.2">
      <c r="A21" s="1052"/>
      <c r="B21" s="1811" t="s">
        <v>1589</v>
      </c>
      <c r="C21" s="1811"/>
      <c r="D21" s="1811"/>
      <c r="E21" s="1811"/>
      <c r="F21" s="1811"/>
      <c r="G21" s="1811"/>
      <c r="H21" s="1811"/>
    </row>
    <row r="22" spans="1:8" ht="15" customHeight="1" x14ac:dyDescent="0.2">
      <c r="A22" s="1052" t="s">
        <v>1421</v>
      </c>
      <c r="B22" s="1811" t="s">
        <v>1590</v>
      </c>
      <c r="C22" s="1811"/>
      <c r="D22" s="1811"/>
      <c r="E22" s="1811"/>
      <c r="F22" s="1811"/>
      <c r="G22" s="1811"/>
      <c r="H22" s="1811"/>
    </row>
    <row r="23" spans="1:8" ht="15" customHeight="1" x14ac:dyDescent="0.2">
      <c r="A23" s="1052"/>
      <c r="B23" s="1811" t="s">
        <v>1591</v>
      </c>
      <c r="C23" s="1811"/>
      <c r="D23" s="1811"/>
      <c r="E23" s="1811"/>
      <c r="F23" s="1811"/>
      <c r="G23" s="1811"/>
      <c r="H23" s="1811"/>
    </row>
    <row r="24" spans="1:8" ht="15" customHeight="1" x14ac:dyDescent="0.2">
      <c r="A24" s="1052" t="s">
        <v>1423</v>
      </c>
      <c r="B24" s="1811" t="s">
        <v>1588</v>
      </c>
      <c r="C24" s="1811"/>
      <c r="D24" s="1811"/>
      <c r="E24" s="1811"/>
      <c r="F24" s="1811"/>
      <c r="G24" s="1811"/>
      <c r="H24" s="1811"/>
    </row>
    <row r="25" spans="1:8" ht="15" customHeight="1" x14ac:dyDescent="0.2">
      <c r="A25" s="1052"/>
      <c r="B25" s="1811" t="s">
        <v>1589</v>
      </c>
      <c r="C25" s="1811"/>
      <c r="D25" s="1811"/>
      <c r="E25" s="1811"/>
      <c r="F25" s="1811"/>
      <c r="G25" s="1811"/>
      <c r="H25" s="1811"/>
    </row>
    <row r="26" spans="1:8" ht="15" customHeight="1" x14ac:dyDescent="0.2">
      <c r="A26" s="1052" t="s">
        <v>1424</v>
      </c>
      <c r="B26" s="1811" t="s">
        <v>1590</v>
      </c>
      <c r="C26" s="1811"/>
      <c r="D26" s="1811"/>
      <c r="E26" s="1811"/>
      <c r="F26" s="1811"/>
      <c r="G26" s="1811"/>
      <c r="H26" s="1811"/>
    </row>
    <row r="27" spans="1:8" ht="15" customHeight="1" x14ac:dyDescent="0.2">
      <c r="A27" s="1052"/>
      <c r="B27" s="1811" t="s">
        <v>1591</v>
      </c>
      <c r="C27" s="1811"/>
      <c r="D27" s="1811"/>
      <c r="E27" s="1811"/>
      <c r="F27" s="1811"/>
      <c r="G27" s="1811"/>
      <c r="H27" s="1811"/>
    </row>
    <row r="28" spans="1:8" ht="15" customHeight="1" x14ac:dyDescent="0.2">
      <c r="A28" s="1052" t="s">
        <v>1425</v>
      </c>
      <c r="B28" s="1811" t="s">
        <v>1588</v>
      </c>
      <c r="C28" s="1811"/>
      <c r="D28" s="1811"/>
      <c r="E28" s="1811"/>
      <c r="F28" s="1811"/>
      <c r="G28" s="1811"/>
      <c r="H28" s="1811"/>
    </row>
    <row r="29" spans="1:8" ht="15" customHeight="1" x14ac:dyDescent="0.2">
      <c r="A29" s="1052"/>
      <c r="B29" s="1811" t="s">
        <v>1589</v>
      </c>
      <c r="C29" s="1811"/>
      <c r="D29" s="1811"/>
      <c r="E29" s="1811"/>
      <c r="F29" s="1811"/>
      <c r="G29" s="1811"/>
      <c r="H29" s="1811"/>
    </row>
    <row r="30" spans="1:8" ht="15" customHeight="1" x14ac:dyDescent="0.2">
      <c r="A30" s="1052" t="s">
        <v>1426</v>
      </c>
      <c r="B30" s="1811" t="s">
        <v>1590</v>
      </c>
      <c r="C30" s="1811"/>
      <c r="D30" s="1811"/>
      <c r="E30" s="1811"/>
      <c r="F30" s="1811"/>
      <c r="G30" s="1811"/>
      <c r="H30" s="1811"/>
    </row>
    <row r="31" spans="1:8" ht="15" customHeight="1" x14ac:dyDescent="0.2">
      <c r="A31" s="1052"/>
      <c r="B31" s="1811" t="s">
        <v>1591</v>
      </c>
      <c r="C31" s="1811"/>
      <c r="D31" s="1811"/>
      <c r="E31" s="1811"/>
      <c r="F31" s="1811"/>
      <c r="G31" s="1811"/>
      <c r="H31" s="1811"/>
    </row>
    <row r="32" spans="1:8" ht="15" customHeight="1" x14ac:dyDescent="0.2">
      <c r="A32" s="1052" t="s">
        <v>1427</v>
      </c>
      <c r="B32" s="1811" t="s">
        <v>1590</v>
      </c>
      <c r="C32" s="1811"/>
      <c r="D32" s="1811"/>
      <c r="E32" s="1811"/>
      <c r="F32" s="1811"/>
      <c r="G32" s="1811"/>
      <c r="H32" s="1811"/>
    </row>
    <row r="33" spans="1:8" ht="15" customHeight="1" x14ac:dyDescent="0.2">
      <c r="A33" s="1052"/>
      <c r="B33" s="1811" t="s">
        <v>1591</v>
      </c>
      <c r="C33" s="1811"/>
      <c r="D33" s="1811"/>
      <c r="E33" s="1811"/>
      <c r="F33" s="1811"/>
      <c r="G33" s="1811"/>
      <c r="H33" s="1811"/>
    </row>
    <row r="34" spans="1:8" ht="15" customHeight="1" x14ac:dyDescent="0.2">
      <c r="A34" s="1052" t="s">
        <v>1429</v>
      </c>
      <c r="B34" s="1811" t="s">
        <v>1590</v>
      </c>
      <c r="C34" s="1811"/>
      <c r="D34" s="1811"/>
      <c r="E34" s="1811"/>
      <c r="F34" s="1811"/>
      <c r="G34" s="1811"/>
      <c r="H34" s="1811"/>
    </row>
    <row r="35" spans="1:8" ht="15" customHeight="1" x14ac:dyDescent="0.2">
      <c r="A35" s="1052"/>
      <c r="B35" s="1811" t="s">
        <v>1591</v>
      </c>
      <c r="C35" s="1811"/>
      <c r="D35" s="1811"/>
      <c r="E35" s="1811"/>
      <c r="F35" s="1811"/>
      <c r="G35" s="1811"/>
      <c r="H35" s="1811"/>
    </row>
    <row r="36" spans="1:8" ht="15" customHeight="1" x14ac:dyDescent="0.2">
      <c r="A36" s="1052"/>
      <c r="B36" s="1811"/>
      <c r="C36" s="1811"/>
      <c r="D36" s="1811"/>
      <c r="E36" s="1811"/>
      <c r="F36" s="1811"/>
      <c r="G36" s="1811"/>
      <c r="H36" s="1811"/>
    </row>
    <row r="37" spans="1:8" ht="15" customHeight="1" x14ac:dyDescent="0.2">
      <c r="A37" s="1052"/>
      <c r="B37" s="1811"/>
      <c r="C37" s="1811"/>
      <c r="D37" s="1811"/>
      <c r="E37" s="1811"/>
      <c r="F37" s="1811"/>
      <c r="G37" s="1811"/>
      <c r="H37" s="1811"/>
    </row>
    <row r="38" spans="1:8" ht="15" customHeight="1" x14ac:dyDescent="0.2">
      <c r="A38" s="1052"/>
      <c r="B38" s="1811"/>
      <c r="C38" s="1811"/>
      <c r="D38" s="1811"/>
      <c r="E38" s="1811"/>
      <c r="F38" s="1811"/>
      <c r="G38" s="1811"/>
      <c r="H38" s="1811"/>
    </row>
    <row r="39" spans="1:8" ht="15" customHeight="1" x14ac:dyDescent="0.2">
      <c r="A39" s="1052"/>
      <c r="B39" s="1811"/>
      <c r="C39" s="1811"/>
      <c r="D39" s="1811"/>
      <c r="E39" s="1811"/>
      <c r="F39" s="1811"/>
      <c r="G39" s="1811"/>
      <c r="H39" s="1811"/>
    </row>
    <row r="40" spans="1:8" ht="15" customHeight="1" x14ac:dyDescent="0.2">
      <c r="A40" s="1052"/>
      <c r="B40" s="1811"/>
      <c r="C40" s="1811"/>
      <c r="D40" s="1811"/>
      <c r="E40" s="1811"/>
      <c r="F40" s="1811"/>
      <c r="G40" s="1811"/>
      <c r="H40" s="1811"/>
    </row>
    <row r="41" spans="1:8" ht="15" customHeight="1" x14ac:dyDescent="0.2">
      <c r="A41" s="1052"/>
      <c r="B41" s="1811"/>
      <c r="C41" s="1811"/>
      <c r="D41" s="1811"/>
      <c r="E41" s="1811"/>
      <c r="F41" s="1811"/>
      <c r="G41" s="1811"/>
      <c r="H41" s="1811"/>
    </row>
    <row r="42" spans="1:8" ht="15" customHeight="1" x14ac:dyDescent="0.2">
      <c r="A42" s="1052"/>
      <c r="B42" s="1811"/>
      <c r="C42" s="1811"/>
      <c r="D42" s="1811"/>
      <c r="E42" s="1811"/>
      <c r="F42" s="1811"/>
      <c r="G42" s="1811"/>
      <c r="H42" s="1811"/>
    </row>
    <row r="43" spans="1:8" ht="15" customHeight="1" x14ac:dyDescent="0.2">
      <c r="A43" s="1052"/>
      <c r="B43" s="1811"/>
      <c r="C43" s="1811"/>
      <c r="D43" s="1811"/>
      <c r="E43" s="1811"/>
      <c r="F43" s="1811"/>
      <c r="G43" s="1811"/>
      <c r="H43" s="1811"/>
    </row>
    <row r="44" spans="1:8" ht="15" customHeight="1" x14ac:dyDescent="0.2">
      <c r="A44" s="1052"/>
      <c r="B44" s="1811"/>
      <c r="C44" s="1811"/>
      <c r="D44" s="1811"/>
      <c r="E44" s="1811"/>
      <c r="F44" s="1811"/>
      <c r="G44" s="1811"/>
      <c r="H44" s="1811"/>
    </row>
    <row r="45" spans="1:8" ht="15" customHeight="1" x14ac:dyDescent="0.2">
      <c r="A45" s="1052"/>
      <c r="B45" s="1811"/>
      <c r="C45" s="1811"/>
      <c r="D45" s="1811"/>
      <c r="E45" s="1811"/>
      <c r="F45" s="1811"/>
      <c r="G45" s="1811"/>
      <c r="H45" s="1811"/>
    </row>
    <row r="46" spans="1:8" ht="15" customHeight="1" x14ac:dyDescent="0.2">
      <c r="A46" s="1052"/>
      <c r="B46" s="1811"/>
      <c r="C46" s="1811"/>
      <c r="D46" s="1811"/>
      <c r="E46" s="1811"/>
      <c r="F46" s="1811"/>
      <c r="G46" s="1811"/>
      <c r="H46" s="1811"/>
    </row>
    <row r="47" spans="1:8" ht="15" customHeight="1" x14ac:dyDescent="0.2">
      <c r="A47" s="1053"/>
      <c r="B47" s="1810"/>
      <c r="C47" s="1810"/>
      <c r="D47" s="1810"/>
      <c r="E47" s="1810"/>
      <c r="F47" s="1810"/>
      <c r="G47" s="1810"/>
      <c r="H47" s="1810"/>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9wyHVCJRgAxBPnEVeEf1PVEdoEq2ZYB32mrNOSg6bpY52j6bCQDNLoWGobqnQzApCrZh/9pPCDeGXucStrQ7gg==" saltValue="FymU9/U7qRv1g1BXuK0uC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2665">
        <v>1</v>
      </c>
      <c r="B13" s="2666" t="s">
        <v>1594</v>
      </c>
      <c r="C13" s="2667"/>
      <c r="D13" s="2667"/>
      <c r="E13" s="2667"/>
      <c r="F13" s="2667"/>
      <c r="G13" s="2667"/>
      <c r="H13" s="2667"/>
      <c r="I13" s="2667"/>
      <c r="J13" s="2668"/>
      <c r="L13" s="946" t="str">
        <f>IF(ISBLANK(A13),"",SUBSTITUTE(A13,"*",""))</f>
        <v>1</v>
      </c>
      <c r="M13" s="1537"/>
      <c r="N13" s="1539"/>
      <c r="O13" s="1528"/>
      <c r="P13" s="792"/>
      <c r="Q13" s="793" t="s">
        <v>1022</v>
      </c>
      <c r="R13" s="787" t="str">
        <f>CONCATENATE("[",P13, "] - ", Q13)</f>
        <v>[] - SHAPES</v>
      </c>
    </row>
    <row r="14" spans="1:22" ht="15.4" customHeight="1" x14ac:dyDescent="0.2">
      <c r="A14" s="2669">
        <v>2</v>
      </c>
      <c r="B14" s="2670" t="s">
        <v>1595</v>
      </c>
      <c r="C14" s="2671"/>
      <c r="D14" s="2671"/>
      <c r="E14" s="2671"/>
      <c r="F14" s="2671"/>
      <c r="G14" s="2671"/>
      <c r="H14" s="2671"/>
      <c r="I14" s="2671"/>
      <c r="J14" s="2672"/>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2669">
        <v>3</v>
      </c>
      <c r="B15" s="2670" t="s">
        <v>1596</v>
      </c>
      <c r="C15" s="2671"/>
      <c r="D15" s="2671"/>
      <c r="E15" s="2671"/>
      <c r="F15" s="2671"/>
      <c r="G15" s="2671"/>
      <c r="H15" s="2671"/>
      <c r="I15" s="2671"/>
      <c r="J15" s="2672"/>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2669">
        <v>4</v>
      </c>
      <c r="B16" s="2670" t="s">
        <v>1597</v>
      </c>
      <c r="C16" s="2671"/>
      <c r="D16" s="2671"/>
      <c r="E16" s="2671"/>
      <c r="F16" s="2671"/>
      <c r="G16" s="2671"/>
      <c r="H16" s="2671"/>
      <c r="I16" s="2671"/>
      <c r="J16" s="2672"/>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2669">
        <v>5</v>
      </c>
      <c r="B17" s="2670" t="s">
        <v>1598</v>
      </c>
      <c r="C17" s="2671"/>
      <c r="D17" s="2671"/>
      <c r="E17" s="2671"/>
      <c r="F17" s="2671"/>
      <c r="G17" s="2671"/>
      <c r="H17" s="2671"/>
      <c r="I17" s="2671"/>
      <c r="J17" s="2672"/>
      <c r="L17" s="946" t="str">
        <f t="shared" si="1"/>
        <v>5</v>
      </c>
      <c r="M17" s="1537"/>
      <c r="N17" s="1539"/>
      <c r="O17" s="1528"/>
      <c r="P17" s="794" t="s">
        <v>991</v>
      </c>
      <c r="Q17" s="795" t="s">
        <v>1026</v>
      </c>
      <c r="R17" s="788" t="str">
        <f t="shared" si="0"/>
        <v>[AC] - Arched Chords: (Depth=Designation) ##" TC Radius</v>
      </c>
    </row>
    <row r="18" spans="1:18" ht="15.4" customHeight="1" x14ac:dyDescent="0.2">
      <c r="A18" s="2669">
        <v>6</v>
      </c>
      <c r="B18" s="2670" t="s">
        <v>1599</v>
      </c>
      <c r="C18" s="2671"/>
      <c r="D18" s="2671"/>
      <c r="E18" s="2671"/>
      <c r="F18" s="2671"/>
      <c r="G18" s="2671"/>
      <c r="H18" s="2671"/>
      <c r="I18" s="2671"/>
      <c r="J18" s="2672"/>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2669">
        <v>7</v>
      </c>
      <c r="B19" s="2670" t="s">
        <v>1600</v>
      </c>
      <c r="C19" s="2671"/>
      <c r="D19" s="2671"/>
      <c r="E19" s="2671"/>
      <c r="F19" s="2671"/>
      <c r="G19" s="2671"/>
      <c r="H19" s="2671"/>
      <c r="I19" s="2671"/>
      <c r="J19" s="2672"/>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2669">
        <v>8</v>
      </c>
      <c r="B20" s="2670" t="s">
        <v>1601</v>
      </c>
      <c r="C20" s="2671"/>
      <c r="D20" s="2671"/>
      <c r="E20" s="2671"/>
      <c r="F20" s="2671"/>
      <c r="G20" s="2671"/>
      <c r="H20" s="2671"/>
      <c r="I20" s="2671"/>
      <c r="J20" s="2672"/>
      <c r="L20" s="946" t="str">
        <f t="shared" si="1"/>
        <v>8</v>
      </c>
      <c r="M20" s="1537"/>
      <c r="N20" s="1539"/>
      <c r="O20" s="1528"/>
      <c r="P20" s="794"/>
      <c r="Q20" s="795" t="s">
        <v>1028</v>
      </c>
      <c r="R20" s="788" t="str">
        <f t="shared" si="0"/>
        <v>[] - DEFLECTION</v>
      </c>
    </row>
    <row r="21" spans="1:18" ht="15.4" customHeight="1" x14ac:dyDescent="0.2">
      <c r="A21" s="2669">
        <v>9</v>
      </c>
      <c r="B21" s="2673" t="s">
        <v>1602</v>
      </c>
      <c r="C21" s="2674"/>
      <c r="D21" s="2674"/>
      <c r="E21" s="2674"/>
      <c r="F21" s="2674"/>
      <c r="G21" s="2674"/>
      <c r="H21" s="2674"/>
      <c r="I21" s="2674"/>
      <c r="J21" s="2675"/>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2669">
        <v>10</v>
      </c>
      <c r="B22" s="2670" t="s">
        <v>1603</v>
      </c>
      <c r="C22" s="2671"/>
      <c r="D22" s="2671"/>
      <c r="E22" s="2671"/>
      <c r="F22" s="2671"/>
      <c r="G22" s="2671"/>
      <c r="H22" s="2671"/>
      <c r="I22" s="2671"/>
      <c r="J22" s="2672"/>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2669">
        <v>11</v>
      </c>
      <c r="B23" s="2666" t="s">
        <v>1604</v>
      </c>
      <c r="C23" s="2667"/>
      <c r="D23" s="2667"/>
      <c r="E23" s="2667"/>
      <c r="F23" s="2667"/>
      <c r="G23" s="2667"/>
      <c r="H23" s="2667"/>
      <c r="I23" s="2667"/>
      <c r="J23" s="2668"/>
      <c r="L23" s="946" t="str">
        <f t="shared" si="1"/>
        <v>11</v>
      </c>
      <c r="M23" s="1537"/>
      <c r="N23" s="1539"/>
      <c r="O23" s="1528"/>
      <c r="P23" s="794" t="s">
        <v>988</v>
      </c>
      <c r="Q23" s="795" t="s">
        <v>1032</v>
      </c>
      <c r="R23" s="788" t="str">
        <f t="shared" si="0"/>
        <v>[DefTCX] - TCXL|TCXR Deflection = ##" Max Due To ### PLF LL|DL|TL</v>
      </c>
    </row>
    <row r="24" spans="1:18" ht="15.4" customHeight="1" x14ac:dyDescent="0.2">
      <c r="A24" s="2669">
        <v>12</v>
      </c>
      <c r="B24" s="2670" t="s">
        <v>1697</v>
      </c>
      <c r="C24" s="2671"/>
      <c r="D24" s="2671"/>
      <c r="E24" s="2671"/>
      <c r="F24" s="2671"/>
      <c r="G24" s="2671"/>
      <c r="H24" s="2671"/>
      <c r="I24" s="2671"/>
      <c r="J24" s="2672"/>
      <c r="L24" s="946" t="str">
        <f t="shared" si="1"/>
        <v>12</v>
      </c>
      <c r="M24" s="1537"/>
      <c r="N24" s="1539"/>
      <c r="O24" s="1528"/>
      <c r="P24" s="794" t="s">
        <v>989</v>
      </c>
      <c r="Q24" s="795" t="s">
        <v>1031</v>
      </c>
      <c r="R24" s="788" t="str">
        <f t="shared" si="0"/>
        <v>[DefSP] - Special Deflection = ##" Max Due To ### PLF LL|DL|TL</v>
      </c>
    </row>
    <row r="25" spans="1:18" ht="15.4" customHeight="1" x14ac:dyDescent="0.2">
      <c r="A25" s="2669">
        <v>13</v>
      </c>
      <c r="B25" s="2670" t="s">
        <v>1605</v>
      </c>
      <c r="C25" s="2671"/>
      <c r="D25" s="2671"/>
      <c r="E25" s="2671"/>
      <c r="F25" s="2671"/>
      <c r="G25" s="2671"/>
      <c r="H25" s="2671"/>
      <c r="I25" s="2671"/>
      <c r="J25" s="2672"/>
      <c r="L25" s="946" t="str">
        <f t="shared" si="1"/>
        <v>13</v>
      </c>
      <c r="M25" s="1537"/>
      <c r="N25" s="1539"/>
      <c r="O25" s="1528"/>
      <c r="P25" s="794"/>
      <c r="Q25" s="795" t="s">
        <v>1033</v>
      </c>
      <c r="R25" s="788" t="str">
        <f t="shared" si="0"/>
        <v>[] - BEARING SEATS</v>
      </c>
    </row>
    <row r="26" spans="1:18" ht="15.4" customHeight="1" x14ac:dyDescent="0.2">
      <c r="A26" s="2669"/>
      <c r="B26" s="2670"/>
      <c r="C26" s="2671"/>
      <c r="D26" s="2671"/>
      <c r="E26" s="2671"/>
      <c r="F26" s="2671"/>
      <c r="G26" s="2671"/>
      <c r="H26" s="2671"/>
      <c r="I26" s="2671"/>
      <c r="J26" s="2672"/>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2669"/>
      <c r="B27" s="2670"/>
      <c r="C27" s="2671"/>
      <c r="D27" s="2671"/>
      <c r="E27" s="2671"/>
      <c r="F27" s="2671"/>
      <c r="G27" s="2671"/>
      <c r="H27" s="2671"/>
      <c r="I27" s="2671"/>
      <c r="J27" s="2672"/>
      <c r="L27" s="946" t="str">
        <f t="shared" si="1"/>
        <v>13</v>
      </c>
      <c r="M27" s="1537"/>
      <c r="N27" s="1528"/>
      <c r="O27" s="1528"/>
      <c r="P27" s="794" t="s">
        <v>1000</v>
      </c>
      <c r="Q27" s="795" t="s">
        <v>1046</v>
      </c>
      <c r="R27" s="788" t="str">
        <f t="shared" si="0"/>
        <v>[AddSlt] - Addn'l Seat Slots @ #" from L-OAL|R-OAL</v>
      </c>
    </row>
    <row r="28" spans="1:18" ht="15.4" customHeight="1" x14ac:dyDescent="0.2">
      <c r="A28" s="2669"/>
      <c r="B28" s="2670"/>
      <c r="C28" s="2671"/>
      <c r="D28" s="2671"/>
      <c r="E28" s="2671"/>
      <c r="F28" s="2671"/>
      <c r="G28" s="2671"/>
      <c r="H28" s="2671"/>
      <c r="I28" s="2671"/>
      <c r="J28" s="2672"/>
      <c r="L28" s="946" t="str">
        <f t="shared" si="1"/>
        <v>13</v>
      </c>
      <c r="M28" s="1537"/>
      <c r="N28" s="1528"/>
      <c r="O28" s="1528"/>
      <c r="P28" s="794" t="s">
        <v>981</v>
      </c>
      <c r="Q28" s="795" t="s">
        <v>1043</v>
      </c>
      <c r="R28" s="788" t="str">
        <f t="shared" si="0"/>
        <v>[BCBrg] - Bottom Chord Bearing @ LE|RE|BE</v>
      </c>
    </row>
    <row r="29" spans="1:18" ht="15.4" customHeight="1" x14ac:dyDescent="0.2">
      <c r="A29" s="2669"/>
      <c r="B29" s="2670"/>
      <c r="C29" s="2671"/>
      <c r="D29" s="2671"/>
      <c r="E29" s="2671"/>
      <c r="F29" s="2671"/>
      <c r="G29" s="2671"/>
      <c r="H29" s="2671"/>
      <c r="I29" s="2671"/>
      <c r="J29" s="2672"/>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2669"/>
      <c r="B30" s="2670"/>
      <c r="C30" s="2671"/>
      <c r="D30" s="2671"/>
      <c r="E30" s="2671"/>
      <c r="F30" s="2671"/>
      <c r="G30" s="2671"/>
      <c r="H30" s="2671"/>
      <c r="I30" s="2671"/>
      <c r="J30" s="2672"/>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2669"/>
      <c r="B31" s="2670"/>
      <c r="C31" s="2671"/>
      <c r="D31" s="2671"/>
      <c r="E31" s="2671"/>
      <c r="F31" s="2671"/>
      <c r="G31" s="2671"/>
      <c r="H31" s="2671"/>
      <c r="I31" s="2671"/>
      <c r="J31" s="2672"/>
      <c r="L31" s="946" t="str">
        <f t="shared" si="1"/>
        <v>13</v>
      </c>
      <c r="M31" s="1537"/>
      <c r="N31" s="1528"/>
      <c r="O31" s="1528"/>
      <c r="P31" s="794" t="s">
        <v>979</v>
      </c>
      <c r="Q31" s="795" t="s">
        <v>1047</v>
      </c>
      <c r="R31" s="788" t="str">
        <f t="shared" si="0"/>
        <v>[BPThk] - Min Thickness of Base Plate = 0.xxx" @ LE|RE|BE</v>
      </c>
    </row>
    <row r="32" spans="1:18" ht="15.4" customHeight="1" x14ac:dyDescent="0.2">
      <c r="A32" s="2669"/>
      <c r="B32" s="2670"/>
      <c r="C32" s="2671"/>
      <c r="D32" s="2671"/>
      <c r="E32" s="2671"/>
      <c r="F32" s="2671"/>
      <c r="G32" s="2671"/>
      <c r="H32" s="2671"/>
      <c r="I32" s="2671"/>
      <c r="J32" s="2672"/>
      <c r="L32" s="946" t="str">
        <f t="shared" si="1"/>
        <v>13</v>
      </c>
      <c r="M32" s="1537"/>
      <c r="N32" s="1528"/>
      <c r="O32" s="1528"/>
      <c r="P32" s="794" t="s">
        <v>1001</v>
      </c>
      <c r="Q32" s="795" t="s">
        <v>1002</v>
      </c>
      <c r="R32" s="788" t="str">
        <f t="shared" si="0"/>
        <v>[ClrBrg] - Min Clear Bearing = #" @ LE(RE)(BE)</v>
      </c>
    </row>
    <row r="33" spans="1:18" ht="15.4" customHeight="1" x14ac:dyDescent="0.2">
      <c r="A33" s="2669"/>
      <c r="B33" s="2670"/>
      <c r="C33" s="2671"/>
      <c r="D33" s="2671"/>
      <c r="E33" s="2671"/>
      <c r="F33" s="2671"/>
      <c r="G33" s="2671"/>
      <c r="H33" s="2671"/>
      <c r="I33" s="2671"/>
      <c r="J33" s="2672"/>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2669"/>
      <c r="B34" s="2670"/>
      <c r="C34" s="2671"/>
      <c r="D34" s="2671"/>
      <c r="E34" s="2671"/>
      <c r="F34" s="2671"/>
      <c r="G34" s="2671"/>
      <c r="H34" s="2671"/>
      <c r="I34" s="2671"/>
      <c r="J34" s="2672"/>
      <c r="L34" s="946" t="str">
        <f t="shared" si="1"/>
        <v>13</v>
      </c>
      <c r="M34" s="1537"/>
      <c r="N34" s="1528"/>
      <c r="O34" s="1528"/>
      <c r="P34" s="794" t="s">
        <v>1038</v>
      </c>
      <c r="Q34" s="795" t="s">
        <v>1040</v>
      </c>
      <c r="R34" s="788" t="str">
        <f t="shared" si="0"/>
        <v>[KickLd] - Axial Load Due To Kicker, No Rein Req’d</v>
      </c>
    </row>
    <row r="35" spans="1:18" ht="15.4" customHeight="1" x14ac:dyDescent="0.2">
      <c r="A35" s="2669"/>
      <c r="B35" s="2670"/>
      <c r="C35" s="2671"/>
      <c r="D35" s="2671"/>
      <c r="E35" s="2671"/>
      <c r="F35" s="2671"/>
      <c r="G35" s="2671"/>
      <c r="H35" s="2671"/>
      <c r="I35" s="2671"/>
      <c r="J35" s="2672"/>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2669"/>
      <c r="B36" s="2670"/>
      <c r="C36" s="2671"/>
      <c r="D36" s="2671"/>
      <c r="E36" s="2671"/>
      <c r="F36" s="2671"/>
      <c r="G36" s="2671"/>
      <c r="H36" s="2671"/>
      <c r="I36" s="2671"/>
      <c r="J36" s="2672"/>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2669"/>
      <c r="B37" s="2670"/>
      <c r="C37" s="2671"/>
      <c r="D37" s="2671"/>
      <c r="E37" s="2671"/>
      <c r="F37" s="2671"/>
      <c r="G37" s="2671"/>
      <c r="H37" s="2671"/>
      <c r="I37" s="2671"/>
      <c r="J37" s="2672"/>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2669"/>
      <c r="B38" s="2670"/>
      <c r="C38" s="2671"/>
      <c r="D38" s="2671"/>
      <c r="E38" s="2671"/>
      <c r="F38" s="2671"/>
      <c r="G38" s="2671"/>
      <c r="H38" s="2671"/>
      <c r="I38" s="2671"/>
      <c r="J38" s="2672"/>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2669"/>
      <c r="B39" s="2670"/>
      <c r="C39" s="2671"/>
      <c r="D39" s="2671"/>
      <c r="E39" s="2671"/>
      <c r="F39" s="2671"/>
      <c r="G39" s="2671"/>
      <c r="H39" s="2671"/>
      <c r="I39" s="2671"/>
      <c r="J39" s="2672"/>
      <c r="L39" s="946" t="str">
        <f t="shared" si="1"/>
        <v>13</v>
      </c>
      <c r="M39" s="1537"/>
      <c r="N39" s="1528"/>
      <c r="O39" s="1528"/>
      <c r="P39" s="794" t="s">
        <v>1082</v>
      </c>
      <c r="Q39" s="795" t="s">
        <v>1083</v>
      </c>
      <c r="R39" s="788" t="str">
        <f t="shared" si="0"/>
        <v>[RndShrtSlt] - #/#" Round Holes|#/#”x1” Slots, Ga=#” @ LE|RE|BE</v>
      </c>
    </row>
    <row r="40" spans="1:18" ht="15.4" customHeight="1" x14ac:dyDescent="0.2">
      <c r="A40" s="2669"/>
      <c r="B40" s="2670"/>
      <c r="C40" s="2671"/>
      <c r="D40" s="2671"/>
      <c r="E40" s="2671"/>
      <c r="F40" s="2671"/>
      <c r="G40" s="2671"/>
      <c r="H40" s="2671"/>
      <c r="I40" s="2671"/>
      <c r="J40" s="2672"/>
      <c r="L40" s="946" t="str">
        <f t="shared" si="1"/>
        <v>13</v>
      </c>
      <c r="M40" s="1537"/>
      <c r="N40" s="1528"/>
      <c r="O40" s="1528"/>
      <c r="P40" s="794" t="s">
        <v>1041</v>
      </c>
      <c r="Q40" s="795" t="s">
        <v>1042</v>
      </c>
      <c r="R40" s="788" t="str">
        <f t="shared" si="0"/>
        <v>[Roll] - Seat Rollover Force = ##Kips @ LE|RE|BE</v>
      </c>
    </row>
    <row r="41" spans="1:18" ht="15.4" customHeight="1" x14ac:dyDescent="0.2">
      <c r="A41" s="2669"/>
      <c r="B41" s="2670"/>
      <c r="C41" s="2671"/>
      <c r="D41" s="2671"/>
      <c r="E41" s="2671"/>
      <c r="F41" s="2671"/>
      <c r="G41" s="2671"/>
      <c r="H41" s="2671"/>
      <c r="I41" s="2671"/>
      <c r="J41" s="2672"/>
      <c r="L41" s="946" t="str">
        <f t="shared" si="1"/>
        <v>13</v>
      </c>
      <c r="M41" s="1537"/>
      <c r="N41" s="1528"/>
      <c r="O41" s="1528"/>
      <c r="P41" s="794" t="s">
        <v>1074</v>
      </c>
      <c r="Q41" s="795" t="s">
        <v>1075</v>
      </c>
      <c r="R41" s="788" t="str">
        <f t="shared" si="0"/>
        <v>[ShrtBrg] - Short Bearing = #” @ LE|RE|BE</v>
      </c>
    </row>
    <row r="42" spans="1:18" ht="15.4" customHeight="1" x14ac:dyDescent="0.2">
      <c r="A42" s="2669"/>
      <c r="B42" s="2670"/>
      <c r="C42" s="2671"/>
      <c r="D42" s="2671"/>
      <c r="E42" s="2671"/>
      <c r="F42" s="2671"/>
      <c r="G42" s="2671"/>
      <c r="H42" s="2671"/>
      <c r="I42" s="2671"/>
      <c r="J42" s="2672"/>
      <c r="L42" s="946" t="str">
        <f t="shared" si="1"/>
        <v>13</v>
      </c>
      <c r="M42" s="1537"/>
      <c r="N42" s="1528"/>
      <c r="O42" s="1528"/>
      <c r="P42" s="794" t="s">
        <v>1078</v>
      </c>
      <c r="Q42" s="795" t="s">
        <v>990</v>
      </c>
      <c r="R42" s="788" t="str">
        <f t="shared" si="0"/>
        <v>[Skew] - ##º Half(Full)-Skew, NS(FS), LE(RE)</v>
      </c>
    </row>
    <row r="43" spans="1:18" ht="15.4" customHeight="1" x14ac:dyDescent="0.2">
      <c r="A43" s="2669"/>
      <c r="B43" s="2670"/>
      <c r="C43" s="2671"/>
      <c r="D43" s="2671"/>
      <c r="E43" s="2671"/>
      <c r="F43" s="2671"/>
      <c r="G43" s="2671"/>
      <c r="H43" s="2671"/>
      <c r="I43" s="2671"/>
      <c r="J43" s="2672"/>
      <c r="L43" s="946" t="str">
        <f t="shared" si="1"/>
        <v>13</v>
      </c>
      <c r="M43" s="1537"/>
      <c r="N43" s="1528"/>
      <c r="O43" s="1528"/>
      <c r="P43" s="794" t="s">
        <v>976</v>
      </c>
      <c r="Q43" s="795" t="s">
        <v>1045</v>
      </c>
      <c r="R43" s="788" t="str">
        <f t="shared" si="0"/>
        <v>[SpSlt] - Special Seat Slots: #"x#" Slots, Ga=#" @ LE|RE|BE</v>
      </c>
    </row>
    <row r="44" spans="1:18" ht="15.4" customHeight="1" x14ac:dyDescent="0.2">
      <c r="A44" s="2669"/>
      <c r="B44" s="2670"/>
      <c r="C44" s="2671"/>
      <c r="D44" s="2671"/>
      <c r="E44" s="2671"/>
      <c r="F44" s="2671"/>
      <c r="G44" s="2671"/>
      <c r="H44" s="2671"/>
      <c r="I44" s="2671"/>
      <c r="J44" s="2672"/>
      <c r="L44" s="946" t="str">
        <f t="shared" si="1"/>
        <v>13</v>
      </c>
      <c r="M44" s="1537"/>
      <c r="N44" s="1528"/>
      <c r="O44" s="1528"/>
      <c r="P44" s="794" t="s">
        <v>975</v>
      </c>
      <c r="Q44" s="795" t="s">
        <v>1044</v>
      </c>
      <c r="R44" s="788" t="str">
        <f t="shared" si="0"/>
        <v>[StgSlt] - Stagger Seat Slots LE|RE: ##" NS, ##" FS</v>
      </c>
    </row>
    <row r="45" spans="1:18" ht="15.4" customHeight="1" x14ac:dyDescent="0.2">
      <c r="A45" s="2669"/>
      <c r="B45" s="2670"/>
      <c r="C45" s="2671"/>
      <c r="D45" s="2671"/>
      <c r="E45" s="2671"/>
      <c r="F45" s="2671"/>
      <c r="G45" s="2671"/>
      <c r="H45" s="2671"/>
      <c r="I45" s="2671"/>
      <c r="J45" s="2672"/>
      <c r="L45" s="946" t="str">
        <f t="shared" si="1"/>
        <v>13</v>
      </c>
      <c r="M45" s="1537"/>
      <c r="N45" s="1528"/>
      <c r="O45" s="1528"/>
      <c r="P45" s="794" t="s">
        <v>980</v>
      </c>
      <c r="Q45" s="795" t="s">
        <v>1034</v>
      </c>
      <c r="R45" s="788" t="str">
        <f t="shared" si="0"/>
        <v>[TCXMax] - Max Depth of TCXL|TCXR = ##"</v>
      </c>
    </row>
    <row r="46" spans="1:18" ht="15.4" customHeight="1" x14ac:dyDescent="0.2">
      <c r="A46" s="2669"/>
      <c r="B46" s="2670"/>
      <c r="C46" s="2671"/>
      <c r="D46" s="2671"/>
      <c r="E46" s="2671"/>
      <c r="F46" s="2671"/>
      <c r="G46" s="2671"/>
      <c r="H46" s="2671"/>
      <c r="I46" s="2671"/>
      <c r="J46" s="2672"/>
      <c r="L46" s="946" t="str">
        <f t="shared" si="1"/>
        <v>13</v>
      </c>
      <c r="M46" s="1537"/>
      <c r="N46" s="1528"/>
      <c r="O46" s="1528"/>
      <c r="P46" s="794" t="s">
        <v>974</v>
      </c>
      <c r="Q46" s="795" t="s">
        <v>1076</v>
      </c>
      <c r="R46" s="788" t="str">
        <f t="shared" si="0"/>
        <v>[TCXSup] - TCXL|TCXR Supported @ End</v>
      </c>
    </row>
    <row r="47" spans="1:18" ht="15.4" customHeight="1" x14ac:dyDescent="0.2">
      <c r="A47" s="2669"/>
      <c r="B47" s="2670"/>
      <c r="C47" s="2671"/>
      <c r="D47" s="2671"/>
      <c r="E47" s="2671"/>
      <c r="F47" s="2671"/>
      <c r="G47" s="2671"/>
      <c r="H47" s="2671"/>
      <c r="I47" s="2671"/>
      <c r="J47" s="2672"/>
      <c r="L47" s="946" t="str">
        <f t="shared" si="1"/>
        <v>13</v>
      </c>
      <c r="M47" s="1537"/>
      <c r="N47" s="1528"/>
      <c r="O47" s="1528"/>
      <c r="P47" s="794"/>
      <c r="Q47" s="795" t="s">
        <v>1050</v>
      </c>
      <c r="R47" s="788" t="str">
        <f t="shared" si="0"/>
        <v>[] - MISCELLANEOUS</v>
      </c>
    </row>
    <row r="48" spans="1:18" ht="15.4" customHeight="1" x14ac:dyDescent="0.2">
      <c r="A48" s="2669"/>
      <c r="B48" s="2670"/>
      <c r="C48" s="2671"/>
      <c r="D48" s="2671"/>
      <c r="E48" s="2671"/>
      <c r="F48" s="2671"/>
      <c r="G48" s="2671"/>
      <c r="H48" s="2671"/>
      <c r="I48" s="2671"/>
      <c r="J48" s="2672"/>
      <c r="L48" s="946" t="str">
        <f t="shared" si="1"/>
        <v>13</v>
      </c>
      <c r="M48" s="1537"/>
      <c r="N48" s="1528"/>
      <c r="O48" s="1528"/>
      <c r="P48" s="794" t="s">
        <v>982</v>
      </c>
      <c r="Q48" s="795" t="s">
        <v>1053</v>
      </c>
      <c r="R48" s="788" t="str">
        <f t="shared" si="0"/>
        <v>[BClip] - Bridging Clip(s) Required per Plan</v>
      </c>
    </row>
    <row r="49" spans="1:18" ht="15.4" customHeight="1" x14ac:dyDescent="0.2">
      <c r="A49" s="2669"/>
      <c r="B49" s="2670"/>
      <c r="C49" s="2671"/>
      <c r="D49" s="2671"/>
      <c r="E49" s="2671"/>
      <c r="F49" s="2671"/>
      <c r="G49" s="2671"/>
      <c r="H49" s="2671"/>
      <c r="I49" s="2671"/>
      <c r="J49" s="2672"/>
      <c r="L49" s="946" t="str">
        <f t="shared" si="1"/>
        <v>13</v>
      </c>
      <c r="M49" s="1537"/>
      <c r="N49" s="1528"/>
      <c r="O49" s="1528"/>
      <c r="P49" s="794" t="s">
        <v>978</v>
      </c>
      <c r="Q49" s="795" t="s">
        <v>970</v>
      </c>
      <c r="R49" s="788" t="str">
        <f t="shared" si="0"/>
        <v>[BCThk] - Min Thickness of BC = 0.xxx"</v>
      </c>
    </row>
    <row r="50" spans="1:18" ht="15.4" customHeight="1" x14ac:dyDescent="0.2">
      <c r="A50" s="2669"/>
      <c r="B50" s="2670"/>
      <c r="C50" s="2671"/>
      <c r="D50" s="2671"/>
      <c r="E50" s="2671"/>
      <c r="F50" s="2671"/>
      <c r="G50" s="2671"/>
      <c r="H50" s="2671"/>
      <c r="I50" s="2671"/>
      <c r="J50" s="2672"/>
      <c r="L50" s="946" t="str">
        <f t="shared" si="1"/>
        <v>13</v>
      </c>
      <c r="M50" s="1537"/>
      <c r="N50" s="1528"/>
      <c r="O50" s="1528"/>
      <c r="P50" s="794" t="s">
        <v>1079</v>
      </c>
      <c r="Q50" s="795" t="s">
        <v>1052</v>
      </c>
      <c r="R50" s="788" t="str">
        <f t="shared" si="0"/>
        <v>[Camb] - Camber = #"|Camber for DL|50% Std Camber|No Camber</v>
      </c>
    </row>
    <row r="51" spans="1:18" ht="15.4" customHeight="1" x14ac:dyDescent="0.2">
      <c r="A51" s="2676"/>
      <c r="B51" s="2677"/>
      <c r="C51" s="2678"/>
      <c r="D51" s="2678"/>
      <c r="E51" s="2678"/>
      <c r="F51" s="2678"/>
      <c r="G51" s="2678"/>
      <c r="H51" s="2678"/>
      <c r="I51" s="2678"/>
      <c r="J51" s="2679"/>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1696</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sDF4It2FOivRs6bbEh75qIk7E4UPgzx28UaZlWl86XRJmTxuPPkdbu3likeSpGzeq1W/hchZXsjJ++tCS+e6Rg==" saltValue="zKtf0HiLALsBTt/KjZurd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623"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FE3BD9A-672B-43C9-BA51-EEE406149484}" mc:Ignorable="x14ac xr xr2 xr3">
  <x:sheetPr codeName="Sheet28">
    <x:tabColor indexed="44"/>
  </x:sheetPr>
  <x:dimension ref="A1:V100"/>
  <x:sheetViews>
    <x:sheetView showGridLines="0" zoomScaleNormal="100" zoomScaleSheetLayoutView="100" workbookViewId="0">
      <x:selection activeCell="H7" sqref="H7"/>
    </x:sheetView>
  </x:sheetViews>
  <x:sheetFormatPr defaultRowHeight="12" x14ac:dyDescent="0.2"/>
  <x:cols>
    <x:col min="1" max="1" width="10.7109375" style="245" customWidth="1"/>
    <x:col min="2" max="2" width="30.7109375" style="245" customWidth="1"/>
    <x:col min="3" max="6" width="6.42578125" style="245" customWidth="1"/>
    <x:col min="7" max="7" width="10.7109375" style="245" customWidth="1"/>
    <x:col min="8" max="8" width="6.7109375" style="245" customWidth="1"/>
    <x:col min="9" max="9" width="7.28515625" style="245" customWidth="1"/>
    <x:col min="10" max="10" width="10.7109375" style="245" customWidth="1"/>
    <x:col min="11" max="11" width="6.7109375" style="245" customWidth="1"/>
    <x:col min="12" max="13" width="5.7109375" style="245" hidden="1" customWidth="1"/>
    <x:col min="14" max="14" width="8.7109375" style="245" hidden="1" customWidth="1"/>
    <x:col min="15" max="15" width="8.7109375" style="784" hidden="1" customWidth="1"/>
    <x:col min="16" max="16" width="11.28515625" style="245" hidden="1" customWidth="1"/>
    <x:col min="17" max="18" width="15.7109375" style="245" hidden="1" customWidth="1"/>
    <x:col min="19" max="21" width="9.140625" style="245" hidden="1" customWidth="1"/>
    <x:col min="22" max="16384" width="9.140625" style="245"/>
  </x:cols>
  <x:sheetData>
    <x:row r="1" spans="1:22" ht="15" customHeight="1" thickBot="1" x14ac:dyDescent="0.25">
      <x:c r="A1" s="374"/>
      <x:c r="B1" s="374"/>
      <x:c r="C1" s="374"/>
      <x:c r="D1" s="1832" t="str">
        <x:f>IF(L1="","",VLOOKUP(L1,'Job Info.'!X:AA,4,FALSE))</x:f>
        <x:v>Master</x:v>
      </x:c>
      <x:c r="E1" s="1832"/>
      <x:c r="F1" s="1832"/>
      <x:c r="G1" s="1833" t="s">
        <x:v>95</x:v>
      </x:c>
      <x:c r="H1" s="1834"/>
      <x:c r="I1" s="1835" t="str">
        <x:f ca="1">'Job Info.'!D12</x:f>
        <x:v>775-428-0600</x:v>
      </x:c>
      <x:c r="J1" s="1836"/>
      <x:c r="K1" s="484" t="s">
        <x:v>722</x:v>
      </x:c>
      <x:c r="L1" s="378" t="str">
        <x:f>'Job Info.'!Q30</x:f>
        <x:v>M</x:v>
      </x:c>
      <x:c r="M1" s="378" t="b">
        <x:f>'Job Info.'!Q32</x:f>
        <x:v>0</x:v>
      </x:c>
      <x:c r="N1" s="378"/>
      <x:c r="R1" s="256" t="s">
        <x:v>1263</x:v>
      </x:c>
      <x:c r="S1" s="633" t="s">
        <x:v>1698</x:v>
      </x:c>
      <x:c r="T1" s="633" t="s">
        <x:v>1271</x:v>
      </x:c>
      <x:c r="V1" s="485" t="s">
        <x:v>723</x:v>
      </x:c>
    </x:row>
    <x:row r="2" spans="1:22" ht="12.95" customHeight="1" thickTop="1" x14ac:dyDescent="0.2">
      <x:c r="A2" s="374"/>
      <x:c r="B2" s="374"/>
      <x:c r="C2" s="374"/>
      <x:c r="D2" s="1837" t="str">
        <x:f>IF(L1="","",IF(VLOOKUP(L1,'Job Info.'!X:Z,2,FALSE),"Released for Fabrication",""))</x:f>
        <x:v/>
      </x:c>
      <x:c r="E2" s="1838"/>
      <x:c r="F2" s="1839"/>
      <x:c r="G2" s="1833" t="s">
        <x:v>96</x:v>
      </x:c>
      <x:c r="H2" s="1833"/>
      <x:c r="I2" s="1835" t="str">
        <x:f ca="1">'Job Info.'!D13</x:f>
        <x:v>775-867-2140</x:v>
      </x:c>
      <x:c r="J2" s="1836"/>
      <x:c r="S2" s="633" t="s">
        <x:v>35</x:v>
      </x:c>
      <x:c r="T2" s="633" t="s">
        <x:v>1267</x:v>
      </x:c>
    </x:row>
    <x:row r="3" spans="1:22" ht="12.95" customHeight="1" x14ac:dyDescent="0.2">
      <x:c r="A3" s="374"/>
      <x:c r="B3" s="374"/>
      <x:c r="C3" s="374"/>
      <x:c r="D3" s="1840"/>
      <x:c r="E3" s="1841"/>
      <x:c r="F3" s="1842"/>
      <x:c r="G3" s="1833" t="s">
        <x:v>98</x:v>
      </x:c>
      <x:c r="H3" s="1833"/>
      <x:c r="I3" s="1835" t="str">
        <x:f ca="1">'Job Info.'!D14</x:f>
        <x:v>775-867-2169</x:v>
      </x:c>
      <x:c r="J3" s="1836"/>
      <x:c r="S3" s="633" t="s">
        <x:v>1572</x:v>
      </x:c>
      <x:c r="T3" s="633" t="s">
        <x:v>1268</x:v>
      </x:c>
    </x:row>
    <x:row r="4" spans="1:22" ht="12.95" customHeight="1" thickBot="1" x14ac:dyDescent="0.25">
      <x:c r="A4" s="374"/>
      <x:c r="B4" s="374"/>
      <x:c r="C4" s="374"/>
      <x:c r="D4" s="1843" t="str">
        <x:f>IF(L1="","",IF(VLOOKUP(L1,'Job Info.'!X:Z,2,FALSE),VLOOKUP(L1,'Job Info.'!X:Z,3,FALSE),""))</x:f>
        <x:v/>
      </x:c>
      <x:c r="E4" s="1844"/>
      <x:c r="F4" s="1845"/>
      <x:c r="G4" s="1833" t="s">
        <x:v>97</x:v>
      </x:c>
      <x:c r="H4" s="1833"/>
      <x:c r="I4" s="1835" t="str">
        <x:f ca="1">'Job Info.'!D15</x:f>
        <x:v>775-867-2060</x:v>
      </x:c>
      <x:c r="J4" s="1836"/>
      <x:c r="S4" s="633" t="s">
        <x:v>1569</x:v>
      </x:c>
      <x:c r="T4" s="633" t="s">
        <x:v>1269</x:v>
      </x:c>
    </x:row>
    <x:row r="5" spans="1:22" ht="12.95" customHeight="1" thickTop="1" x14ac:dyDescent="0.2">
      <x:c r="A5" s="1846" t="str">
        <x:f ca="1">'Job Info.'!D11</x:f>
        <x:v>8200 Woolery Way | Fallon, NV 89406 | www.newmill.com</x:v>
      </x:c>
      <x:c r="B5" s="1846"/>
      <x:c r="C5" s="1846"/>
      <x:c r="D5" s="1846"/>
      <x:c r="E5" s="1846"/>
      <x:c r="F5" s="1846"/>
      <x:c r="G5" s="233"/>
      <x:c r="H5" s="374"/>
      <x:c r="I5" s="374"/>
      <x:c r="J5" s="374"/>
      <x:c r="S5" s="633" t="s">
        <x:v>438</x:v>
      </x:c>
      <x:c r="T5" s="633" t="s">
        <x:v>1270</x:v>
      </x:c>
    </x:row>
    <x:row r="6" spans="1:22" ht="12.95" customHeight="1" x14ac:dyDescent="0.2">
      <x:c r="A6" s="374"/>
      <x:c r="B6" s="374"/>
      <x:c r="C6" s="374"/>
      <x:c r="D6" s="374"/>
      <x:c r="E6" s="374"/>
      <x:c r="F6" s="374"/>
      <x:c r="G6" s="462" t="s">
        <x:v>20</x:v>
      </x:c>
      <x:c r="H6" s="1847">
        <x:f>IF(ISBLANK('Job Info.'!D8),"",'Job Info.'!D8)</x:f>
        <x:v>45048</x:v>
      </x:c>
      <x:c r="I6" s="1847"/>
      <x:c r="J6" s="374"/>
      <x:c r="L6" s="503" t="s">
        <x:v>1132</x:v>
      </x:c>
      <x:c r="M6" s="381"/>
      <x:c r="N6" s="381"/>
      <x:c r="S6" s="245" t="s">
        <x:v>148</x:v>
      </x:c>
      <x:c r="T6" s="633" t="s">
        <x:v>1272</x:v>
      </x:c>
    </x:row>
    <x:row r="7" spans="1:22" ht="12.95" customHeight="1" x14ac:dyDescent="0.2">
      <x:c r="A7" s="395" t="s">
        <x:v>29</x:v>
      </x:c>
      <x:c r="B7" s="374"/>
      <x:c r="C7" s="374"/>
      <x:c r="D7" s="374"/>
      <x:c r="E7" s="374"/>
      <x:c r="F7" s="476"/>
      <x:c r="G7" s="462" t="s">
        <x:v>21</x:v>
      </x:c>
      <x:c r="H7" s="1177" t="str">
        <x:f>CONCATENATE(L7, " of ",IF(ISBLANK('Job Info.'!D9),"",'Job Info.'!D9))</x:f>
        <x:v>2 of 19</x:v>
      </x:c>
      <x:c r="I7" s="658"/>
      <x:c r="J7" s="374"/>
      <x:c r="L7" s="1084">
        <x:v>2</x:v>
      </x:c>
      <x:c r="M7" s="381"/>
      <x:c r="N7" s="381"/>
      <x:c r="Q7" s="785"/>
      <x:c r="S7" s="245" t="s">
        <x:v>1571</x:v>
      </x:c>
      <x:c r="T7" s="633" t="s">
        <x:v>1273</x:v>
      </x:c>
    </x:row>
    <x:row r="8" spans="1:22" ht="3.95" customHeight="1" x14ac:dyDescent="0.2">
      <x:c r="A8" s="374"/>
      <x:c r="B8" s="374"/>
      <x:c r="C8" s="374"/>
      <x:c r="D8" s="374"/>
      <x:c r="E8" s="374"/>
      <x:c r="F8" s="374"/>
      <x:c r="G8" s="374"/>
      <x:c r="H8" s="374"/>
      <x:c r="I8" s="374"/>
      <x:c r="J8" s="374"/>
      <x:c r="S8" s="245" t="s">
        <x:v>1575</x:v>
      </x:c>
      <x:c r="T8" s="633" t="s">
        <x:v>1274</x:v>
      </x:c>
    </x:row>
    <x:row r="9" spans="1:22" ht="12.6" customHeight="1" x14ac:dyDescent="0.2">
      <x:c r="A9" s="480" t="s">
        <x:v>1</x:v>
      </x:c>
      <x:c r="B9" s="1808" t="str">
        <x:f>IF(ISBLANK('Job Info.'!D3),"",'Job Info.'!D3)</x:f>
        <x:v>MINDEN UPS BLDG 1</x:v>
      </x:c>
      <x:c r="C9" s="1808"/>
      <x:c r="D9" s="1809"/>
      <x:c r="E9" s="481"/>
      <x:c r="F9" s="482" t="s">
        <x:v>2</x:v>
      </x:c>
      <x:c r="G9" s="1808" t="str">
        <x:f>IF(ISBLANK('Job Info.'!D5),"",'Job Info.'!D5)</x:f>
        <x:v>NN22-0071</x:v>
      </x:c>
      <x:c r="H9" s="1808"/>
      <x:c r="I9" s="1808"/>
      <x:c r="J9" s="1809"/>
      <x:c r="L9" s="381"/>
      <x:c r="S9" s="245" t="s">
        <x:v>32</x:v>
      </x:c>
      <x:c r="T9" s="633" t="s">
        <x:v>114</x:v>
      </x:c>
    </x:row>
    <x:row r="10" spans="1:22" ht="12.6" customHeight="1" x14ac:dyDescent="0.2">
      <x:c r="A10" s="480" t="s">
        <x:v>3</x:v>
      </x:c>
      <x:c r="B10" s="1808" t="str">
        <x:f>IF(ISBLANK('Job Info.'!D4),"",'Job Info.'!D4)</x:f>
        <x:v>MINDEN, NV</x:v>
      </x:c>
      <x:c r="C10" s="1808"/>
      <x:c r="D10" s="1809"/>
      <x:c r="E10" s="475"/>
      <x:c r="F10" s="480" t="s">
        <x:v>22</x:v>
      </x:c>
      <x:c r="G10" s="661" t="str">
        <x:f>IF(ISBLANK('Job Info.'!D6),"",'Job Info.'!D6)</x:f>
        <x:v>JMM</x:v>
      </x:c>
      <x:c r="H10" s="240"/>
      <x:c r="I10" s="482" t="s">
        <x:v>23</x:v>
      </x:c>
      <x:c r="J10" s="661" t="str">
        <x:f>IF(ISBLANK('Job Info.'!D7),"",'Job Info.'!D7)</x:f>
        <x:v>NR</x:v>
      </x:c>
      <x:c r="L10" s="944" t="s">
        <x:v>973</x:v>
      </x:c>
      <x:c r="M10" s="944" t="s">
        <x:v>170</x:v>
      </x:c>
      <x:c r="N10" s="633" t="s">
        <x:v>1261</x:v>
      </x:c>
      <x:c r="O10" s="633"/>
      <x:c r="P10" s="245">
        <x:f>COUNTA(Q13:Q99)</x:f>
        <x:v>67</x:v>
      </x:c>
      <x:c r="R10" s="784"/>
      <x:c r="T10" s="633" t="s">
        <x:v>1281</x:v>
      </x:c>
    </x:row>
    <x:row r="11" spans="1:22" ht="3.95" customHeight="1" x14ac:dyDescent="0.2">
      <x:c r="A11" s="1086"/>
      <x:c r="B11" s="374"/>
      <x:c r="C11" s="374"/>
      <x:c r="D11" s="374"/>
      <x:c r="E11" s="374"/>
      <x:c r="F11" s="374"/>
      <x:c r="G11" s="374"/>
      <x:c r="H11" s="374"/>
      <x:c r="I11" s="374"/>
      <x:c r="J11" s="374"/>
      <x:c r="N11" s="784"/>
      <x:c r="R11" s="784"/>
    </x:row>
    <x:row r="12" spans="1:22" s="478" customFormat="1" ht="15.4" customHeight="1" thickBot="1" x14ac:dyDescent="0.25">
      <x:c r="A12" s="1081" t="s">
        <x:v>30</x:v>
      </x:c>
      <x:c r="B12" s="1826" t="s">
        <x:v>15</x:v>
      </x:c>
      <x:c r="C12" s="1827"/>
      <x:c r="D12" s="1827"/>
      <x:c r="E12" s="1827"/>
      <x:c r="F12" s="1827"/>
      <x:c r="G12" s="1827"/>
      <x:c r="H12" s="1827"/>
      <x:c r="I12" s="1827"/>
      <x:c r="J12" s="1828"/>
      <x:c r="P12" s="790" t="s">
        <x:v>963</x:v>
      </x:c>
      <x:c r="Q12" s="791" t="s">
        <x:v>964</x:v>
      </x:c>
      <x:c r="R12" s="786" t="s">
        <x:v>968</x:v>
      </x:c>
    </x:row>
    <x:row r="13" spans="1:22" ht="15.4" customHeight="1" thickTop="1" x14ac:dyDescent="0.2">
      <x:c r="A13" s="2665" t="s">
        <x:v>32</x:v>
      </x:c>
      <x:c r="B13" s="2666" t="s">
        <x:v>1564</x:v>
      </x:c>
      <x:c r="C13" s="2667"/>
      <x:c r="D13" s="2667"/>
      <x:c r="E13" s="2667"/>
      <x:c r="F13" s="2667"/>
      <x:c r="G13" s="2667"/>
      <x:c r="H13" s="2667"/>
      <x:c r="I13" s="2667"/>
      <x:c r="J13" s="2668"/>
      <x:c r="L13" s="946" t="str">
        <x:f>IF(ISBLANK(A13),"",SUBSTITUTE(A13,"*",""))</x:f>
        <x:v>A</x:v>
      </x:c>
      <x:c r="M13" s="1537" t="b">
        <x:v>0</x:v>
      </x:c>
      <x:c r="N13" s="1539" t="b">
        <x:f>IF(ISERROR(VLOOKUP(L13,S:S,1,FALSE)),FALSE,VLOOKUP(L13,S:S,1,FALSE)=L13)</x:f>
        <x:v>1</x:v>
      </x:c>
      <x:c r="O13" s="1528" t="b" cm="1">
        <x:f t="array" ref="O13">IF(AND(NOT(N13),LEN(L13)&gt;2),OR(ISNUMBER(SEARCH($T$1:$T$15,L13))),FALSE)</x:f>
        <x:v>0</x:v>
      </x:c>
      <x:c r="P13" s="792"/>
      <x:c r="Q13" s="793" t="s">
        <x:v>1022</x:v>
      </x:c>
      <x:c r="R13" s="787" t="str">
        <x:f>CONCATENATE("[",P13, "] - ", Q13)</x:f>
        <x:v>[] - SHAPES</x:v>
      </x:c>
    </x:row>
    <x:row r="14" spans="1:22" ht="15.4" customHeight="1" x14ac:dyDescent="0.2">
      <x:c r="A14" s="2669" t="s">
        <x:v>35</x:v>
      </x:c>
      <x:c r="B14" s="2670" t="s">
        <x:v>1565</x:v>
      </x:c>
      <x:c r="C14" s="2671"/>
      <x:c r="D14" s="2671"/>
      <x:c r="E14" s="2671"/>
      <x:c r="F14" s="2671"/>
      <x:c r="G14" s="2671"/>
      <x:c r="H14" s="2671"/>
      <x:c r="I14" s="2671"/>
      <x:c r="J14" s="2672"/>
      <x:c r="L14" s="946" t="str">
        <x:f>IF(ISBLANK(A14),L13,SUBSTITUTE(A14,"*",""))</x:f>
        <x:v>B</x:v>
      </x:c>
      <x:c r="M14" s="1537" t="b">
        <x:v>0</x:v>
      </x:c>
      <x:c r="N14" s="1539" t="b">
        <x:f t="shared" ref="N14:N51" si="0">IF(ISERROR(VLOOKUP(L14,S:S,1,FALSE)),FALSE,VLOOKUP(L14,S:S,1,FALSE)=L14)</x:f>
        <x:v>1</x:v>
      </x:c>
      <x:c r="O14" s="1528" t="b" cm="1">
        <x:f t="array" ref="O14">IF(AND(NOT(N14),LEN(L14)&gt;2),OR(ISNUMBER(SEARCH($T$1:$T$15,L14))),FALSE)</x:f>
        <x:v>0</x:v>
      </x:c>
      <x:c r="P14" s="794" t="s">
        <x:v>965</x:v>
      </x:c>
      <x:c r="Q14" s="795" t="s">
        <x:v>1023</x:v>
      </x:c>
      <x:c r="R14" s="788" t="str">
        <x:f t="shared" ref="R14:R77" si="1">CONCATENATE("[",P14, "] - ", Q14)</x:f>
        <x:v>[SP] - Single Pitch: (Ctr Depth=Designation) ##" Depth @ LBL, ##" Depth @ RBL</x:v>
      </x:c>
    </x:row>
    <x:row r="15" spans="1:22" ht="15.4" customHeight="1" x14ac:dyDescent="0.2">
      <x:c r="A15" s="2669" t="s">
        <x:v>148</x:v>
      </x:c>
      <x:c r="B15" s="2670" t="s">
        <x:v>1566</x:v>
      </x:c>
      <x:c r="C15" s="2671"/>
      <x:c r="D15" s="2671"/>
      <x:c r="E15" s="2671"/>
      <x:c r="F15" s="2671"/>
      <x:c r="G15" s="2671"/>
      <x:c r="H15" s="2671"/>
      <x:c r="I15" s="2671"/>
      <x:c r="J15" s="2672"/>
      <x:c r="L15" s="946" t="str">
        <x:f t="shared" ref="L15:L51" si="2">IF(ISBLANK(A15),L14,SUBSTITUTE(A15,"*",""))</x:f>
        <x:v>C</x:v>
      </x:c>
      <x:c r="M15" s="1537" t="b">
        <x:v>0</x:v>
      </x:c>
      <x:c r="N15" s="1539" t="b">
        <x:f t="shared" si="0"/>
        <x:v>1</x:v>
      </x:c>
      <x:c r="O15" s="1528" t="b" cm="1">
        <x:f t="array" ref="O15">IF(AND(NOT(N15),LEN(L15)&gt;2),OR(ISNUMBER(SEARCH($T$1:$T$15,L15))),FALSE)</x:f>
        <x:v>0</x:v>
      </x:c>
      <x:c r="P15" s="794" t="s">
        <x:v>966</x:v>
      </x:c>
      <x:c r="Q15" s="795" t="s">
        <x:v>1024</x:v>
      </x:c>
      <x:c r="R15" s="788" t="str">
        <x:f t="shared" si="1"/>
        <x:v>[DP] - Double Pitch: Ridge @ ##’-## From LBL (Depth=Designation), ##" Depth @ LBL, ##" Depth @ RBL</x:v>
      </x:c>
    </x:row>
    <x:row r="16" spans="1:22" ht="15.4" customHeight="1" x14ac:dyDescent="0.2">
      <x:c r="A16" s="2669"/>
      <x:c r="B16" s="2670" t="s">
        <x:v>1567</x:v>
      </x:c>
      <x:c r="C16" s="2671"/>
      <x:c r="D16" s="2671"/>
      <x:c r="E16" s="2671"/>
      <x:c r="F16" s="2671"/>
      <x:c r="G16" s="2671"/>
      <x:c r="H16" s="2671"/>
      <x:c r="I16" s="2671"/>
      <x:c r="J16" s="2672"/>
      <x:c r="L16" s="946" t="str">
        <x:f t="shared" si="2"/>
        <x:v>C</x:v>
      </x:c>
      <x:c r="M16" s="1537" t="b">
        <x:v>0</x:v>
      </x:c>
      <x:c r="N16" s="1539" t="b">
        <x:f t="shared" si="0"/>
        <x:v>1</x:v>
      </x:c>
      <x:c r="O16" s="1528" t="b" cm="1">
        <x:f t="array" ref="O16">IF(AND(NOT(N16),LEN(L16)&gt;2),OR(ISNUMBER(SEARCH($T$1:$T$15,L16))),FALSE)</x:f>
        <x:v>0</x:v>
      </x:c>
      <x:c r="P16" s="794" t="s">
        <x:v>967</x:v>
      </x:c>
      <x:c r="Q16" s="795" t="s">
        <x:v>1025</x:v>
      </x:c>
      <x:c r="R16" s="788" t="str">
        <x:f t="shared" si="1"/>
        <x:v>[TP] - Triple Pitch: Ridge Left @ ##’-## From LBL (Depth=Designation), ##" Depth @ LBL, ##" Depth @ RBL, Ridge Right @ ##'-## From LBL</x:v>
      </x:c>
    </x:row>
    <x:row r="17" spans="1:18" ht="15.4" customHeight="1" x14ac:dyDescent="0.2">
      <x:c r="A17" s="2669"/>
      <x:c r="B17" s="2670" t="s">
        <x:v>1568</x:v>
      </x:c>
      <x:c r="C17" s="2671"/>
      <x:c r="D17" s="2671"/>
      <x:c r="E17" s="2671"/>
      <x:c r="F17" s="2671"/>
      <x:c r="G17" s="2671"/>
      <x:c r="H17" s="2671"/>
      <x:c r="I17" s="2671"/>
      <x:c r="J17" s="2672"/>
      <x:c r="L17" s="946" t="str">
        <x:f t="shared" si="2"/>
        <x:v>C</x:v>
      </x:c>
      <x:c r="M17" s="1537" t="b">
        <x:v>0</x:v>
      </x:c>
      <x:c r="N17" s="1539" t="b">
        <x:f t="shared" si="0"/>
        <x:v>1</x:v>
      </x:c>
      <x:c r="O17" s="1528" t="b" cm="1">
        <x:f t="array" ref="O17">IF(AND(NOT(N17),LEN(L17)&gt;2),OR(ISNUMBER(SEARCH($T$1:$T$15,L17))),FALSE)</x:f>
        <x:v>0</x:v>
      </x:c>
      <x:c r="P17" s="794" t="s">
        <x:v>991</x:v>
      </x:c>
      <x:c r="Q17" s="795" t="s">
        <x:v>1026</x:v>
      </x:c>
      <x:c r="R17" s="788" t="str">
        <x:f t="shared" si="1"/>
        <x:v>[AC] - Arched Chords: (Depth=Designation) ##" TC Radius</x:v>
      </x:c>
    </x:row>
    <x:row r="18" spans="1:18" ht="15.4" customHeight="1" x14ac:dyDescent="0.2">
      <x:c r="A18" s="2669" t="s">
        <x:v>1569</x:v>
      </x:c>
      <x:c r="B18" s="2670" t="s">
        <x:v>1570</x:v>
      </x:c>
      <x:c r="C18" s="2671"/>
      <x:c r="D18" s="2671"/>
      <x:c r="E18" s="2671"/>
      <x:c r="F18" s="2671"/>
      <x:c r="G18" s="2671"/>
      <x:c r="H18" s="2671"/>
      <x:c r="I18" s="2671"/>
      <x:c r="J18" s="2672"/>
      <x:c r="L18" s="946" t="str">
        <x:f t="shared" si="2"/>
        <x:v>D</x:v>
      </x:c>
      <x:c r="M18" s="1537" t="b">
        <x:v>0</x:v>
      </x:c>
      <x:c r="N18" s="1539" t="b">
        <x:f t="shared" si="0"/>
        <x:v>1</x:v>
      </x:c>
      <x:c r="O18" s="1528" t="b" cm="1">
        <x:f t="array" ref="O18">IF(AND(NOT(N18),LEN(L18)&gt;2),OR(ISNUMBER(SEARCH($T$1:$T$15,L18))),FALSE)</x:f>
        <x:v>0</x:v>
      </x:c>
      <x:c r="P18" s="794" t="s">
        <x:v>992</x:v>
      </x:c>
      <x:c r="Q18" s="795" t="s">
        <x:v>1027</x:v>
      </x:c>
      <x:c r="R18" s="788" t="str">
        <x:f t="shared" si="1"/>
        <x:v>[BW] - Bowstring: Ridge @ ##’-## From LBL (Depth=Designation), ##" Depth @ LBL, ##" TC Radius</x:v>
      </x:c>
    </x:row>
    <x:row r="19" spans="1:18" ht="15.4" customHeight="1" x14ac:dyDescent="0.2">
      <x:c r="A19" s="2669" t="s">
        <x:v>1571</x:v>
      </x:c>
      <x:c r="B19" s="2670" t="s">
        <x:v>1708</x:v>
      </x:c>
      <x:c r="C19" s="2671"/>
      <x:c r="D19" s="2671"/>
      <x:c r="E19" s="2671"/>
      <x:c r="F19" s="2671"/>
      <x:c r="G19" s="2671"/>
      <x:c r="H19" s="2671"/>
      <x:c r="I19" s="2671"/>
      <x:c r="J19" s="2672"/>
      <x:c r="L19" s="946" t="str">
        <x:f t="shared" si="2"/>
        <x:v>E</x:v>
      </x:c>
      <x:c r="M19" s="1537" t="b">
        <x:v>0</x:v>
      </x:c>
      <x:c r="N19" s="1539" t="b">
        <x:f t="shared" si="0"/>
        <x:v>1</x:v>
      </x:c>
      <x:c r="O19" s="1528" t="b" cm="1">
        <x:f t="array" ref="O19">IF(AND(NOT(N19),LEN(L19)&gt;2),OR(ISNUMBER(SEARCH($T$1:$T$15,L19))),FALSE)</x:f>
        <x:v>0</x:v>
      </x:c>
      <x:c r="P19" s="794" t="s">
        <x:v>993</x:v>
      </x:c>
      <x:c r="Q19" s="795" t="s">
        <x:v>1073</x:v>
      </x:c>
      <x:c r="R19" s="788" t="str">
        <x:f t="shared" si="1"/>
        <x:v>[SC] - Scissor: Ridge @ ##’-## From LBL (Vert Depth=Designation), BC Rise ##” @ Ridge From LBL, ##" Vert Depth @ LBL, ##" Vert Depth @ RBL, ##" BC Elev difference @ RBL</x:v>
      </x:c>
    </x:row>
    <x:row r="20" spans="1:18" ht="15.4" customHeight="1" x14ac:dyDescent="0.2">
      <x:c r="A20" s="2669" t="s">
        <x:v>1572</x:v>
      </x:c>
      <x:c r="B20" s="2670" t="s">
        <x:v>1573</x:v>
      </x:c>
      <x:c r="C20" s="2671"/>
      <x:c r="D20" s="2671"/>
      <x:c r="E20" s="2671"/>
      <x:c r="F20" s="2671"/>
      <x:c r="G20" s="2671"/>
      <x:c r="H20" s="2671"/>
      <x:c r="I20" s="2671"/>
      <x:c r="J20" s="2672"/>
      <x:c r="L20" s="946" t="str">
        <x:f t="shared" si="2"/>
        <x:v>F</x:v>
      </x:c>
      <x:c r="M20" s="1537" t="b">
        <x:v>0</x:v>
      </x:c>
      <x:c r="N20" s="1539" t="b">
        <x:f t="shared" si="0"/>
        <x:v>1</x:v>
      </x:c>
      <x:c r="O20" s="1528" t="b" cm="1">
        <x:f t="array" ref="O20">IF(AND(NOT(N20),LEN(L20)&gt;2),OR(ISNUMBER(SEARCH($T$1:$T$15,L20))),FALSE)</x:f>
        <x:v>0</x:v>
      </x:c>
      <x:c r="P20" s="794"/>
      <x:c r="Q20" s="795" t="s">
        <x:v>1028</x:v>
      </x:c>
      <x:c r="R20" s="788" t="str">
        <x:f t="shared" si="1"/>
        <x:v>[] - DEFLECTION</x:v>
      </x:c>
    </x:row>
    <x:row r="21" spans="1:18" ht="15.4" customHeight="1" x14ac:dyDescent="0.2">
      <x:c r="A21" s="2669" t="s">
        <x:v>438</x:v>
      </x:c>
      <x:c r="B21" s="2673" t="s">
        <x:v>1574</x:v>
      </x:c>
      <x:c r="C21" s="2674"/>
      <x:c r="D21" s="2674"/>
      <x:c r="E21" s="2674"/>
      <x:c r="F21" s="2674"/>
      <x:c r="G21" s="2674"/>
      <x:c r="H21" s="2674"/>
      <x:c r="I21" s="2674"/>
      <x:c r="J21" s="2675"/>
      <x:c r="L21" s="946" t="str">
        <x:f t="shared" si="2"/>
        <x:v>G</x:v>
      </x:c>
      <x:c r="M21" s="1537" t="b">
        <x:v>0</x:v>
      </x:c>
      <x:c r="N21" s="1539" t="b">
        <x:f t="shared" si="0"/>
        <x:v>1</x:v>
      </x:c>
      <x:c r="O21" s="1539" t="b" cm="1">
        <x:f t="array" ref="O21">IF(AND(NOT(N21),LEN(L21)&gt;2),OR(ISNUMBER(SEARCH($T$1:$T$15,L21))),FALSE)</x:f>
        <x:v>0</x:v>
      </x:c>
      <x:c r="P21" s="794" t="s">
        <x:v>986</x:v>
      </x:c>
      <x:c r="Q21" s="795" t="s">
        <x:v>1029</x:v>
      </x:c>
      <x:c r="R21" s="788" t="str">
        <x:f t="shared" si="1"/>
        <x:v>[DefLL] - LL Deflection = L/###|Deflection=L/### Due To ### PLF LL|LL Deflection=L/### (LL/TL Ratio = ##%)</x:v>
      </x:c>
    </x:row>
    <x:row r="22" spans="1:18" ht="15.4" customHeight="1" x14ac:dyDescent="0.2">
      <x:c r="A22" s="2669" t="s">
        <x:v>1575</x:v>
      </x:c>
      <x:c r="B22" s="2670" t="s">
        <x:v>1576</x:v>
      </x:c>
      <x:c r="C22" s="2671"/>
      <x:c r="D22" s="2671"/>
      <x:c r="E22" s="2671"/>
      <x:c r="F22" s="2671"/>
      <x:c r="G22" s="2671"/>
      <x:c r="H22" s="2671"/>
      <x:c r="I22" s="2671"/>
      <x:c r="J22" s="2672"/>
      <x:c r="L22" s="946" t="str">
        <x:f t="shared" si="2"/>
        <x:v>H</x:v>
      </x:c>
      <x:c r="M22" s="1537" t="b">
        <x:v>0</x:v>
      </x:c>
      <x:c r="N22" s="1539" t="b">
        <x:f t="shared" si="0"/>
        <x:v>1</x:v>
      </x:c>
      <x:c r="O22" s="1528" t="b" cm="1">
        <x:f t="array" ref="O22">IF(AND(NOT(N22),LEN(L22)&gt;2),OR(ISNUMBER(SEARCH($T$1:$T$15,L22))),FALSE)</x:f>
        <x:v>0</x:v>
      </x:c>
      <x:c r="P22" s="794" t="s">
        <x:v>987</x:v>
      </x:c>
      <x:c r="Q22" s="795" t="s">
        <x:v>1030</x:v>
      </x:c>
      <x:c r="R22" s="788" t="str">
        <x:f t="shared" si="1"/>
        <x:v>[DefTL] - TL Deflection = L/###, Ck Std Camber Satisfies DL Def</x:v>
      </x:c>
    </x:row>
    <x:row r="23" spans="1:18" ht="15.4" customHeight="1" x14ac:dyDescent="0.2">
      <x:c r="A23" s="2669"/>
      <x:c r="B23" s="2666"/>
      <x:c r="C23" s="2667"/>
      <x:c r="D23" s="2667"/>
      <x:c r="E23" s="2667"/>
      <x:c r="F23" s="2667"/>
      <x:c r="G23" s="2667"/>
      <x:c r="H23" s="2667"/>
      <x:c r="I23" s="2667"/>
      <x:c r="J23" s="2668"/>
      <x:c r="L23" s="946" t="str">
        <x:f t="shared" si="2"/>
        <x:v>H</x:v>
      </x:c>
      <x:c r="M23" s="1537" t="b">
        <x:v>0</x:v>
      </x:c>
      <x:c r="N23" s="1539" t="b">
        <x:f t="shared" si="0"/>
        <x:v>1</x:v>
      </x:c>
      <x:c r="O23" s="1528" t="b" cm="1">
        <x:f t="array" ref="O23">IF(AND(NOT(N23),LEN(L23)&gt;2),OR(ISNUMBER(SEARCH($T$1:$T$15,L23))),FALSE)</x:f>
        <x:v>0</x:v>
      </x:c>
      <x:c r="P23" s="794" t="s">
        <x:v>988</x:v>
      </x:c>
      <x:c r="Q23" s="795" t="s">
        <x:v>1032</x:v>
      </x:c>
      <x:c r="R23" s="788" t="str">
        <x:f t="shared" si="1"/>
        <x:v>[DefTCX] - TCXL|TCXR Deflection = ##" Max Due To ### PLF LL|DL|TL</x:v>
      </x:c>
    </x:row>
    <x:row r="24" spans="1:18" ht="15.4" customHeight="1" x14ac:dyDescent="0.2">
      <x:c r="A24" s="2669"/>
      <x:c r="B24" s="2670"/>
      <x:c r="C24" s="2671"/>
      <x:c r="D24" s="2671"/>
      <x:c r="E24" s="2671"/>
      <x:c r="F24" s="2671"/>
      <x:c r="G24" s="2671"/>
      <x:c r="H24" s="2671"/>
      <x:c r="I24" s="2671"/>
      <x:c r="J24" s="2672"/>
      <x:c r="L24" s="946" t="str">
        <x:f t="shared" si="2"/>
        <x:v>H</x:v>
      </x:c>
      <x:c r="M24" s="1537" t="b">
        <x:v>0</x:v>
      </x:c>
      <x:c r="N24" s="1539" t="b">
        <x:f t="shared" si="0"/>
        <x:v>1</x:v>
      </x:c>
      <x:c r="O24" s="1528" t="b" cm="1">
        <x:f t="array" ref="O24">IF(AND(NOT(N24),LEN(L24)&gt;2),OR(ISNUMBER(SEARCH($T$1:$T$15,L24))),FALSE)</x:f>
        <x:v>0</x:v>
      </x:c>
      <x:c r="P24" s="794" t="s">
        <x:v>989</x:v>
      </x:c>
      <x:c r="Q24" s="795" t="s">
        <x:v>1031</x:v>
      </x:c>
      <x:c r="R24" s="788" t="str">
        <x:f t="shared" si="1"/>
        <x:v>[DefSP] - Special Deflection = ##" Max Due To ### PLF LL|DL|TL</x:v>
      </x:c>
    </x:row>
    <x:row r="25" spans="1:18" ht="15.4" customHeight="1" x14ac:dyDescent="0.2">
      <x:c r="A25" s="2669"/>
      <x:c r="B25" s="2670"/>
      <x:c r="C25" s="2671"/>
      <x:c r="D25" s="2671"/>
      <x:c r="E25" s="2671"/>
      <x:c r="F25" s="2671"/>
      <x:c r="G25" s="2671"/>
      <x:c r="H25" s="2671"/>
      <x:c r="I25" s="2671"/>
      <x:c r="J25" s="2672"/>
      <x:c r="L25" s="946" t="str">
        <x:f t="shared" si="2"/>
        <x:v>H</x:v>
      </x:c>
      <x:c r="M25" s="1537" t="b">
        <x:v>0</x:v>
      </x:c>
      <x:c r="N25" s="1539" t="b">
        <x:f t="shared" si="0"/>
        <x:v>1</x:v>
      </x:c>
      <x:c r="O25" s="1528" t="b" cm="1">
        <x:f t="array" ref="O25">IF(AND(NOT(N25),LEN(L25)&gt;2),OR(ISNUMBER(SEARCH($T$1:$T$15,L25))),FALSE)</x:f>
        <x:v>0</x:v>
      </x:c>
      <x:c r="P25" s="794"/>
      <x:c r="Q25" s="795" t="s">
        <x:v>1033</x:v>
      </x:c>
      <x:c r="R25" s="788" t="str">
        <x:f t="shared" si="1"/>
        <x:v>[] - BEARING SEATS</x:v>
      </x:c>
    </x:row>
    <x:row r="26" spans="1:18" ht="15.4" customHeight="1" x14ac:dyDescent="0.2">
      <x:c r="A26" s="2669"/>
      <x:c r="B26" s="2670"/>
      <x:c r="C26" s="2671"/>
      <x:c r="D26" s="2671"/>
      <x:c r="E26" s="2671"/>
      <x:c r="F26" s="2671"/>
      <x:c r="G26" s="2671"/>
      <x:c r="H26" s="2671"/>
      <x:c r="I26" s="2671"/>
      <x:c r="J26" s="2672"/>
      <x:c r="L26" s="946" t="str">
        <x:f t="shared" si="2"/>
        <x:v>H</x:v>
      </x:c>
      <x:c r="M26" s="1537" t="b">
        <x:v>0</x:v>
      </x:c>
      <x:c r="N26" s="1528" t="b">
        <x:f t="shared" si="0"/>
        <x:v>1</x:v>
      </x:c>
      <x:c r="O26" s="1528" t="b" cm="1">
        <x:f t="array" ref="O26">IF(AND(NOT(N26),LEN(L26)&gt;2),OR(ISNUMBER(SEARCH($T$1:$T$15,L26))),FALSE)</x:f>
        <x:v>0</x:v>
      </x:c>
      <x:c r="P26" s="794" t="s">
        <x:v>1238</x:v>
      </x:c>
      <x:c r="Q26" s="795" t="s">
        <x:v>1242</x:v>
      </x:c>
      <x:c r="R26" s="788" t="str">
        <x:f t="shared" si="1"/>
        <x:v>[AddSeat] - Addn’l Bearing Seat @ LE|RE|BE, Setback = #’-##”, Depth = ##”</x:v>
      </x:c>
    </x:row>
    <x:row r="27" spans="1:18" ht="15.4" customHeight="1" x14ac:dyDescent="0.2">
      <x:c r="A27" s="2669"/>
      <x:c r="B27" s="2670"/>
      <x:c r="C27" s="2671"/>
      <x:c r="D27" s="2671"/>
      <x:c r="E27" s="2671"/>
      <x:c r="F27" s="2671"/>
      <x:c r="G27" s="2671"/>
      <x:c r="H27" s="2671"/>
      <x:c r="I27" s="2671"/>
      <x:c r="J27" s="2672"/>
      <x:c r="L27" s="946" t="str">
        <x:f t="shared" si="2"/>
        <x:v>H</x:v>
      </x:c>
      <x:c r="M27" s="1537" t="b">
        <x:v>0</x:v>
      </x:c>
      <x:c r="N27" s="1528" t="b">
        <x:f t="shared" si="0"/>
        <x:v>1</x:v>
      </x:c>
      <x:c r="O27" s="1528" t="b" cm="1">
        <x:f t="array" ref="O27">IF(AND(NOT(N27),LEN(L27)&gt;2),OR(ISNUMBER(SEARCH($T$1:$T$15,L27))),FALSE)</x:f>
        <x:v>0</x:v>
      </x:c>
      <x:c r="P27" s="794" t="s">
        <x:v>1000</x:v>
      </x:c>
      <x:c r="Q27" s="795" t="s">
        <x:v>1046</x:v>
      </x:c>
      <x:c r="R27" s="788" t="str">
        <x:f t="shared" si="1"/>
        <x:v>[AddSlt] - Addn'l Seat Slots @ #" from L-OAL|R-OAL</x:v>
      </x:c>
    </x:row>
    <x:row r="28" spans="1:18" ht="15.4" customHeight="1" x14ac:dyDescent="0.2">
      <x:c r="A28" s="2669"/>
      <x:c r="B28" s="2670"/>
      <x:c r="C28" s="2671"/>
      <x:c r="D28" s="2671"/>
      <x:c r="E28" s="2671"/>
      <x:c r="F28" s="2671"/>
      <x:c r="G28" s="2671"/>
      <x:c r="H28" s="2671"/>
      <x:c r="I28" s="2671"/>
      <x:c r="J28" s="2672"/>
      <x:c r="L28" s="946" t="str">
        <x:f t="shared" si="2"/>
        <x:v>H</x:v>
      </x:c>
      <x:c r="M28" s="1537" t="b">
        <x:v>0</x:v>
      </x:c>
      <x:c r="N28" s="1528" t="b">
        <x:f t="shared" si="0"/>
        <x:v>1</x:v>
      </x:c>
      <x:c r="O28" s="1528" t="b" cm="1">
        <x:f t="array" ref="O28">IF(AND(NOT(N28),LEN(L28)&gt;2),OR(ISNUMBER(SEARCH($T$1:$T$15,L28))),FALSE)</x:f>
        <x:v>0</x:v>
      </x:c>
      <x:c r="P28" s="794" t="s">
        <x:v>981</x:v>
      </x:c>
      <x:c r="Q28" s="795" t="s">
        <x:v>1043</x:v>
      </x:c>
      <x:c r="R28" s="788" t="str">
        <x:f t="shared" si="1"/>
        <x:v>[BCBrg] - Bottom Chord Bearing @ LE|RE|BE</x:v>
      </x:c>
    </x:row>
    <x:row r="29" spans="1:18" ht="15.4" customHeight="1" x14ac:dyDescent="0.2">
      <x:c r="A29" s="2669"/>
      <x:c r="B29" s="2670"/>
      <x:c r="C29" s="2671"/>
      <x:c r="D29" s="2671"/>
      <x:c r="E29" s="2671"/>
      <x:c r="F29" s="2671"/>
      <x:c r="G29" s="2671"/>
      <x:c r="H29" s="2671"/>
      <x:c r="I29" s="2671"/>
      <x:c r="J29" s="2672"/>
      <x:c r="L29" s="946" t="str">
        <x:f t="shared" si="2"/>
        <x:v>H</x:v>
      </x:c>
      <x:c r="M29" s="1537" t="b">
        <x:v>0</x:v>
      </x:c>
      <x:c r="N29" s="1528" t="b">
        <x:f t="shared" si="0"/>
        <x:v>1</x:v>
      </x:c>
      <x:c r="O29" s="1528" t="b" cm="1">
        <x:f t="array" ref="O29">IF(AND(NOT(N29),LEN(L29)&gt;2),OR(ISNUMBER(SEARCH($T$1:$T$15,L29))),FALSE)</x:f>
        <x:v>0</x:v>
      </x:c>
      <x:c r="P29" s="794" t="s">
        <x:v>1239</x:v>
      </x:c>
      <x:c r="Q29" s="795" t="s">
        <x:v>1243</x:v>
      </x:c>
      <x:c r="R29" s="788" t="str">
        <x:f t="shared" si="1"/>
        <x:v>[BCBrgCant] - Bottom Chord Bearing Cantilever @ LE|RE|BE, Ctr Line of Support = #’-##” @ LE|RE|BE</x:v>
      </x:c>
    </x:row>
    <x:row r="30" spans="1:18" ht="15.4" customHeight="1" x14ac:dyDescent="0.2">
      <x:c r="A30" s="2669"/>
      <x:c r="B30" s="2670"/>
      <x:c r="C30" s="2671"/>
      <x:c r="D30" s="2671"/>
      <x:c r="E30" s="2671"/>
      <x:c r="F30" s="2671"/>
      <x:c r="G30" s="2671"/>
      <x:c r="H30" s="2671"/>
      <x:c r="I30" s="2671"/>
      <x:c r="J30" s="2672"/>
      <x:c r="L30" s="946" t="str">
        <x:f t="shared" si="2"/>
        <x:v>H</x:v>
      </x:c>
      <x:c r="M30" s="1537" t="b">
        <x:v>0</x:v>
      </x:c>
      <x:c r="N30" s="1528" t="b">
        <x:f t="shared" si="0"/>
        <x:v>1</x:v>
      </x:c>
      <x:c r="O30" s="1528" t="b" cm="1">
        <x:f t="array" ref="O30">IF(AND(NOT(N30),LEN(L30)&gt;2),OR(ISNUMBER(SEARCH($T$1:$T$15,L30))),FALSE)</x:f>
        <x:v>0</x:v>
      </x:c>
      <x:c r="P30" s="794" t="s">
        <x:v>1240</x:v>
      </x:c>
      <x:c r="Q30" s="795" t="s">
        <x:v>1244</x:v>
      </x:c>
      <x:c r="R30" s="788" t="str">
        <x:f t="shared" si="1"/>
        <x:v>[BPSetBk] - Shorten Base Pl @ LE|RE|BE, Setback = #’-#, Max TC Depth = ##”, Ck TCX For Unrein Length, See Section ##</x:v>
      </x:c>
    </x:row>
    <x:row r="31" spans="1:18" ht="15.4" customHeight="1" x14ac:dyDescent="0.2">
      <x:c r="A31" s="2669"/>
      <x:c r="B31" s="2670"/>
      <x:c r="C31" s="2671"/>
      <x:c r="D31" s="2671"/>
      <x:c r="E31" s="2671"/>
      <x:c r="F31" s="2671"/>
      <x:c r="G31" s="2671"/>
      <x:c r="H31" s="2671"/>
      <x:c r="I31" s="2671"/>
      <x:c r="J31" s="2672"/>
      <x:c r="L31" s="946" t="str">
        <x:f t="shared" si="2"/>
        <x:v>H</x:v>
      </x:c>
      <x:c r="M31" s="1537" t="b">
        <x:v>0</x:v>
      </x:c>
      <x:c r="N31" s="1528" t="b">
        <x:f t="shared" si="0"/>
        <x:v>1</x:v>
      </x:c>
      <x:c r="O31" s="1528" t="b" cm="1">
        <x:f t="array" ref="O31">IF(AND(NOT(N31),LEN(L31)&gt;2),OR(ISNUMBER(SEARCH($T$1:$T$15,L31))),FALSE)</x:f>
        <x:v>0</x:v>
      </x:c>
      <x:c r="P31" s="794" t="s">
        <x:v>979</x:v>
      </x:c>
      <x:c r="Q31" s="795" t="s">
        <x:v>1047</x:v>
      </x:c>
      <x:c r="R31" s="788" t="str">
        <x:f t="shared" si="1"/>
        <x:v>[BPThk] - Min Thickness of Base Plate = 0.xxx" @ LE|RE|BE</x:v>
      </x:c>
    </x:row>
    <x:row r="32" spans="1:18" ht="15.4" customHeight="1" x14ac:dyDescent="0.2">
      <x:c r="A32" s="2669"/>
      <x:c r="B32" s="2670"/>
      <x:c r="C32" s="2671"/>
      <x:c r="D32" s="2671"/>
      <x:c r="E32" s="2671"/>
      <x:c r="F32" s="2671"/>
      <x:c r="G32" s="2671"/>
      <x:c r="H32" s="2671"/>
      <x:c r="I32" s="2671"/>
      <x:c r="J32" s="2672"/>
      <x:c r="L32" s="946" t="str">
        <x:f t="shared" si="2"/>
        <x:v>H</x:v>
      </x:c>
      <x:c r="M32" s="1537" t="b">
        <x:v>0</x:v>
      </x:c>
      <x:c r="N32" s="1528" t="b">
        <x:f t="shared" si="0"/>
        <x:v>1</x:v>
      </x:c>
      <x:c r="O32" s="1528" t="b" cm="1">
        <x:f t="array" ref="O32">IF(AND(NOT(N32),LEN(L32)&gt;2),OR(ISNUMBER(SEARCH($T$1:$T$15,L32))),FALSE)</x:f>
        <x:v>0</x:v>
      </x:c>
      <x:c r="P32" s="794" t="s">
        <x:v>1001</x:v>
      </x:c>
      <x:c r="Q32" s="795" t="s">
        <x:v>1002</x:v>
      </x:c>
      <x:c r="R32" s="788" t="str">
        <x:f t="shared" si="1"/>
        <x:v>[ClrBrg] - Min Clear Bearing = #" @ LE(RE)(BE)</x:v>
      </x:c>
    </x:row>
    <x:row r="33" spans="1:18" ht="15.4" customHeight="1" x14ac:dyDescent="0.2">
      <x:c r="A33" s="2669"/>
      <x:c r="B33" s="2670"/>
      <x:c r="C33" s="2671"/>
      <x:c r="D33" s="2671"/>
      <x:c r="E33" s="2671"/>
      <x:c r="F33" s="2671"/>
      <x:c r="G33" s="2671"/>
      <x:c r="H33" s="2671"/>
      <x:c r="I33" s="2671"/>
      <x:c r="J33" s="2672"/>
      <x:c r="L33" s="946" t="str">
        <x:f t="shared" si="2"/>
        <x:v>H</x:v>
      </x:c>
      <x:c r="M33" s="1537" t="b">
        <x:v>0</x:v>
      </x:c>
      <x:c r="N33" s="1528" t="b">
        <x:f t="shared" si="0"/>
        <x:v>1</x:v>
      </x:c>
      <x:c r="O33" s="1528" t="b" cm="1">
        <x:f t="array" ref="O33">IF(AND(NOT(N33),LEN(L33)&gt;2),OR(ISNUMBER(SEARCH($T$1:$T$15,L33))),FALSE)</x:f>
        <x:v>0</x:v>
      </x:c>
      <x:c r="P33" s="794" t="s">
        <x:v>1241</x:v>
      </x:c>
      <x:c r="Q33" s="795" t="s">
        <x:v>1245</x:v>
      </x:c>
      <x:c r="R33" s="788" t="str">
        <x:f t="shared" si="1"/>
        <x:v>[ContAngle] - Continuity Angles for Load Transfer, Hold Double Angle W2 Down for Field Install, No TC Splices within 1st ##” @ LE|RE|BE</x:v>
      </x:c>
    </x:row>
    <x:row r="34" spans="1:18" ht="15.4" customHeight="1" x14ac:dyDescent="0.2">
      <x:c r="A34" s="2669"/>
      <x:c r="B34" s="2670"/>
      <x:c r="C34" s="2671"/>
      <x:c r="D34" s="2671"/>
      <x:c r="E34" s="2671"/>
      <x:c r="F34" s="2671"/>
      <x:c r="G34" s="2671"/>
      <x:c r="H34" s="2671"/>
      <x:c r="I34" s="2671"/>
      <x:c r="J34" s="2672"/>
      <x:c r="L34" s="946" t="str">
        <x:f t="shared" si="2"/>
        <x:v>H</x:v>
      </x:c>
      <x:c r="M34" s="1537" t="b">
        <x:v>0</x:v>
      </x:c>
      <x:c r="N34" s="1528" t="b">
        <x:f t="shared" si="0"/>
        <x:v>1</x:v>
      </x:c>
      <x:c r="O34" s="1528" t="b" cm="1">
        <x:f t="array" ref="O34">IF(AND(NOT(N34),LEN(L34)&gt;2),OR(ISNUMBER(SEARCH($T$1:$T$15,L34))),FALSE)</x:f>
        <x:v>0</x:v>
      </x:c>
      <x:c r="P34" s="794" t="s">
        <x:v>1038</x:v>
      </x:c>
      <x:c r="Q34" s="795" t="s">
        <x:v>1040</x:v>
      </x:c>
      <x:c r="R34" s="788" t="str">
        <x:f t="shared" si="1"/>
        <x:v>[KickLd] - Axial Load Due To Kicker, No Rein Req’d</x:v>
      </x:c>
    </x:row>
    <x:row r="35" spans="1:18" ht="15.4" customHeight="1" x14ac:dyDescent="0.2">
      <x:c r="A35" s="2669"/>
      <x:c r="B35" s="2670"/>
      <x:c r="C35" s="2671"/>
      <x:c r="D35" s="2671"/>
      <x:c r="E35" s="2671"/>
      <x:c r="F35" s="2671"/>
      <x:c r="G35" s="2671"/>
      <x:c r="H35" s="2671"/>
      <x:c r="I35" s="2671"/>
      <x:c r="J35" s="2672"/>
      <x:c r="L35" s="946" t="str">
        <x:f t="shared" si="2"/>
        <x:v>H</x:v>
      </x:c>
      <x:c r="M35" s="1537" t="b">
        <x:v>0</x:v>
      </x:c>
      <x:c r="N35" s="1528" t="b">
        <x:f t="shared" si="0"/>
        <x:v>1</x:v>
      </x:c>
      <x:c r="O35" s="1528" t="b" cm="1">
        <x:f t="array" ref="O35">IF(AND(NOT(N35),LEN(L35)&gt;2),OR(ISNUMBER(SEARCH($T$1:$T$15,L35))),FALSE)</x:f>
        <x:v>0</x:v>
      </x:c>
      <x:c r="P35" s="794" t="s">
        <x:v>1037</x:v>
      </x:c>
      <x:c r="Q35" s="795" t="s">
        <x:v>1039</x:v>
      </x:c>
      <x:c r="R35" s="788" t="str">
        <x:f t="shared" si="1"/>
        <x:v>[KnifePL] - Knife Pl Provided for Load Transfer, TC/Seat Gap Clear for 1st ##” @ LE|RE|BE</x:v>
      </x:c>
    </x:row>
    <x:row r="36" spans="1:18" ht="15.4" customHeight="1" x14ac:dyDescent="0.2">
      <x:c r="A36" s="2669"/>
      <x:c r="B36" s="2670"/>
      <x:c r="C36" s="2671"/>
      <x:c r="D36" s="2671"/>
      <x:c r="E36" s="2671"/>
      <x:c r="F36" s="2671"/>
      <x:c r="G36" s="2671"/>
      <x:c r="H36" s="2671"/>
      <x:c r="I36" s="2671"/>
      <x:c r="J36" s="2672"/>
      <x:c r="L36" s="946" t="str">
        <x:f t="shared" si="2"/>
        <x:v>H</x:v>
      </x:c>
      <x:c r="M36" s="1537" t="b">
        <x:v>0</x:v>
      </x:c>
      <x:c r="N36" s="1528" t="b">
        <x:f t="shared" si="0"/>
        <x:v>1</x:v>
      </x:c>
      <x:c r="O36" s="1528" t="b" cm="1">
        <x:f t="array" ref="O36">IF(AND(NOT(N36),LEN(L36)&gt;2),OR(ISNUMBER(SEARCH($T$1:$T$15,L36))),FALSE)</x:f>
        <x:v>0</x:v>
      </x:c>
      <x:c r="P36" s="794" t="s">
        <x:v>1048</x:v>
      </x:c>
      <x:c r="Q36" s="795" t="s">
        <x:v>1049</x:v>
      </x:c>
      <x:c r="R36" s="788" t="str">
        <x:f t="shared" si="1"/>
        <x:v>[MaxWidth] - Max Width of TC &amp; Base Plate|BC for 1st ##” @ LE|RE|BE</x:v>
      </x:c>
    </x:row>
    <x:row r="37" spans="1:18" ht="15.4" customHeight="1" x14ac:dyDescent="0.2">
      <x:c r="A37" s="2669"/>
      <x:c r="B37" s="2670"/>
      <x:c r="C37" s="2671"/>
      <x:c r="D37" s="2671"/>
      <x:c r="E37" s="2671"/>
      <x:c r="F37" s="2671"/>
      <x:c r="G37" s="2671"/>
      <x:c r="H37" s="2671"/>
      <x:c r="I37" s="2671"/>
      <x:c r="J37" s="2672"/>
      <x:c r="L37" s="946" t="str">
        <x:f t="shared" si="2"/>
        <x:v>H</x:v>
      </x:c>
      <x:c r="M37" s="1537" t="b">
        <x:v>0</x:v>
      </x:c>
      <x:c r="N37" s="1528" t="b">
        <x:f t="shared" si="0"/>
        <x:v>1</x:v>
      </x:c>
      <x:c r="O37" s="1528" t="b" cm="1">
        <x:f t="array" ref="O37">IF(AND(NOT(N37),LEN(L37)&gt;2),OR(ISNUMBER(SEARCH($T$1:$T$15,L37))),FALSE)</x:f>
        <x:v>0</x:v>
      </x:c>
      <x:c r="P37" s="794" t="s">
        <x:v>1035</x:v>
      </x:c>
      <x:c r="Q37" s="795" t="s">
        <x:v>1246</x:v>
      </x:c>
      <x:c r="R37" s="788" t="str">
        <x:f t="shared" si="1"/>
        <x:v>[NoRein] - Tie Pl Provided for Load Transfer, No Rein Req’d (***Could Show This Note in Load Note Remarks***)</x:v>
      </x:c>
    </x:row>
    <x:row r="38" spans="1:18" ht="15.4" customHeight="1" x14ac:dyDescent="0.2">
      <x:c r="A38" s="2669"/>
      <x:c r="B38" s="2670"/>
      <x:c r="C38" s="2671"/>
      <x:c r="D38" s="2671"/>
      <x:c r="E38" s="2671"/>
      <x:c r="F38" s="2671"/>
      <x:c r="G38" s="2671"/>
      <x:c r="H38" s="2671"/>
      <x:c r="I38" s="2671"/>
      <x:c r="J38" s="2672"/>
      <x:c r="L38" s="946" t="str">
        <x:f t="shared" si="2"/>
        <x:v>H</x:v>
      </x:c>
      <x:c r="M38" s="1537" t="b">
        <x:v>0</x:v>
      </x:c>
      <x:c r="N38" s="1528" t="b">
        <x:f t="shared" si="0"/>
        <x:v>1</x:v>
      </x:c>
      <x:c r="O38" s="1528" t="b" cm="1">
        <x:f t="array" ref="O38">IF(AND(NOT(N38),LEN(L38)&gt;2),OR(ISNUMBER(SEARCH($T$1:$T$15,L38))),FALSE)</x:f>
        <x:v>0</x:v>
      </x:c>
      <x:c r="P38" s="794" t="s">
        <x:v>1036</x:v>
      </x:c>
      <x:c r="Q38" s="795" t="s">
        <x:v>1077</x:v>
      </x:c>
      <x:c r="R38" s="788" t="str">
        <x:f t="shared" si="1"/>
        <x:v>[Rein] - Reinforce Seats @ LE|RE|BE for Axial Load Transfer</x:v>
      </x:c>
    </x:row>
    <x:row r="39" spans="1:18" ht="15.4" customHeight="1" x14ac:dyDescent="0.2">
      <x:c r="A39" s="2669"/>
      <x:c r="B39" s="2670"/>
      <x:c r="C39" s="2671"/>
      <x:c r="D39" s="2671"/>
      <x:c r="E39" s="2671"/>
      <x:c r="F39" s="2671"/>
      <x:c r="G39" s="2671"/>
      <x:c r="H39" s="2671"/>
      <x:c r="I39" s="2671"/>
      <x:c r="J39" s="2672"/>
      <x:c r="L39" s="946" t="str">
        <x:f t="shared" si="2"/>
        <x:v>H</x:v>
      </x:c>
      <x:c r="M39" s="1537" t="b">
        <x:v>0</x:v>
      </x:c>
      <x:c r="N39" s="1528" t="b">
        <x:f t="shared" si="0"/>
        <x:v>1</x:v>
      </x:c>
      <x:c r="O39" s="1528" t="b" cm="1">
        <x:f t="array" ref="O39">IF(AND(NOT(N39),LEN(L39)&gt;2),OR(ISNUMBER(SEARCH($T$1:$T$15,L39))),FALSE)</x:f>
        <x:v>0</x:v>
      </x:c>
      <x:c r="P39" s="794" t="s">
        <x:v>1082</x:v>
      </x:c>
      <x:c r="Q39" s="795" t="s">
        <x:v>1083</x:v>
      </x:c>
      <x:c r="R39" s="788" t="str">
        <x:f t="shared" si="1"/>
        <x:v>[RndShrtSlt] - #/#" Round Holes|#/#”x1” Slots, Ga=#” @ LE|RE|BE</x:v>
      </x:c>
    </x:row>
    <x:row r="40" spans="1:18" ht="15.4" customHeight="1" x14ac:dyDescent="0.2">
      <x:c r="A40" s="2669"/>
      <x:c r="B40" s="2670"/>
      <x:c r="C40" s="2671"/>
      <x:c r="D40" s="2671"/>
      <x:c r="E40" s="2671"/>
      <x:c r="F40" s="2671"/>
      <x:c r="G40" s="2671"/>
      <x:c r="H40" s="2671"/>
      <x:c r="I40" s="2671"/>
      <x:c r="J40" s="2672"/>
      <x:c r="L40" s="946" t="str">
        <x:f t="shared" si="2"/>
        <x:v>H</x:v>
      </x:c>
      <x:c r="M40" s="1537" t="b">
        <x:v>0</x:v>
      </x:c>
      <x:c r="N40" s="1528" t="b">
        <x:f t="shared" si="0"/>
        <x:v>1</x:v>
      </x:c>
      <x:c r="O40" s="1528" t="b" cm="1">
        <x:f t="array" ref="O40">IF(AND(NOT(N40),LEN(L40)&gt;2),OR(ISNUMBER(SEARCH($T$1:$T$15,L40))),FALSE)</x:f>
        <x:v>0</x:v>
      </x:c>
      <x:c r="P40" s="794" t="s">
        <x:v>1041</x:v>
      </x:c>
      <x:c r="Q40" s="795" t="s">
        <x:v>1042</x:v>
      </x:c>
      <x:c r="R40" s="788" t="str">
        <x:f t="shared" si="1"/>
        <x:v>[Roll] - Seat Rollover Force = ##Kips @ LE|RE|BE</x:v>
      </x:c>
    </x:row>
    <x:row r="41" spans="1:18" ht="15.4" customHeight="1" x14ac:dyDescent="0.2">
      <x:c r="A41" s="2669"/>
      <x:c r="B41" s="2670"/>
      <x:c r="C41" s="2671"/>
      <x:c r="D41" s="2671"/>
      <x:c r="E41" s="2671"/>
      <x:c r="F41" s="2671"/>
      <x:c r="G41" s="2671"/>
      <x:c r="H41" s="2671"/>
      <x:c r="I41" s="2671"/>
      <x:c r="J41" s="2672"/>
      <x:c r="L41" s="946" t="str">
        <x:f t="shared" si="2"/>
        <x:v>H</x:v>
      </x:c>
      <x:c r="M41" s="1537" t="b">
        <x:v>0</x:v>
      </x:c>
      <x:c r="N41" s="1528" t="b">
        <x:f t="shared" si="0"/>
        <x:v>1</x:v>
      </x:c>
      <x:c r="O41" s="1528" t="b" cm="1">
        <x:f t="array" ref="O41">IF(AND(NOT(N41),LEN(L41)&gt;2),OR(ISNUMBER(SEARCH($T$1:$T$15,L41))),FALSE)</x:f>
        <x:v>0</x:v>
      </x:c>
      <x:c r="P41" s="794" t="s">
        <x:v>1074</x:v>
      </x:c>
      <x:c r="Q41" s="795" t="s">
        <x:v>1075</x:v>
      </x:c>
      <x:c r="R41" s="788" t="str">
        <x:f t="shared" si="1"/>
        <x:v>[ShrtBrg] - Short Bearing = #” @ LE|RE|BE</x:v>
      </x:c>
    </x:row>
    <x:row r="42" spans="1:18" ht="15.4" customHeight="1" x14ac:dyDescent="0.2">
      <x:c r="A42" s="2669"/>
      <x:c r="B42" s="2670"/>
      <x:c r="C42" s="2671"/>
      <x:c r="D42" s="2671"/>
      <x:c r="E42" s="2671"/>
      <x:c r="F42" s="2671"/>
      <x:c r="G42" s="2671"/>
      <x:c r="H42" s="2671"/>
      <x:c r="I42" s="2671"/>
      <x:c r="J42" s="2672"/>
      <x:c r="L42" s="946" t="str">
        <x:f t="shared" si="2"/>
        <x:v>H</x:v>
      </x:c>
      <x:c r="M42" s="1537" t="b">
        <x:v>0</x:v>
      </x:c>
      <x:c r="N42" s="1528" t="b">
        <x:f t="shared" si="0"/>
        <x:v>1</x:v>
      </x:c>
      <x:c r="O42" s="1528" t="b" cm="1">
        <x:f t="array" ref="O42">IF(AND(NOT(N42),LEN(L42)&gt;2),OR(ISNUMBER(SEARCH($T$1:$T$15,L42))),FALSE)</x:f>
        <x:v>0</x:v>
      </x:c>
      <x:c r="P42" s="794" t="s">
        <x:v>1078</x:v>
      </x:c>
      <x:c r="Q42" s="795" t="s">
        <x:v>990</x:v>
      </x:c>
      <x:c r="R42" s="788" t="str">
        <x:f t="shared" si="1"/>
        <x:v>[Skew] - ##º Half(Full)-Skew, NS(FS), LE(RE)</x:v>
      </x:c>
    </x:row>
    <x:row r="43" spans="1:18" ht="15.4" customHeight="1" x14ac:dyDescent="0.2">
      <x:c r="A43" s="2669"/>
      <x:c r="B43" s="2670"/>
      <x:c r="C43" s="2671"/>
      <x:c r="D43" s="2671"/>
      <x:c r="E43" s="2671"/>
      <x:c r="F43" s="2671"/>
      <x:c r="G43" s="2671"/>
      <x:c r="H43" s="2671"/>
      <x:c r="I43" s="2671"/>
      <x:c r="J43" s="2672"/>
      <x:c r="L43" s="946" t="str">
        <x:f t="shared" si="2"/>
        <x:v>H</x:v>
      </x:c>
      <x:c r="M43" s="1537" t="b">
        <x:v>0</x:v>
      </x:c>
      <x:c r="N43" s="1528" t="b">
        <x:f t="shared" si="0"/>
        <x:v>1</x:v>
      </x:c>
      <x:c r="O43" s="1528" t="b" cm="1">
        <x:f t="array" ref="O43">IF(AND(NOT(N43),LEN(L43)&gt;2),OR(ISNUMBER(SEARCH($T$1:$T$15,L43))),FALSE)</x:f>
        <x:v>0</x:v>
      </x:c>
      <x:c r="P43" s="794" t="s">
        <x:v>976</x:v>
      </x:c>
      <x:c r="Q43" s="795" t="s">
        <x:v>1045</x:v>
      </x:c>
      <x:c r="R43" s="788" t="str">
        <x:f t="shared" si="1"/>
        <x:v>[SpSlt] - Special Seat Slots: #"x#" Slots, Ga=#" @ LE|RE|BE</x:v>
      </x:c>
    </x:row>
    <x:row r="44" spans="1:18" ht="15.4" customHeight="1" x14ac:dyDescent="0.2">
      <x:c r="A44" s="2669"/>
      <x:c r="B44" s="2670"/>
      <x:c r="C44" s="2671"/>
      <x:c r="D44" s="2671"/>
      <x:c r="E44" s="2671"/>
      <x:c r="F44" s="2671"/>
      <x:c r="G44" s="2671"/>
      <x:c r="H44" s="2671"/>
      <x:c r="I44" s="2671"/>
      <x:c r="J44" s="2672"/>
      <x:c r="L44" s="946" t="str">
        <x:f t="shared" si="2"/>
        <x:v>H</x:v>
      </x:c>
      <x:c r="M44" s="1537" t="b">
        <x:v>0</x:v>
      </x:c>
      <x:c r="N44" s="1528" t="b">
        <x:f t="shared" si="0"/>
        <x:v>1</x:v>
      </x:c>
      <x:c r="O44" s="1528" t="b" cm="1">
        <x:f t="array" ref="O44">IF(AND(NOT(N44),LEN(L44)&gt;2),OR(ISNUMBER(SEARCH($T$1:$T$15,L44))),FALSE)</x:f>
        <x:v>0</x:v>
      </x:c>
      <x:c r="P44" s="794" t="s">
        <x:v>975</x:v>
      </x:c>
      <x:c r="Q44" s="795" t="s">
        <x:v>1044</x:v>
      </x:c>
      <x:c r="R44" s="788" t="str">
        <x:f t="shared" si="1"/>
        <x:v>[StgSlt] - Stagger Seat Slots LE|RE: ##" NS, ##" FS</x:v>
      </x:c>
    </x:row>
    <x:row r="45" spans="1:18" ht="15.4" customHeight="1" x14ac:dyDescent="0.2">
      <x:c r="A45" s="2669"/>
      <x:c r="B45" s="2670"/>
      <x:c r="C45" s="2671"/>
      <x:c r="D45" s="2671"/>
      <x:c r="E45" s="2671"/>
      <x:c r="F45" s="2671"/>
      <x:c r="G45" s="2671"/>
      <x:c r="H45" s="2671"/>
      <x:c r="I45" s="2671"/>
      <x:c r="J45" s="2672"/>
      <x:c r="L45" s="946" t="str">
        <x:f t="shared" si="2"/>
        <x:v>H</x:v>
      </x:c>
      <x:c r="M45" s="1537" t="b">
        <x:v>0</x:v>
      </x:c>
      <x:c r="N45" s="1528" t="b">
        <x:f t="shared" si="0"/>
        <x:v>1</x:v>
      </x:c>
      <x:c r="O45" s="1528" t="b" cm="1">
        <x:f t="array" ref="O45">IF(AND(NOT(N45),LEN(L45)&gt;2),OR(ISNUMBER(SEARCH($T$1:$T$15,L45))),FALSE)</x:f>
        <x:v>0</x:v>
      </x:c>
      <x:c r="P45" s="794" t="s">
        <x:v>980</x:v>
      </x:c>
      <x:c r="Q45" s="795" t="s">
        <x:v>1034</x:v>
      </x:c>
      <x:c r="R45" s="788" t="str">
        <x:f t="shared" si="1"/>
        <x:v>[TCXMax] - Max Depth of TCXL|TCXR = ##"</x:v>
      </x:c>
    </x:row>
    <x:row r="46" spans="1:18" ht="15.4" customHeight="1" x14ac:dyDescent="0.2">
      <x:c r="A46" s="2669"/>
      <x:c r="B46" s="2670"/>
      <x:c r="C46" s="2671"/>
      <x:c r="D46" s="2671"/>
      <x:c r="E46" s="2671"/>
      <x:c r="F46" s="2671"/>
      <x:c r="G46" s="2671"/>
      <x:c r="H46" s="2671"/>
      <x:c r="I46" s="2671"/>
      <x:c r="J46" s="2672"/>
      <x:c r="L46" s="946" t="str">
        <x:f t="shared" si="2"/>
        <x:v>H</x:v>
      </x:c>
      <x:c r="M46" s="1537" t="b">
        <x:v>0</x:v>
      </x:c>
      <x:c r="N46" s="1528" t="b">
        <x:f t="shared" si="0"/>
        <x:v>1</x:v>
      </x:c>
      <x:c r="O46" s="1528" t="b" cm="1">
        <x:f t="array" ref="O46">IF(AND(NOT(N46),LEN(L46)&gt;2),OR(ISNUMBER(SEARCH($T$1:$T$15,L46))),FALSE)</x:f>
        <x:v>0</x:v>
      </x:c>
      <x:c r="P46" s="794" t="s">
        <x:v>974</x:v>
      </x:c>
      <x:c r="Q46" s="795" t="s">
        <x:v>1076</x:v>
      </x:c>
      <x:c r="R46" s="788" t="str">
        <x:f t="shared" si="1"/>
        <x:v>[TCXSup] - TCXL|TCXR Supported @ End</x:v>
      </x:c>
    </x:row>
    <x:row r="47" spans="1:18" ht="15.4" customHeight="1" x14ac:dyDescent="0.2">
      <x:c r="A47" s="2669"/>
      <x:c r="B47" s="2670"/>
      <x:c r="C47" s="2671"/>
      <x:c r="D47" s="2671"/>
      <x:c r="E47" s="2671"/>
      <x:c r="F47" s="2671"/>
      <x:c r="G47" s="2671"/>
      <x:c r="H47" s="2671"/>
      <x:c r="I47" s="2671"/>
      <x:c r="J47" s="2672"/>
      <x:c r="L47" s="946" t="str">
        <x:f t="shared" si="2"/>
        <x:v>H</x:v>
      </x:c>
      <x:c r="M47" s="1537" t="b">
        <x:v>0</x:v>
      </x:c>
      <x:c r="N47" s="1528" t="b">
        <x:f t="shared" si="0"/>
        <x:v>1</x:v>
      </x:c>
      <x:c r="O47" s="1528" t="b" cm="1">
        <x:f t="array" ref="O47">IF(AND(NOT(N47),LEN(L47)&gt;2),OR(ISNUMBER(SEARCH($T$1:$T$15,L47))),FALSE)</x:f>
        <x:v>0</x:v>
      </x:c>
      <x:c r="P47" s="794"/>
      <x:c r="Q47" s="795" t="s">
        <x:v>1050</x:v>
      </x:c>
      <x:c r="R47" s="788" t="str">
        <x:f t="shared" si="1"/>
        <x:v>[] - MISCELLANEOUS</x:v>
      </x:c>
    </x:row>
    <x:row r="48" spans="1:18" ht="15.4" customHeight="1" x14ac:dyDescent="0.2">
      <x:c r="A48" s="2669"/>
      <x:c r="B48" s="2670"/>
      <x:c r="C48" s="2671"/>
      <x:c r="D48" s="2671"/>
      <x:c r="E48" s="2671"/>
      <x:c r="F48" s="2671"/>
      <x:c r="G48" s="2671"/>
      <x:c r="H48" s="2671"/>
      <x:c r="I48" s="2671"/>
      <x:c r="J48" s="2672"/>
      <x:c r="L48" s="946" t="str">
        <x:f t="shared" si="2"/>
        <x:v>H</x:v>
      </x:c>
      <x:c r="M48" s="1537" t="b">
        <x:v>0</x:v>
      </x:c>
      <x:c r="N48" s="1528" t="b">
        <x:f t="shared" si="0"/>
        <x:v>1</x:v>
      </x:c>
      <x:c r="O48" s="1528" t="b" cm="1">
        <x:f t="array" ref="O48">IF(AND(NOT(N48),LEN(L48)&gt;2),OR(ISNUMBER(SEARCH($T$1:$T$15,L48))),FALSE)</x:f>
        <x:v>0</x:v>
      </x:c>
      <x:c r="P48" s="794" t="s">
        <x:v>982</x:v>
      </x:c>
      <x:c r="Q48" s="795" t="s">
        <x:v>1053</x:v>
      </x:c>
      <x:c r="R48" s="788" t="str">
        <x:f t="shared" si="1"/>
        <x:v>[BClip] - Bridging Clip(s) Required per Plan</x:v>
      </x:c>
    </x:row>
    <x:row r="49" spans="1:18" ht="15.4" customHeight="1" x14ac:dyDescent="0.2">
      <x:c r="A49" s="2669"/>
      <x:c r="B49" s="2670"/>
      <x:c r="C49" s="2671"/>
      <x:c r="D49" s="2671"/>
      <x:c r="E49" s="2671"/>
      <x:c r="F49" s="2671"/>
      <x:c r="G49" s="2671"/>
      <x:c r="H49" s="2671"/>
      <x:c r="I49" s="2671"/>
      <x:c r="J49" s="2672"/>
      <x:c r="L49" s="946" t="str">
        <x:f t="shared" si="2"/>
        <x:v>H</x:v>
      </x:c>
      <x:c r="M49" s="1537" t="b">
        <x:v>0</x:v>
      </x:c>
      <x:c r="N49" s="1528" t="b">
        <x:f t="shared" si="0"/>
        <x:v>1</x:v>
      </x:c>
      <x:c r="O49" s="1528" t="b" cm="1">
        <x:f t="array" ref="O49">IF(AND(NOT(N49),LEN(L49)&gt;2),OR(ISNUMBER(SEARCH($T$1:$T$15,L49))),FALSE)</x:f>
        <x:v>0</x:v>
      </x:c>
      <x:c r="P49" s="794" t="s">
        <x:v>978</x:v>
      </x:c>
      <x:c r="Q49" s="795" t="s">
        <x:v>970</x:v>
      </x:c>
      <x:c r="R49" s="788" t="str">
        <x:f t="shared" si="1"/>
        <x:v>[BCThk] - Min Thickness of BC = 0.xxx"</x:v>
      </x:c>
    </x:row>
    <x:row r="50" spans="1:18" ht="15.4" customHeight="1" x14ac:dyDescent="0.2">
      <x:c r="A50" s="2669"/>
      <x:c r="B50" s="2670"/>
      <x:c r="C50" s="2671"/>
      <x:c r="D50" s="2671"/>
      <x:c r="E50" s="2671"/>
      <x:c r="F50" s="2671"/>
      <x:c r="G50" s="2671"/>
      <x:c r="H50" s="2671"/>
      <x:c r="I50" s="2671"/>
      <x:c r="J50" s="2672"/>
      <x:c r="L50" s="946" t="str">
        <x:f t="shared" si="2"/>
        <x:v>H</x:v>
      </x:c>
      <x:c r="M50" s="1537" t="b">
        <x:v>0</x:v>
      </x:c>
      <x:c r="N50" s="1528" t="b">
        <x:f t="shared" si="0"/>
        <x:v>1</x:v>
      </x:c>
      <x:c r="O50" s="1528" t="b" cm="1">
        <x:f t="array" ref="O50">IF(AND(NOT(N50),LEN(L50)&gt;2),OR(ISNUMBER(SEARCH($T$1:$T$15,L50))),FALSE)</x:f>
        <x:v>0</x:v>
      </x:c>
      <x:c r="P50" s="794" t="s">
        <x:v>1079</x:v>
      </x:c>
      <x:c r="Q50" s="795" t="s">
        <x:v>1052</x:v>
      </x:c>
      <x:c r="R50" s="788" t="str">
        <x:f t="shared" si="1"/>
        <x:v>[Camb] - Camber = #"|Camber for DL|50% Std Camber|No Camber</x:v>
      </x:c>
    </x:row>
    <x:row r="51" spans="1:18" ht="15.4" customHeight="1" x14ac:dyDescent="0.2">
      <x:c r="A51" s="2676"/>
      <x:c r="B51" s="2677"/>
      <x:c r="C51" s="2678"/>
      <x:c r="D51" s="2678"/>
      <x:c r="E51" s="2678"/>
      <x:c r="F51" s="2678"/>
      <x:c r="G51" s="2678"/>
      <x:c r="H51" s="2678"/>
      <x:c r="I51" s="2678"/>
      <x:c r="J51" s="2679"/>
      <x:c r="L51" s="946" t="str">
        <x:f t="shared" si="2"/>
        <x:v>H</x:v>
      </x:c>
      <x:c r="M51" s="1537" t="b">
        <x:v>0</x:v>
      </x:c>
      <x:c r="N51" s="1528" t="b">
        <x:f t="shared" si="0"/>
        <x:v>1</x:v>
      </x:c>
      <x:c r="O51" s="1528" t="b" cm="1">
        <x:f t="array" ref="O51">IF(AND(NOT(N51),LEN(L51)&gt;2),OR(ISNUMBER(SEARCH($T$1:$T$15,L51))),FALSE)</x:f>
        <x:v>0</x:v>
      </x:c>
      <x:c r="P51" s="794" t="s">
        <x:v>1249</x:v>
      </x:c>
      <x:c r="Q51" s="795" t="s">
        <x:v>1254</x:v>
      </x:c>
      <x:c r="R51" s="788" t="str">
        <x:f t="shared" si="1"/>
        <x:v>[DUCT] - ##" Dia|##"H x ##"W Duct @ #'-# from L-OAL</x:v>
      </x:c>
    </x:row>
    <x:row r="52" spans="1:18" ht="15.6" customHeight="1" x14ac:dyDescent="0.2">
      <x:c r="N52" s="245">
        <x:f>COUNTIF(N13:O51,TRUE)+IF(NOT($M$1),1,0)</x:f>
        <x:v>40</x:v>
      </x:c>
      <x:c r="O52" s="1531" t="s">
        <x:v>1264</x:v>
      </x:c>
      <x:c r="P52" s="794" t="s">
        <x:v>994</x:v>
      </x:c>
      <x:c r="Q52" s="795" t="s">
        <x:v>1003</x:v>
      </x:c>
      <x:c r="R52" s="788" t="str">
        <x:f t="shared" si="1"/>
        <x:v>[HS] - Horiz Field Splice: See Detail on J1.xx</x:v>
      </x:c>
    </x:row>
    <x:row r="53" spans="1:18" ht="15.6" customHeight="1" x14ac:dyDescent="0.2">
      <x:c r="P53" s="794" t="s">
        <x:v>996</x:v>
      </x:c>
      <x:c r="Q53" s="795" t="s">
        <x:v>1005</x:v>
      </x:c>
      <x:c r="R53" s="788" t="str">
        <x:f t="shared" si="1"/>
        <x:v>[MS] - Multiple Vert Field Splices: Type xx</x:v>
      </x:c>
    </x:row>
    <x:row r="54" spans="1:18" ht="15.6" customHeight="1" x14ac:dyDescent="0.2">
      <x:c r="P54" s="794" t="s">
        <x:v>1250</x:v>
      </x:c>
      <x:c r="Q54" s="795" t="s">
        <x:v>1253</x:v>
      </x:c>
      <x:c r="R54" s="788" t="str">
        <x:f t="shared" si="1"/>
        <x:v>[SpBClip] - Special Bridging Clip(s) Required per Plan, See Sketch</x:v>
      </x:c>
    </x:row>
    <x:row r="55" spans="1:18" ht="15.6" customHeight="1" x14ac:dyDescent="0.2">
      <x:c r="P55" s="794" t="s">
        <x:v>1054</x:v>
      </x:c>
      <x:c r="Q55" s="795" t="s">
        <x:v>1055</x:v>
      </x:c>
      <x:c r="R55" s="788" t="str">
        <x:f t="shared" si="1"/>
        <x:v>[SpConn] - Special Connection @ (location), See Section ##</x:v>
      </x:c>
    </x:row>
    <x:row r="56" spans="1:18" ht="15.6" customHeight="1" x14ac:dyDescent="0.2">
      <x:c r="P56" s="794" t="s">
        <x:v>977</x:v>
      </x:c>
      <x:c r="Q56" s="795" t="s">
        <x:v>969</x:v>
      </x:c>
      <x:c r="R56" s="788" t="str">
        <x:f t="shared" si="1"/>
        <x:v>[TCThk] - Min Thickness of TC = 0.xxx"</x:v>
      </x:c>
    </x:row>
    <x:row r="57" spans="1:18" ht="15.6" customHeight="1" x14ac:dyDescent="0.2">
      <x:c r="P57" s="794" t="s">
        <x:v>1251</x:v>
      </x:c>
      <x:c r="Q57" s="795" t="s">
        <x:v>1252</x:v>
      </x:c>
      <x:c r="R57" s="788" t="str">
        <x:f t="shared" si="1"/>
        <x:v xml:space="preserve">[V100] - Add Vertical to Support Load On BCXL|R </x:v>
      </x:c>
    </x:row>
    <x:row r="58" spans="1:18" ht="15.6" customHeight="1" x14ac:dyDescent="0.2">
      <x:c r="P58" s="794" t="s">
        <x:v>1086</x:v>
      </x:c>
      <x:c r="Q58" s="795" t="s">
        <x:v>1098</x:v>
      </x:c>
      <x:c r="R58" s="788" t="str">
        <x:f t="shared" si="1"/>
        <x:v>[Vier] - Vierendeel Panel, ##” W x ##” H, Bottom Left Corner of Opening @ ##” From Bot/Jst, ##’-##” From L-OAL</x:v>
      </x:c>
    </x:row>
    <x:row r="59" spans="1:18" ht="15.6" customHeight="1" x14ac:dyDescent="0.2">
      <x:c r="A59" s="633" t="s">
        <x:v>1019</x:v>
      </x:c>
      <x:c r="P59" s="794" t="s">
        <x:v>995</x:v>
      </x:c>
      <x:c r="Q59" s="795" t="s">
        <x:v>1004</x:v>
      </x:c>
      <x:c r="R59" s="788" t="str">
        <x:f t="shared" si="1"/>
        <x:v>[VS] - Vert Field Splice: Type xx, Near Midspan</x:v>
      </x:c>
    </x:row>
    <x:row r="60" spans="1:18" ht="15.6" hidden="1" customHeight="1" x14ac:dyDescent="0.2">
      <x:c r="A60" s="892" t="s">
        <x:v>34</x:v>
      </x:c>
      <x:c r="P60" s="794" t="s">
        <x:v>1084</x:v>
      </x:c>
      <x:c r="Q60" s="795" t="s">
        <x:v>1085</x:v>
      </x:c>
      <x:c r="R60" s="788" t="str">
        <x:f t="shared" si="1"/>
        <x:v>[ChdWdth] - Min|Max Width of TC|BC = ##”</x:v>
      </x:c>
    </x:row>
    <x:row r="61" spans="1:18" ht="15.6" hidden="1" customHeight="1" x14ac:dyDescent="0.2">
      <x:c r="A61" s="894" t="s">
        <x:v>1612</x:v>
      </x:c>
      <x:c r="P61" s="794" t="s">
        <x:v>1080</x:v>
      </x:c>
      <x:c r="Q61" s="795" t="s">
        <x:v>998</x:v>
      </x:c>
      <x:c r="R61" s="788" t="str">
        <x:f t="shared" si="1"/>
        <x:v>[Duct] - ##" Dia (##"H x ##"W) Duct @ #'-# from L-OAL</x:v>
      </x:c>
    </x:row>
    <x:row r="62" spans="1:18" ht="15.6" hidden="1" customHeight="1" x14ac:dyDescent="0.2">
      <x:c r="P62" s="794" t="s">
        <x:v>994</x:v>
      </x:c>
      <x:c r="Q62" s="795" t="s">
        <x:v>1003</x:v>
      </x:c>
      <x:c r="R62" s="788" t="str">
        <x:f t="shared" si="1"/>
        <x:v>[HS] - Horiz Field Splice: See Detail on J1.xx</x:v>
      </x:c>
    </x:row>
    <x:row r="63" spans="1:18" ht="15.6" hidden="1" customHeight="1" x14ac:dyDescent="0.2">
      <x:c r="P63" s="794" t="s">
        <x:v>995</x:v>
      </x:c>
      <x:c r="Q63" s="795" t="s">
        <x:v>1004</x:v>
      </x:c>
      <x:c r="R63" s="788" t="str">
        <x:f t="shared" si="1"/>
        <x:v>[VS] - Vert Field Splice: Type xx, Near Midspan</x:v>
      </x:c>
    </x:row>
    <x:row r="64" spans="1:18" ht="15.6" hidden="1" customHeight="1" x14ac:dyDescent="0.2">
      <x:c r="P64" s="794" t="s">
        <x:v>996</x:v>
      </x:c>
      <x:c r="Q64" s="795" t="s">
        <x:v>1005</x:v>
      </x:c>
      <x:c r="R64" s="788" t="str">
        <x:f t="shared" si="1"/>
        <x:v>[MS] - Multiple Vert Field Splices: Type xx</x:v>
      </x:c>
    </x:row>
    <x:row r="65" spans="1:18" ht="15.6" customHeight="1" x14ac:dyDescent="0.2">
      <x:c r="A65" s="633" t="s">
        <x:v>1020</x:v>
      </x:c>
      <x:c r="P65" s="794"/>
      <x:c r="Q65" s="795" t="s">
        <x:v>1056</x:v>
      </x:c>
      <x:c r="R65" s="788" t="str">
        <x:f t="shared" si="1"/>
        <x:v>[] - GENERAL</x:v>
      </x:c>
    </x:row>
    <x:row r="66" spans="1:18" ht="15.6" customHeight="1" x14ac:dyDescent="0.2">
      <x:c r="P66" s="794" t="s">
        <x:v>1247</x:v>
      </x:c>
      <x:c r="Q66" s="795" t="s">
        <x:v>1248</x:v>
      </x:c>
      <x:c r="R66" s="788" t="str">
        <x:f t="shared" si="1"/>
        <x:v>[PAINT] - NO Shop Primer|NO Shop Primer – Galv|# Shop Coats – Std Gray Primer</x:v>
      </x:c>
    </x:row>
    <x:row r="67" spans="1:18" ht="15.6" customHeight="1" x14ac:dyDescent="0.2">
      <x:c r="P67" s="794" t="s">
        <x:v>1013</x:v>
      </x:c>
      <x:c r="Q67" s="795" t="s">
        <x:v>1014</x:v>
      </x:c>
      <x:c r="R67" s="788" t="str">
        <x:f t="shared" si="1"/>
        <x:v>[LRFD] - **LRFD**   **LRFD**   **LRFD**</x:v>
      </x:c>
    </x:row>
    <x:row r="68" spans="1:18" ht="15.6" customHeight="1" x14ac:dyDescent="0.2">
      <x:c r="P68" s="794" t="s">
        <x:v>972</x:v>
      </x:c>
      <x:c r="Q68" s="795" t="s">
        <x:v>999</x:v>
      </x:c>
      <x:c r="R68" s="788" t="str">
        <x:f t="shared" si="1"/>
        <x:v>[ESFR] - #"Dia Pipes, 8" Below Top/Jst, 15" Horiz Clearance @ ##'-#,  ##'-# &amp;  ##'-# from L-OAL</x:v>
      </x:c>
    </x:row>
    <x:row r="69" spans="1:18" ht="15.6" customHeight="1" x14ac:dyDescent="0.2">
      <x:c r="P69" s="794" t="s">
        <x:v>1081</x:v>
      </x:c>
      <x:c r="Q69" s="795" t="s">
        <x:v>971</x:v>
      </x:c>
      <x:c r="R69" s="788" t="str">
        <x:f t="shared" si="1"/>
        <x:v>[Self] - Add Self-Weight to Design</x:v>
      </x:c>
    </x:row>
    <x:row r="70" spans="1:18" ht="15.6" customHeight="1" x14ac:dyDescent="0.2">
      <x:c r="P70" s="794" t="s">
        <x:v>1008</x:v>
      </x:c>
      <x:c r="Q70" s="795" t="s">
        <x:v>1010</x:v>
      </x:c>
      <x:c r="R70" s="788" t="str">
        <x:f t="shared" si="1"/>
        <x:v>[SpChd] - ##"^2 Min Chord Area</x:v>
      </x:c>
    </x:row>
    <x:row r="71" spans="1:18" ht="15.6" customHeight="1" x14ac:dyDescent="0.2">
      <x:c r="P71" s="794" t="s">
        <x:v>1009</x:v>
      </x:c>
      <x:c r="Q71" s="795" t="s">
        <x:v>1011</x:v>
      </x:c>
      <x:c r="R71" s="788" t="str">
        <x:f t="shared" si="1"/>
        <x:v>[SpWeb] - ##"^2 Min Web Area</x:v>
      </x:c>
    </x:row>
    <x:row r="72" spans="1:18" ht="15.6" customHeight="1" x14ac:dyDescent="0.2">
      <x:c r="P72" s="794" t="s">
        <x:v>1051</x:v>
      </x:c>
      <x:c r="Q72" s="795" t="s">
        <x:v>1012</x:v>
      </x:c>
      <x:c r="R72" s="788" t="str">
        <x:f t="shared" si="1"/>
        <x:v>[DomStl] - Domestic Steel Required (ARRA)</x:v>
      </x:c>
    </x:row>
    <x:row r="73" spans="1:18" ht="15.6" customHeight="1" x14ac:dyDescent="0.2">
      <x:c r="P73" s="794" t="s">
        <x:v>997</x:v>
      </x:c>
      <x:c r="Q73" s="795" t="s">
        <x:v>1006</x:v>
      </x:c>
      <x:c r="R73" s="788" t="str">
        <x:f t="shared" si="1"/>
        <x:v>[SSR] - Standing Seam Roof: TC Lateral Support @ ##" Max.</x:v>
      </x:c>
    </x:row>
    <x:row r="74" spans="1:18" ht="15.6" customHeight="1" x14ac:dyDescent="0.2">
      <x:c r="P74" s="794" t="s">
        <x:v>1087</x:v>
      </x:c>
      <x:c r="Q74" s="795" t="s">
        <x:v>1093</x:v>
      </x:c>
      <x:c r="R74" s="788" t="str">
        <x:f t="shared" si="1"/>
        <x:v>[AlignPnls] - Align Panels of Adjacent Jsts</x:v>
      </x:c>
    </x:row>
    <x:row r="75" spans="1:18" ht="15.6" customHeight="1" x14ac:dyDescent="0.2">
      <x:c r="P75" s="794" t="s">
        <x:v>1088</x:v>
      </x:c>
      <x:c r="Q75" s="795" t="s">
        <x:v>1094</x:v>
      </x:c>
      <x:c r="R75" s="788" t="str">
        <x:f t="shared" si="1"/>
        <x:v>[SpBund] - Special Bundling Req’d, See Attached Listing</x:v>
      </x:c>
    </x:row>
    <x:row r="76" spans="1:18" ht="15.6" customHeight="1" x14ac:dyDescent="0.2">
      <x:c r="P76" s="794" t="s">
        <x:v>1089</x:v>
      </x:c>
      <x:c r="Q76" s="795" t="s">
        <x:v>1095</x:v>
      </x:c>
      <x:c r="R76" s="788" t="str">
        <x:f t="shared" si="1"/>
        <x:v>[BIM] - Building Information Modeling, Inform Dtlr When Design Completed</x:v>
      </x:c>
    </x:row>
    <x:row r="77" spans="1:18" ht="15.6" customHeight="1" x14ac:dyDescent="0.2">
      <x:c r="P77" s="794" t="s">
        <x:v>1090</x:v>
      </x:c>
      <x:c r="Q77" s="795" t="s">
        <x:v>1096</x:v>
      </x:c>
      <x:c r="R77" s="788" t="str">
        <x:f t="shared" si="1"/>
        <x:v>[Calcs] - Sealed Calcs req’d for Record|Appl</x:v>
      </x:c>
    </x:row>
    <x:row r="78" spans="1:18" ht="15.6" customHeight="1" x14ac:dyDescent="0.2">
      <x:c r="P78" s="794" t="s">
        <x:v>1091</x:v>
      </x:c>
      <x:c r="Q78" s="795" t="s">
        <x:v>1097</x:v>
      </x:c>
      <x:c r="R78" s="788" t="str">
        <x:f t="shared" ref="R78:R99" si="3">CONCATENATE("[",P78, "] - ", Q78)</x:f>
        <x:v>[Prof] - Joist|Girder Profiles Req’d</x:v>
      </x:c>
    </x:row>
    <x:row r="79" spans="1:18" ht="15.6" customHeight="1" x14ac:dyDescent="0.2">
      <x:c r="P79" s="794" t="s">
        <x:v>1092</x:v>
      </x:c>
      <x:c r="Q79" s="795" t="s">
        <x:v>1057</x:v>
      </x:c>
      <x:c r="R79" s="788" t="str">
        <x:f t="shared" si="3"/>
        <x:v>[UnDef] - Special Note Here (special condition not matching pre-defined codes)</x:v>
      </x:c>
    </x:row>
    <x:row r="80" spans="1:18" ht="15.6" customHeight="1" x14ac:dyDescent="0.2">
      <x:c r="P80" s="794"/>
      <x:c r="Q80" s="795"/>
      <x:c r="R80" s="788" t="str">
        <x:f t="shared" si="3"/>
        <x:v xml:space="preserve">[] - </x:v>
      </x:c>
    </x:row>
    <x:row r="81" spans="16:18" ht="15.6" customHeight="1" x14ac:dyDescent="0.2">
      <x:c r="P81" s="794"/>
      <x:c r="Q81" s="795"/>
      <x:c r="R81" s="788" t="str">
        <x:f t="shared" si="3"/>
        <x:v xml:space="preserve">[] - </x:v>
      </x:c>
    </x:row>
    <x:row r="82" spans="16:18" ht="15.6" customHeight="1" x14ac:dyDescent="0.2">
      <x:c r="P82" s="794"/>
      <x:c r="Q82" s="795"/>
      <x:c r="R82" s="788" t="str">
        <x:f t="shared" si="3"/>
        <x:v xml:space="preserve">[] - </x:v>
      </x:c>
    </x:row>
    <x:row r="83" spans="16:18" ht="15.6" customHeight="1" x14ac:dyDescent="0.2">
      <x:c r="P83" s="794"/>
      <x:c r="Q83" s="795"/>
      <x:c r="R83" s="788" t="str">
        <x:f t="shared" si="3"/>
        <x:v xml:space="preserve">[] - </x:v>
      </x:c>
    </x:row>
    <x:row r="84" spans="16:18" ht="15.6" customHeight="1" x14ac:dyDescent="0.2">
      <x:c r="P84" s="794"/>
      <x:c r="Q84" s="795"/>
      <x:c r="R84" s="788" t="str">
        <x:f t="shared" si="3"/>
        <x:v xml:space="preserve">[] - </x:v>
      </x:c>
    </x:row>
    <x:row r="85" spans="16:18" ht="15.6" customHeight="1" x14ac:dyDescent="0.2">
      <x:c r="P85" s="794"/>
      <x:c r="Q85" s="795"/>
      <x:c r="R85" s="788" t="str">
        <x:f t="shared" si="3"/>
        <x:v xml:space="preserve">[] - </x:v>
      </x:c>
    </x:row>
    <x:row r="86" spans="16:18" ht="15.6" customHeight="1" x14ac:dyDescent="0.2">
      <x:c r="P86" s="794"/>
      <x:c r="Q86" s="795"/>
      <x:c r="R86" s="788" t="str">
        <x:f t="shared" si="3"/>
        <x:v xml:space="preserve">[] - </x:v>
      </x:c>
    </x:row>
    <x:row r="87" spans="16:18" ht="15.6" customHeight="1" x14ac:dyDescent="0.2">
      <x:c r="P87" s="794"/>
      <x:c r="Q87" s="795"/>
      <x:c r="R87" s="788" t="str">
        <x:f t="shared" si="3"/>
        <x:v xml:space="preserve">[] - </x:v>
      </x:c>
    </x:row>
    <x:row r="88" spans="16:18" ht="15.6" customHeight="1" x14ac:dyDescent="0.2">
      <x:c r="P88" s="794"/>
      <x:c r="Q88" s="795"/>
      <x:c r="R88" s="788" t="str">
        <x:f t="shared" si="3"/>
        <x:v xml:space="preserve">[] - </x:v>
      </x:c>
    </x:row>
    <x:row r="89" spans="16:18" ht="15.6" customHeight="1" x14ac:dyDescent="0.2">
      <x:c r="P89" s="794"/>
      <x:c r="Q89" s="795"/>
      <x:c r="R89" s="788" t="str">
        <x:f t="shared" si="3"/>
        <x:v xml:space="preserve">[] - </x:v>
      </x:c>
    </x:row>
    <x:row r="90" spans="16:18" ht="15.6" customHeight="1" x14ac:dyDescent="0.2">
      <x:c r="P90" s="794"/>
      <x:c r="Q90" s="795"/>
      <x:c r="R90" s="788" t="str">
        <x:f t="shared" si="3"/>
        <x:v xml:space="preserve">[] - </x:v>
      </x:c>
    </x:row>
    <x:row r="91" spans="16:18" ht="15.6" customHeight="1" x14ac:dyDescent="0.2">
      <x:c r="P91" s="794"/>
      <x:c r="Q91" s="795"/>
      <x:c r="R91" s="788" t="str">
        <x:f t="shared" si="3"/>
        <x:v xml:space="preserve">[] - </x:v>
      </x:c>
    </x:row>
    <x:row r="92" spans="16:18" ht="15.6" customHeight="1" x14ac:dyDescent="0.2">
      <x:c r="P92" s="794"/>
      <x:c r="Q92" s="795"/>
      <x:c r="R92" s="788" t="str">
        <x:f t="shared" si="3"/>
        <x:v xml:space="preserve">[] - </x:v>
      </x:c>
    </x:row>
    <x:row r="93" spans="16:18" ht="15.6" customHeight="1" x14ac:dyDescent="0.2">
      <x:c r="P93" s="794"/>
      <x:c r="Q93" s="795"/>
      <x:c r="R93" s="788" t="str">
        <x:f t="shared" si="3"/>
        <x:v xml:space="preserve">[] - </x:v>
      </x:c>
    </x:row>
    <x:row r="94" spans="16:18" ht="15.6" customHeight="1" x14ac:dyDescent="0.2">
      <x:c r="P94" s="794"/>
      <x:c r="Q94" s="795"/>
      <x:c r="R94" s="788" t="str">
        <x:f t="shared" si="3"/>
        <x:v xml:space="preserve">[] - </x:v>
      </x:c>
    </x:row>
    <x:row r="95" spans="16:18" ht="15.6" customHeight="1" x14ac:dyDescent="0.2">
      <x:c r="P95" s="794"/>
      <x:c r="Q95" s="795"/>
      <x:c r="R95" s="788" t="str">
        <x:f t="shared" si="3"/>
        <x:v xml:space="preserve">[] - </x:v>
      </x:c>
    </x:row>
    <x:row r="96" spans="16:18" ht="15.6" customHeight="1" x14ac:dyDescent="0.2">
      <x:c r="P96" s="794"/>
      <x:c r="Q96" s="795"/>
      <x:c r="R96" s="788" t="str">
        <x:f t="shared" si="3"/>
        <x:v xml:space="preserve">[] - </x:v>
      </x:c>
    </x:row>
    <x:row r="97" spans="16:18" ht="15.6" customHeight="1" x14ac:dyDescent="0.2">
      <x:c r="P97" s="794"/>
      <x:c r="Q97" s="795"/>
      <x:c r="R97" s="788" t="str">
        <x:f t="shared" si="3"/>
        <x:v xml:space="preserve">[] - </x:v>
      </x:c>
    </x:row>
    <x:row r="98" spans="16:18" ht="15.6" customHeight="1" x14ac:dyDescent="0.2">
      <x:c r="P98" s="794"/>
      <x:c r="Q98" s="795"/>
      <x:c r="R98" s="788" t="str">
        <x:f t="shared" si="3"/>
        <x:v xml:space="preserve">[] - </x:v>
      </x:c>
    </x:row>
    <x:row r="99" spans="16:18" ht="15.6" customHeight="1" x14ac:dyDescent="0.2">
      <x:c r="P99" s="796"/>
      <x:c r="Q99" s="797"/>
      <x:c r="R99" s="789" t="str">
        <x:f t="shared" si="3"/>
        <x:v xml:space="preserve">[] - </x:v>
      </x:c>
    </x:row>
    <x:row r="100" spans="16:18" x14ac:dyDescent="0.2">
      <x:c r="R100" s="784"/>
    </x:row>
  </x:sheetData>
  <x:sheetProtection algorithmName="SHA-512" hashValue="BoJ3M6ffe7Kbdr1/BvKTOETcMwLQ6mA084dveOicEOsMNUNhL+q/QOJv5Rxd0MkSLnwsMDBWVxiOrpYhpbcXDg==" saltValue="tQFGq2qrOBXXhUyfMHyuhA==" spinCount="100000" sheet="1" scenarios="1" selectLockedCells="1"/>
  <x:mergeCells count="56">
    <x:mergeCell ref="B9:D9"/>
    <x:mergeCell ref="G9:J9"/>
    <x:mergeCell ref="D1:F1"/>
    <x:mergeCell ref="G1:H1"/>
    <x:mergeCell ref="I1:J1"/>
    <x:mergeCell ref="D2:F3"/>
    <x:mergeCell ref="G2:H2"/>
    <x:mergeCell ref="I2:J2"/>
    <x:mergeCell ref="G3:H3"/>
    <x:mergeCell ref="I3:J3"/>
    <x:mergeCell ref="D4:F4"/>
    <x:mergeCell ref="G4:H4"/>
    <x:mergeCell ref="I4:J4"/>
    <x:mergeCell ref="A5:F5"/>
    <x:mergeCell ref="H6:I6"/>
    <x:mergeCell ref="B22:J22"/>
    <x:mergeCell ref="B10:D10"/>
    <x:mergeCell ref="B12:J12"/>
    <x:mergeCell ref="B13:J13"/>
    <x:mergeCell ref="B14:J14"/>
    <x:mergeCell ref="B15:J15"/>
    <x:mergeCell ref="B16:J16"/>
    <x:mergeCell ref="B17:J17"/>
    <x:mergeCell ref="B18:J18"/>
    <x:mergeCell ref="B19:J19"/>
    <x:mergeCell ref="B20:J20"/>
    <x:mergeCell ref="B21:J21"/>
    <x:mergeCell ref="B34:J34"/>
    <x:mergeCell ref="B23:J23"/>
    <x:mergeCell ref="B24:J24"/>
    <x:mergeCell ref="B25:J25"/>
    <x:mergeCell ref="B26:J26"/>
    <x:mergeCell ref="B27:J27"/>
    <x:mergeCell ref="B28:J28"/>
    <x:mergeCell ref="B29:J29"/>
    <x:mergeCell ref="B30:J30"/>
    <x:mergeCell ref="B31:J31"/>
    <x:mergeCell ref="B32:J32"/>
    <x:mergeCell ref="B33:J33"/>
    <x:mergeCell ref="B46:J46"/>
    <x:mergeCell ref="B35:J35"/>
    <x:mergeCell ref="B36:J36"/>
    <x:mergeCell ref="B37:J37"/>
    <x:mergeCell ref="B38:J38"/>
    <x:mergeCell ref="B39:J39"/>
    <x:mergeCell ref="B40:J40"/>
    <x:mergeCell ref="B41:J41"/>
    <x:mergeCell ref="B42:J42"/>
    <x:mergeCell ref="B43:J43"/>
    <x:mergeCell ref="B44:J44"/>
    <x:mergeCell ref="B45:J45"/>
    <x:mergeCell ref="B47:J47"/>
    <x:mergeCell ref="B48:J48"/>
    <x:mergeCell ref="B49:J49"/>
    <x:mergeCell ref="B50:J50"/>
    <x:mergeCell ref="B51:J51"/>
  </x:mergeCells>
  <x:conditionalFormatting sqref="D2:F4">
    <x:cfRule type="cellIs" dxfId="622" priority="5" stopIfTrue="1" operator="equal">
      <x:formula>""</x:formula>
    </x:cfRule>
  </x:conditionalFormatting>
  <x:conditionalFormatting sqref="A13:J51">
    <x:cfRule type="expression" dxfId="621" priority="2">
      <x:formula>AND(NOT($N13),NOT($O13),$M$1)</x:formula>
    </x:cfRule>
    <x:cfRule type="expression" dxfId="620" priority="4">
      <x:formula>AND($M13,$L$1="M")</x:formula>
    </x:cfRule>
  </x:conditionalFormatting>
  <x:conditionalFormatting sqref="A13:A51">
    <x:cfRule type="expression" dxfId="619" priority="3">
      <x:formula>NOT(OR($N13,$O13))</x:formula>
    </x:cfRule>
  </x:conditionalFormatting>
  <x:conditionalFormatting sqref="B13:J51">
    <x:cfRule type="expression" dxfId="618" priority="1">
      <x:formula>LEN(B13)&gt;130</x:formula>
    </x:cfRule>
  </x:conditionalFormatting>
  <x:dataValidations count="2">
    <x:dataValidation type="list" allowBlank="1" sqref="B13:J51" xr:uid="{3D6DF3DE-1321-4E8D-A522-E468213128ED}">
      <x:formula1>OFFSET($R$13,0,0,$P$10,1)</x:formula1>
    </x:dataValidation>
    <x:dataValidation type="list" allowBlank="1" showInputMessage="1" sqref="Q7" xr:uid="{205CAF2D-6D13-4A9C-AEE3-DB9E5B986C77}">
      <x:formula1>OFFSET($R$13,0,0,$P$10,1)</x:formula1>
    </x:dataValidation>
  </x:dataValidations>
  <x:printOptions horizontalCentered="1"/>
  <x:pageMargins left="0.3" right="0.3" top="0.5" bottom="0.5" header="0" footer="0.25"/>
  <x:pageSetup orientation="portrait" r:id="rId1"/>
  <x:headerFooter alignWithMargins="0">
    <x:oddFooter>&amp;R&amp;7Printed: &amp;D &amp;T&amp;L&amp;7Version: 23.0413
File: &amp;F</x:oddFooter>
  </x:headerFooter>
  <x:drawing r:id="rId2"/>
  <x:legacyDrawing r:id="rId3"/>
</x:worksheet>
</file>

<file path=xl/worksheets/sheet23.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238D4DD5-5F72-48DC-920D-2ABFEA41FDAF}" mc:Ignorable="x14ac xr xr2 xr3">
  <x:sheetPr codeName="Sheet25">
    <x:tabColor indexed="45"/>
  </x:sheetPr>
  <x:dimension ref="A1:CE65"/>
  <x:sheetViews>
    <x:sheetView showGridLines="0" zoomScaleNormal="100" zoomScaleSheetLayoutView="100" workbookViewId="0">
      <x:selection activeCell="N7" sqref="N7"/>
    </x:sheetView>
  </x:sheetViews>
  <x:sheetFormatPr defaultRowHeight="11.25" x14ac:dyDescent="0.2"/>
  <x:cols>
    <x:col min="1" max="1" width="7.7109375" style="245" customWidth="1"/>
    <x:col min="2" max="4" width="6.7109375" style="245" customWidth="1"/>
    <x:col min="5" max="5" width="6.7109375" style="245" hidden="1" customWidth="1"/>
    <x:col min="6" max="6" width="7.7109375" style="245" customWidth="1"/>
    <x:col min="7" max="7" width="3.7109375" style="245" customWidth="1"/>
    <x:col min="8" max="8" width="5.7109375" style="245" customWidth="1"/>
    <x:col min="9" max="9" width="7.7109375" style="245" customWidth="1"/>
    <x:col min="10" max="10" width="3.7109375" style="245" customWidth="1"/>
    <x:col min="11" max="12" width="5.7109375" style="245" customWidth="1"/>
    <x:col min="13" max="13" width="11.7109375" style="245" customWidth="1"/>
    <x:col min="14" max="14" width="22.7109375" style="245" customWidth="1"/>
    <x:col min="15" max="15" width="7.7109375" style="245" customWidth="1"/>
    <x:col min="16" max="16" width="7.7109375" style="245" hidden="1" customWidth="1"/>
    <x:col min="17" max="40" width="6.7109375" style="245" hidden="1" customWidth="1"/>
    <x:col min="41" max="43" width="9.140625" style="378" hidden="1" customWidth="1"/>
    <x:col min="44" max="56" width="9.140625" style="245" hidden="1" customWidth="1"/>
    <x:col min="57" max="57" width="9.140625" style="1041" hidden="1" customWidth="1"/>
    <x:col min="58" max="82" width="9.140625" style="245" hidden="1" customWidth="1"/>
    <x:col min="83" max="16384" width="9.140625" style="245"/>
  </x:cols>
  <x:sheetData>
    <x:row r="1" spans="1:83" ht="14.45" customHeight="1" thickBot="1" x14ac:dyDescent="0.25">
      <x:c r="A1" s="374"/>
      <x:c r="B1" s="374"/>
      <x:c r="C1" s="374"/>
      <x:c r="D1" s="374"/>
      <x:c r="E1" s="374"/>
      <x:c r="F1" s="374"/>
      <x:c r="G1" s="374"/>
      <x:c r="H1" s="375"/>
      <x:c r="I1" s="1832" t="str">
        <x:f>IF(S1="","",VLOOKUP(S1,'Job Info.'!X:AA,4,FALSE))</x:f>
        <x:v>Master</x:v>
      </x:c>
      <x:c r="J1" s="1832"/>
      <x:c r="K1" s="1832"/>
      <x:c r="L1" s="375"/>
      <x:c r="M1" s="375" t="s">
        <x:v>95</x:v>
      </x:c>
      <x:c r="N1" s="463" t="str">
        <x:f ca="1">'Job Info.'!D12</x:f>
        <x:v>775-428-0600</x:v>
      </x:c>
      <x:c r="O1" s="484" t="s">
        <x:v>722</x:v>
      </x:c>
      <x:c r="P1" s="1008"/>
      <x:c r="S1" s="378" t="str">
        <x:f>'Job Info.'!Q30</x:f>
        <x:v>M</x:v>
      </x:c>
      <x:c r="T1" s="378" t="b">
        <x:f>'Job Info.'!Q32</x:f>
        <x:v>0</x:v>
      </x:c>
      <x:c r="BD1" s="256" t="s">
        <x:v>1262</x:v>
      </x:c>
      <x:c r="BE1" s="1040" t="s">
        <x:v>1699</x:v>
      </x:c>
      <x:c r="CE1" s="485" t="s">
        <x:v>723</x:v>
      </x:c>
    </x:row>
    <x:row r="2" spans="1:83" ht="12.95" customHeight="1" thickTop="1" x14ac:dyDescent="0.2">
      <x:c r="A2" s="374"/>
      <x:c r="B2" s="374"/>
      <x:c r="C2" s="374"/>
      <x:c r="D2" s="374"/>
      <x:c r="E2" s="374"/>
      <x:c r="F2" s="374"/>
      <x:c r="G2" s="374"/>
      <x:c r="H2" s="375"/>
      <x:c r="I2" s="1837" t="str">
        <x:f>IF(S1="","",IF(VLOOKUP(S1,'Job Info.'!X:Z,2,FALSE),"Released for Fabrication",""))</x:f>
        <x:v/>
      </x:c>
      <x:c r="J2" s="1838"/>
      <x:c r="K2" s="1839"/>
      <x:c r="L2" s="375"/>
      <x:c r="M2" s="375" t="s">
        <x:v>96</x:v>
      </x:c>
      <x:c r="N2" s="463" t="str">
        <x:f ca="1">'Job Info.'!D13</x:f>
        <x:v>775-867-2140</x:v>
      </x:c>
      <x:c r="O2" s="1008"/>
      <x:c r="P2" s="1008"/>
      <x:c r="BE2" s="1040" t="s">
        <x:v>1518</x:v>
      </x:c>
    </x:row>
    <x:row r="3" spans="1:83" ht="12.95" customHeight="1" x14ac:dyDescent="0.2">
      <x:c r="A3" s="374"/>
      <x:c r="B3" s="374"/>
      <x:c r="C3" s="374"/>
      <x:c r="D3" s="374"/>
      <x:c r="E3" s="374"/>
      <x:c r="F3" s="374"/>
      <x:c r="G3" s="374"/>
      <x:c r="H3" s="375"/>
      <x:c r="I3" s="1840"/>
      <x:c r="J3" s="1841"/>
      <x:c r="K3" s="1842"/>
      <x:c r="L3" s="375"/>
      <x:c r="M3" s="375" t="s">
        <x:v>98</x:v>
      </x:c>
      <x:c r="N3" s="463" t="str">
        <x:f ca="1">'Job Info.'!D14</x:f>
        <x:v>775-867-2169</x:v>
      </x:c>
      <x:c r="O3" s="1008"/>
      <x:c r="P3" s="1008"/>
      <x:c r="BE3" s="1041" t="s">
        <x:v>1536</x:v>
      </x:c>
    </x:row>
    <x:row r="4" spans="1:83" ht="12.95" customHeight="1" thickBot="1" x14ac:dyDescent="0.25">
      <x:c r="A4" s="374"/>
      <x:c r="B4" s="374"/>
      <x:c r="C4" s="374"/>
      <x:c r="D4" s="374"/>
      <x:c r="E4" s="374"/>
      <x:c r="F4" s="374"/>
      <x:c r="G4" s="374"/>
      <x:c r="H4" s="374"/>
      <x:c r="I4" s="1843" t="str">
        <x:f>IF(S1="","",IF(VLOOKUP(S1,'Job Info.'!X:Z,2,FALSE),VLOOKUP(S1,'Job Info.'!X:Z,3,FALSE),""))</x:f>
        <x:v/>
      </x:c>
      <x:c r="J4" s="1844"/>
      <x:c r="K4" s="1845"/>
      <x:c r="L4" s="375"/>
      <x:c r="M4" s="375" t="s">
        <x:v>97</x:v>
      </x:c>
      <x:c r="N4" s="463" t="str">
        <x:f ca="1">'Job Info.'!D15</x:f>
        <x:v>775-867-2060</x:v>
      </x:c>
      <x:c r="O4" s="1008"/>
      <x:c r="P4" s="1008"/>
      <x:c r="BE4" s="1041" t="s">
        <x:v>1543</x:v>
      </x:c>
    </x:row>
    <x:row r="5" spans="1:83" ht="12.95" customHeight="1" thickTop="1" x14ac:dyDescent="0.2">
      <x:c r="A5" s="1846" t="str">
        <x:f ca="1">'Job Info.'!D11</x:f>
        <x:v>8200 Woolery Way | Fallon, NV 89406 | www.newmill.com</x:v>
      </x:c>
      <x:c r="B5" s="1856"/>
      <x:c r="C5" s="1856"/>
      <x:c r="D5" s="1856"/>
      <x:c r="E5" s="1856"/>
      <x:c r="F5" s="1856"/>
      <x:c r="G5" s="1856"/>
      <x:c r="H5" s="1856"/>
      <x:c r="I5" s="1856"/>
      <x:c r="J5" s="1856"/>
      <x:c r="K5" s="374"/>
      <x:c r="L5" s="374"/>
      <x:c r="M5" s="374"/>
      <x:c r="N5" s="374"/>
      <x:c r="O5" s="1008"/>
      <x:c r="P5" s="1008"/>
      <x:c r="BE5" s="1041" t="s">
        <x:v>1557</x:v>
      </x:c>
    </x:row>
    <x:row r="6" spans="1:83" ht="12.95" customHeight="1" x14ac:dyDescent="0.2">
      <x:c r="A6" s="374"/>
      <x:c r="B6" s="374"/>
      <x:c r="C6" s="374"/>
      <x:c r="D6" s="374"/>
      <x:c r="E6" s="374"/>
      <x:c r="F6" s="374"/>
      <x:c r="G6" s="374"/>
      <x:c r="H6" s="374"/>
      <x:c r="I6" s="374"/>
      <x:c r="J6" s="374"/>
      <x:c r="K6" s="374"/>
      <x:c r="L6" s="374"/>
      <x:c r="M6" s="460" t="s">
        <x:v>20</x:v>
      </x:c>
      <x:c r="N6" s="1048">
        <x:f>IF(ISBLANK('Job Info.'!D8),"",'Job Info.'!D8)</x:f>
        <x:v>45048</x:v>
      </x:c>
      <x:c r="O6" s="1055"/>
      <x:c r="P6" s="503" t="s">
        <x:v>1132</x:v>
      </x:c>
      <x:c r="T6" s="633"/>
      <x:c r="BE6" s="1041" t="s">
        <x:v>1545</x:v>
      </x:c>
    </x:row>
    <x:row r="7" spans="1:83" ht="12.95" customHeight="1" x14ac:dyDescent="0.2">
      <x:c r="A7" s="395" t="s">
        <x:v>1279</x:v>
      </x:c>
      <x:c r="B7" s="374"/>
      <x:c r="C7" s="374"/>
      <x:c r="D7" s="374"/>
      <x:c r="E7" s="374"/>
      <x:c r="F7" s="374"/>
      <x:c r="G7" s="374"/>
      <x:c r="H7" s="374"/>
      <x:c r="I7" s="374"/>
      <x:c r="J7" s="374"/>
      <x:c r="K7" s="374"/>
      <x:c r="L7" s="374"/>
      <x:c r="M7" s="460" t="s">
        <x:v>21</x:v>
      </x:c>
      <x:c r="N7" s="1175" t="str">
        <x:f>CONCATENATE(P7, " of ",IF(ISBLANK('Job Info.'!D9),"",'Job Info.'!D9))</x:f>
        <x:v>3 of 19</x:v>
      </x:c>
      <x:c r="O7" s="1008"/>
      <x:c r="P7" s="238">
        <x:v>3</x:v>
      </x:c>
      <x:c r="V7" s="630"/>
      <x:c r="BE7" s="1041" t="s">
        <x:v>1551</x:v>
      </x:c>
    </x:row>
    <x:row r="8" spans="1:83" ht="3.95" customHeight="1" x14ac:dyDescent="0.2">
      <x:c r="A8" s="374"/>
      <x:c r="B8" s="374"/>
      <x:c r="C8" s="374"/>
      <x:c r="D8" s="374"/>
      <x:c r="E8" s="374"/>
      <x:c r="F8" s="374"/>
      <x:c r="G8" s="374"/>
      <x:c r="H8" s="374"/>
      <x:c r="I8" s="374"/>
      <x:c r="J8" s="374"/>
      <x:c r="K8" s="374"/>
      <x:c r="L8" s="374"/>
      <x:c r="M8" s="374"/>
      <x:c r="N8" s="374"/>
      <x:c r="O8" s="1008"/>
      <x:c r="P8" s="1008"/>
      <x:c r="BE8" s="1041" t="s">
        <x:v>1559</x:v>
      </x:c>
    </x:row>
    <x:row r="9" spans="1:83" ht="12.6" customHeight="1" x14ac:dyDescent="0.2">
      <x:c r="A9" s="471" t="s">
        <x:v>1</x:v>
      </x:c>
      <x:c r="B9" s="1808" t="str">
        <x:f>IF(ISBLANK('Job Info.'!D3),"",'Job Info.'!D3)</x:f>
        <x:v>MINDEN UPS BLDG 1</x:v>
      </x:c>
      <x:c r="C9" s="1808"/>
      <x:c r="D9" s="1808"/>
      <x:c r="E9" s="1808"/>
      <x:c r="F9" s="1808"/>
      <x:c r="G9" s="1808"/>
      <x:c r="H9" s="1809"/>
      <x:c r="I9" s="469"/>
      <x:c r="J9" s="458" t="s">
        <x:v>2</x:v>
      </x:c>
      <x:c r="K9" s="1808" t="str">
        <x:f>IF(ISBLANK('Job Info.'!D5),"",'Job Info.'!D5)</x:f>
        <x:v>NN22-0071</x:v>
      </x:c>
      <x:c r="L9" s="1858"/>
      <x:c r="M9" s="1858"/>
      <x:c r="N9" s="1859"/>
      <x:c r="O9" s="1056"/>
      <x:c r="P9" s="1056"/>
      <x:c r="V9" s="631"/>
      <x:c r="BE9" s="1041" t="s">
        <x:v>1538</x:v>
      </x:c>
    </x:row>
    <x:row r="10" spans="1:83" ht="12.6" customHeight="1" x14ac:dyDescent="0.2">
      <x:c r="A10" s="471" t="s">
        <x:v>3</x:v>
      </x:c>
      <x:c r="B10" s="1808" t="str">
        <x:f>IF(ISBLANK('Job Info.'!D4),"",'Job Info.'!D4)</x:f>
        <x:v>MINDEN, NV</x:v>
      </x:c>
      <x:c r="C10" s="1808"/>
      <x:c r="D10" s="1808"/>
      <x:c r="E10" s="1808"/>
      <x:c r="F10" s="1808"/>
      <x:c r="G10" s="1808"/>
      <x:c r="H10" s="1809"/>
      <x:c r="I10" s="1857" t="s">
        <x:v>22</x:v>
      </x:c>
      <x:c r="J10" s="1857"/>
      <x:c r="K10" s="1808" t="str">
        <x:f>IF(ISBLANK('Job Info.'!D6),"",'Job Info.'!D6)</x:f>
        <x:v>JMM</x:v>
      </x:c>
      <x:c r="L10" s="1809"/>
      <x:c r="M10" s="471" t="s">
        <x:v>23</x:v>
      </x:c>
      <x:c r="N10" s="661" t="str">
        <x:f>IF(ISBLANK('Job Info.'!D7),"",'Job Info.'!D7)</x:f>
        <x:v>NR</x:v>
      </x:c>
      <x:c r="O10" s="1056"/>
      <x:c r="P10" s="1056"/>
      <x:c r="W10" s="632"/>
      <x:c r="BE10" s="1041" t="s">
        <x:v>1553</x:v>
      </x:c>
    </x:row>
    <x:row r="11" spans="1:83" ht="3.95" customHeight="1" x14ac:dyDescent="0.2">
      <x:c r="A11" s="1086"/>
      <x:c r="B11" s="374"/>
      <x:c r="C11" s="374"/>
      <x:c r="D11" s="374"/>
      <x:c r="E11" s="374"/>
      <x:c r="F11" s="374"/>
      <x:c r="G11" s="374"/>
      <x:c r="H11" s="374"/>
      <x:c r="I11" s="374"/>
      <x:c r="J11" s="374"/>
      <x:c r="K11" s="374"/>
      <x:c r="L11" s="374"/>
      <x:c r="M11" s="374"/>
      <x:c r="N11" s="374"/>
      <x:c r="O11" s="1008"/>
      <x:c r="P11" s="1008"/>
      <x:c r="BE11" s="1041" t="s">
        <x:v>1519</x:v>
      </x:c>
    </x:row>
    <x:row r="12" spans="1:83" s="478" customFormat="1" ht="14.1" customHeight="1" x14ac:dyDescent="0.2">
      <x:c r="A12" s="1848" t="s">
        <x:v>77</x:v>
      </x:c>
      <x:c r="B12" s="1849"/>
      <x:c r="C12" s="1849"/>
      <x:c r="D12" s="1849"/>
      <x:c r="E12" s="1850"/>
      <x:c r="F12" s="1848" t="s">
        <x:v>49</x:v>
      </x:c>
      <x:c r="G12" s="1849"/>
      <x:c r="H12" s="1855"/>
      <x:c r="I12" s="1848" t="s">
        <x:v>50</x:v>
      </x:c>
      <x:c r="J12" s="1849"/>
      <x:c r="K12" s="1855"/>
      <x:c r="L12" s="1851" t="s">
        <x:v>51</x:v>
      </x:c>
      <x:c r="M12" s="1864" t="s">
        <x:v>741</x:v>
      </x:c>
      <x:c r="N12" s="1851" t="s">
        <x:v>52</x:v>
      </x:c>
      <x:c r="O12" s="1085"/>
      <x:c r="P12" s="1085"/>
      <x:c r="AO12" s="548" t="s">
        <x:v>973</x:v>
      </x:c>
      <x:c r="AP12" s="944" t="s">
        <x:v>170</x:v>
      </x:c>
      <x:c r="AQ12" s="1860" t="s">
        <x:v>1208</x:v>
      </x:c>
      <x:c r="AR12" s="1861"/>
      <x:c r="AS12" s="1861"/>
      <x:c r="AT12" s="1861"/>
      <x:c r="AU12" s="1861"/>
      <x:c r="AV12" s="1861"/>
      <x:c r="AW12" s="1861"/>
      <x:c r="AX12" s="1861"/>
      <x:c r="AY12" s="1861"/>
      <x:c r="AZ12" s="1862"/>
      <x:c r="BA12" s="1862"/>
      <x:c r="BB12" s="1862"/>
      <x:c r="BC12" s="1863"/>
      <x:c r="BE12" s="1530" t="s">
        <x:v>1554</x:v>
      </x:c>
    </x:row>
    <x:row r="13" spans="1:83" s="478" customFormat="1" ht="14.1" customHeight="1" x14ac:dyDescent="0.2">
      <x:c r="A13" s="1049" t="s">
        <x:v>46</x:v>
      </x:c>
      <x:c r="B13" s="1050" t="s">
        <x:v>17</x:v>
      </x:c>
      <x:c r="C13" s="1050" t="s">
        <x:v>45</x:v>
      </x:c>
      <x:c r="D13" s="1050" t="s">
        <x:v>78</x:v>
      </x:c>
      <x:c r="E13" s="1326" t="s">
        <x:v>44</x:v>
      </x:c>
      <x:c r="F13" s="1049" t="s">
        <x:v>47</x:v>
      </x:c>
      <x:c r="G13" s="1853" t="s">
        <x:v>48</x:v>
      </x:c>
      <x:c r="H13" s="1854"/>
      <x:c r="I13" s="1049" t="s">
        <x:v>47</x:v>
      </x:c>
      <x:c r="J13" s="1853" t="s">
        <x:v>48</x:v>
      </x:c>
      <x:c r="K13" s="1854"/>
      <x:c r="L13" s="1852"/>
      <x:c r="M13" s="1865"/>
      <x:c r="N13" s="1866"/>
      <x:c r="O13" s="1085"/>
      <x:c r="P13" s="1529" t="s">
        <x:v>1261</x:v>
      </x:c>
      <x:c r="Q13" s="1340"/>
      <x:c r="R13" s="1527" t="s">
        <x:v>1260</x:v>
      </x:c>
      <x:c r="AQ13" s="1341" t="s">
        <x:v>1209</x:v>
      </x:c>
      <x:c r="AR13" s="1342" t="s">
        <x:v>1210</x:v>
      </x:c>
      <x:c r="AS13" s="1342" t="s">
        <x:v>1211</x:v>
      </x:c>
      <x:c r="AT13" s="1342" t="s">
        <x:v>1236</x:v>
      </x:c>
      <x:c r="AU13" s="1342" t="s">
        <x:v>1212</x:v>
      </x:c>
      <x:c r="AV13" s="1342" t="s">
        <x:v>1232</x:v>
      </x:c>
      <x:c r="AW13" s="1342" t="s">
        <x:v>1233</x:v>
      </x:c>
      <x:c r="AX13" s="1342" t="s">
        <x:v>1213</x:v>
      </x:c>
      <x:c r="AY13" s="1342" t="s">
        <x:v>1234</x:v>
      </x:c>
      <x:c r="AZ13" s="1342" t="s">
        <x:v>1235</x:v>
      </x:c>
      <x:c r="BA13" s="1342" t="s">
        <x:v>1214</x:v>
      </x:c>
      <x:c r="BB13" s="1342" t="s">
        <x:v>1215</x:v>
      </x:c>
      <x:c r="BC13" s="1343" t="s">
        <x:v>1216</x:v>
      </x:c>
      <x:c r="BD13" s="1340" t="s">
        <x:v>1237</x:v>
      </x:c>
      <x:c r="BE13" s="1530" t="s">
        <x:v>1394</x:v>
      </x:c>
    </x:row>
    <x:row r="14" spans="1:83" ht="14.1" customHeight="1" x14ac:dyDescent="0.2">
      <x:c r="A14" s="2680" t="s">
        <x:v>1394</x:v>
      </x:c>
      <x:c r="B14" s="2681" t="s">
        <x:v>144</x:v>
      </x:c>
      <x:c r="C14" s="2681" t="s">
        <x:v>142</x:v>
      </x:c>
      <x:c r="D14" s="2681" t="s">
        <x:v>145</x:v>
      </x:c>
      <x:c r="E14" s="2682"/>
      <x:c r="F14" s="2683">
        <x:v>119</x:v>
      </x:c>
      <x:c r="G14" s="2684"/>
      <x:c r="H14" s="2685"/>
      <x:c r="I14" s="2683"/>
      <x:c r="J14" s="2684"/>
      <x:c r="K14" s="2685"/>
      <x:c r="L14" s="2686" t="s">
        <x:v>116</x:v>
      </x:c>
      <x:c r="M14" s="2687" t="s">
        <x:v>808</x:v>
      </x:c>
      <x:c r="N14" s="2688" t="s">
        <x:v>1515</x:v>
      </x:c>
      <x:c r="O14" s="2689"/>
      <x:c r="P14" s="2690" t="b">
        <x:f t="shared" ref="P14:P16" si="0">IF(ISERROR(VLOOKUP(AO14,BE:BE,1,FALSE)),FALSE,IF(AO14&lt;&gt;"",VLOOKUP(AO14,BE:BE,1,FALSE)=AO14))</x:f>
        <x:v>1</x:v>
      </x:c>
      <x:c r="R14" s="245" t="b">
        <x:f>OR(B14="CP",B14="CA", B14="AX",B14="M",B14="S")</x:f>
        <x:v>0</x:v>
      </x:c>
      <x:c r="AO14" s="238" t="str">
        <x:f>IF(ISBLANK(A14),"",SUBSTITUTE(A14,"*",""))</x:f>
        <x:v>1</x:v>
      </x:c>
      <x:c r="AP14" s="945" t="b">
        <x:v>0</x:v>
      </x:c>
      <x:c r="AQ14" s="1322" t="s">
        <x:v>144</x:v>
      </x:c>
      <x:c r="AR14" s="1323" t="s">
        <x:v>142</x:v>
      </x:c>
      <x:c r="AS14" s="1323" t="s">
        <x:v>145</x:v>
      </x:c>
      <x:c r="AT14" s="1323"/>
      <x:c r="AU14" s="1323">
        <x:v>119</x:v>
      </x:c>
      <x:c r="AV14" s="1323"/>
      <x:c r="AW14" s="1323"/>
      <x:c r="AX14" s="1323"/>
      <x:c r="AY14" s="1323"/>
      <x:c r="AZ14" s="1323"/>
      <x:c r="BA14" s="1532" t="s">
        <x:v>116</x:v>
      </x:c>
      <x:c r="BB14" s="1532" t="s">
        <x:v>808</x:v>
      </x:c>
      <x:c r="BC14" s="1533" t="s">
        <x:v>1515</x:v>
      </x:c>
      <x:c r="BD14" s="245">
        <x:v>1</x:v>
      </x:c>
      <x:c r="BE14" s="1041" t="s">
        <x:v>1520</x:v>
      </x:c>
      <x:c r="BF14" s="378">
        <x:v>1</x:v>
      </x:c>
      <x:c r="BG14" s="378">
        <x:v>0</x:v>
      </x:c>
      <x:c r="BH14" s="378">
        <x:v>0</x:v>
      </x:c>
      <x:c r="BI14" s="378">
        <x:v>1</x:v>
      </x:c>
      <x:c r="BJ14" s="378">
        <x:v>0</x:v>
      </x:c>
      <x:c r="BK14" s="378">
        <x:v>0</x:v>
      </x:c>
      <x:c r="BL14" s="378">
        <x:v>0</x:v>
      </x:c>
      <x:c r="BM14" s="378">
        <x:v>0</x:v>
      </x:c>
      <x:c r="BN14" s="378">
        <x:v>0</x:v>
      </x:c>
      <x:c r="BO14" s="378">
        <x:v>0</x:v>
      </x:c>
      <x:c r="BP14" s="378">
        <x:v>0</x:v>
      </x:c>
      <x:c r="BQ14" s="378">
        <x:v>0</x:v>
      </x:c>
      <x:c r="BR14" s="378">
        <x:v>2</x:v>
      </x:c>
      <x:c r="BS14" s="378">
        <x:v>3</x:v>
      </x:c>
      <x:c r="BT14" s="378">
        <x:v>0</x:v>
      </x:c>
      <x:c r="BU14" s="378">
        <x:v>0</x:v>
      </x:c>
      <x:c r="BV14" s="378">
        <x:v>0</x:v>
      </x:c>
      <x:c r="CA14" s="245" t="b">
        <x:v>1</x:v>
      </x:c>
    </x:row>
    <x:row r="15" spans="1:83" ht="14.1" customHeight="1" x14ac:dyDescent="0.2">
      <x:c r="A15" s="2691" t="s">
        <x:v>808</x:v>
      </x:c>
      <x:c r="B15" s="2692" t="s">
        <x:v>144</x:v>
      </x:c>
      <x:c r="C15" s="2692" t="s">
        <x:v>142</x:v>
      </x:c>
      <x:c r="D15" s="2692" t="s">
        <x:v>145</x:v>
      </x:c>
      <x:c r="E15" s="2693"/>
      <x:c r="F15" s="2694">
        <x:v>69</x:v>
      </x:c>
      <x:c r="G15" s="2695"/>
      <x:c r="H15" s="2696"/>
      <x:c r="I15" s="2694"/>
      <x:c r="J15" s="2695"/>
      <x:c r="K15" s="2696"/>
      <x:c r="L15" s="2697" t="s">
        <x:v>116</x:v>
      </x:c>
      <x:c r="M15" s="2698" t="s">
        <x:v>808</x:v>
      </x:c>
      <x:c r="N15" s="2699" t="s">
        <x:v>1516</x:v>
      </x:c>
      <x:c r="O15" s="2689"/>
      <x:c r="P15" s="2690" t="b">
        <x:f t="shared" si="0"/>
        <x:v>1</x:v>
      </x:c>
      <x:c r="R15" s="245" t="b">
        <x:f t="shared" ref="R15:R55" si="1">OR(B15="CP",B15="CA", B15="AX",B15="M",B15="S")</x:f>
        <x:v>0</x:v>
      </x:c>
      <x:c r="AO15" s="238" t="str">
        <x:f t="shared" ref="AO15:AO55" si="2">IF(ISBLANK(A15),AO14,SUBSTITUTE(A15,"*",""))</x:f>
        <x:v>2</x:v>
      </x:c>
      <x:c r="AP15" s="945" t="b">
        <x:v>0</x:v>
      </x:c>
      <x:c r="AQ15" s="1322" t="s">
        <x:v>144</x:v>
      </x:c>
      <x:c r="AR15" s="1323" t="s">
        <x:v>142</x:v>
      </x:c>
      <x:c r="AS15" s="1323" t="s">
        <x:v>145</x:v>
      </x:c>
      <x:c r="AT15" s="1323"/>
      <x:c r="AU15" s="1323">
        <x:v>69</x:v>
      </x:c>
      <x:c r="AV15" s="1323"/>
      <x:c r="AW15" s="1323"/>
      <x:c r="AX15" s="1323"/>
      <x:c r="AY15" s="1323"/>
      <x:c r="AZ15" s="1323"/>
      <x:c r="BA15" s="1532" t="s">
        <x:v>116</x:v>
      </x:c>
      <x:c r="BB15" s="1532" t="s">
        <x:v>808</x:v>
      </x:c>
      <x:c r="BC15" s="1533" t="s">
        <x:v>1516</x:v>
      </x:c>
      <x:c r="BD15" s="245">
        <x:v>2</x:v>
      </x:c>
      <x:c r="BE15" s="1041" t="s">
        <x:v>1521</x:v>
      </x:c>
      <x:c r="BF15" s="552" t="s">
        <x:v>151</x:v>
      </x:c>
      <x:c r="BG15" s="552" t="s">
        <x:v>144</x:v>
      </x:c>
      <x:c r="BH15" s="552" t="s">
        <x:v>152</x:v>
      </x:c>
      <x:c r="BI15" s="552" t="s">
        <x:v>148</x:v>
      </x:c>
      <x:c r="BJ15" s="552" t="s">
        <x:v>153</x:v>
      </x:c>
      <x:c r="BK15" s="552" t="s">
        <x:v>154</x:v>
      </x:c>
      <x:c r="BL15" s="552" t="s">
        <x:v>155</x:v>
      </x:c>
      <x:c r="BM15" s="552" t="s">
        <x:v>146</x:v>
      </x:c>
      <x:c r="BN15" s="552" t="s">
        <x:v>156</x:v>
      </x:c>
      <x:c r="BO15" s="1619" t="s">
        <x:v>1391</x:v>
      </x:c>
      <x:c r="BP15" s="1619" t="s">
        <x:v>1390</x:v>
      </x:c>
      <x:c r="BQ15" s="552" t="s">
        <x:v>157</x:v>
      </x:c>
      <x:c r="BR15" s="552" t="s">
        <x:v>118</x:v>
      </x:c>
      <x:c r="BS15" s="552" t="s">
        <x:v>158</x:v>
      </x:c>
      <x:c r="BT15" s="1621" t="s">
        <x:v>32</x:v>
      </x:c>
      <x:c r="BU15" s="1621" t="s">
        <x:v>1293</x:v>
      </x:c>
      <x:c r="BV15" s="238"/>
      <x:c r="BW15" s="378">
        <x:v>0</x:v>
      </x:c>
      <x:c r="BX15" s="378">
        <x:v>1</x:v>
      </x:c>
      <x:c r="BY15" s="378">
        <x:v>2</x:v>
      </x:c>
      <x:c r="BZ15" s="378">
        <x:v>3</x:v>
      </x:c>
      <x:c r="CA15" s="378"/>
      <x:c r="CB15" s="378"/>
    </x:row>
    <x:row r="16" spans="1:83" ht="14.1" customHeight="1" x14ac:dyDescent="0.2">
      <x:c r="A16" s="2691"/>
      <x:c r="B16" s="2692" t="s">
        <x:v>144</x:v>
      </x:c>
      <x:c r="C16" s="2692" t="s">
        <x:v>142</x:v>
      </x:c>
      <x:c r="D16" s="2692" t="s">
        <x:v>145</x:v>
      </x:c>
      <x:c r="E16" s="2693"/>
      <x:c r="F16" s="2694">
        <x:v>50</x:v>
      </x:c>
      <x:c r="G16" s="2695">
        <x:v>0</x:v>
      </x:c>
      <x:c r="H16" s="2696">
        <x:v>0</x:v>
      </x:c>
      <x:c r="I16" s="2694">
        <x:v>50</x:v>
      </x:c>
      <x:c r="J16" s="2695">
        <x:v>23</x:v>
      </x:c>
      <x:c r="K16" s="2696">
        <x:v>0</x:v>
      </x:c>
      <x:c r="L16" s="2697" t="s">
        <x:v>702</x:v>
      </x:c>
      <x:c r="M16" s="2698" t="s">
        <x:v>808</x:v>
      </x:c>
      <x:c r="N16" s="2699" t="s">
        <x:v>116</x:v>
      </x:c>
      <x:c r="O16" s="2689"/>
      <x:c r="P16" s="2690" t="b">
        <x:f t="shared" si="0"/>
        <x:v>1</x:v>
      </x:c>
      <x:c r="R16" s="245" t="b">
        <x:f t="shared" si="1"/>
        <x:v>0</x:v>
      </x:c>
      <x:c r="AO16" s="238" t="str">
        <x:f t="shared" si="2"/>
        <x:v>2</x:v>
      </x:c>
      <x:c r="AP16" s="945" t="b">
        <x:v>0</x:v>
      </x:c>
      <x:c r="AQ16" s="1322" t="s">
        <x:v>144</x:v>
      </x:c>
      <x:c r="AR16" s="1323" t="s">
        <x:v>142</x:v>
      </x:c>
      <x:c r="AS16" s="1323" t="s">
        <x:v>145</x:v>
      </x:c>
      <x:c r="AT16" s="1323"/>
      <x:c r="AU16" s="1323">
        <x:v>50</x:v>
      </x:c>
      <x:c r="AV16" s="1323">
        <x:v>0</x:v>
      </x:c>
      <x:c r="AW16" s="1323">
        <x:v>0</x:v>
      </x:c>
      <x:c r="AX16" s="1323">
        <x:v>50</x:v>
      </x:c>
      <x:c r="AY16" s="1323">
        <x:v>23</x:v>
      </x:c>
      <x:c r="AZ16" s="1323">
        <x:v>0</x:v>
      </x:c>
      <x:c r="BA16" s="1532" t="s">
        <x:v>702</x:v>
      </x:c>
      <x:c r="BB16" s="1532" t="s">
        <x:v>808</x:v>
      </x:c>
      <x:c r="BC16" s="1533" t="s">
        <x:v>116</x:v>
      </x:c>
      <x:c r="BE16" s="1041" t="s">
        <x:v>1555</x:v>
      </x:c>
      <x:c r="BF16" s="552" t="s">
        <x:v>147</x:v>
      </x:c>
      <x:c r="BG16" s="552" t="s">
        <x:v>142</x:v>
      </x:c>
      <x:c r="BH16" s="552" t="s">
        <x:v>142</x:v>
      </x:c>
      <x:c r="BI16" s="552" t="s">
        <x:v>147</x:v>
      </x:c>
      <x:c r="BJ16" s="552" t="s">
        <x:v>147</x:v>
      </x:c>
      <x:c r="BK16" s="552" t="s">
        <x:v>147</x:v>
      </x:c>
      <x:c r="BL16" s="552" t="s">
        <x:v>147</x:v>
      </x:c>
      <x:c r="BM16" s="552" t="s">
        <x:v>147</x:v>
      </x:c>
      <x:c r="BN16" s="552" t="s">
        <x:v>147</x:v>
      </x:c>
      <x:c r="BO16" s="1619" t="s">
        <x:v>147</x:v>
      </x:c>
      <x:c r="BP16" s="1619" t="s">
        <x:v>147</x:v>
      </x:c>
      <x:c r="BQ16" s="552" t="s">
        <x:v>147</x:v>
      </x:c>
      <x:c r="BR16" s="552" t="s">
        <x:v>147</x:v>
      </x:c>
      <x:c r="BS16" s="552" t="s">
        <x:v>147</x:v>
      </x:c>
      <x:c r="BT16" s="552" t="s">
        <x:v>147</x:v>
      </x:c>
      <x:c r="BU16" s="1621" t="s">
        <x:v>163</x:v>
      </x:c>
      <x:c r="BV16" s="238"/>
      <x:c r="BW16" s="238" t="s">
        <x:v>145</x:v>
      </x:c>
      <x:c r="BX16" s="238" t="s">
        <x:v>145</x:v>
      </x:c>
      <x:c r="BY16" s="238" t="s">
        <x:v>168</x:v>
      </x:c>
      <x:c r="BZ16" s="238" t="s">
        <x:v>145</x:v>
      </x:c>
      <x:c r="CA16" s="238" t="s">
        <x:v>699</x:v>
      </x:c>
      <x:c r="CB16" s="238" t="s">
        <x:v>699</x:v>
      </x:c>
      <x:c r="CC16" s="449" t="s">
        <x:v>742</x:v>
      </x:c>
    </x:row>
    <x:row r="17" spans="1:81" ht="14.1" customHeight="1" x14ac:dyDescent="0.2">
      <x:c r="A17" s="2691" t="s">
        <x:v>1397</x:v>
      </x:c>
      <x:c r="B17" s="2692" t="s">
        <x:v>144</x:v>
      </x:c>
      <x:c r="C17" s="2692" t="s">
        <x:v>142</x:v>
      </x:c>
      <x:c r="D17" s="2692" t="s">
        <x:v>145</x:v>
      </x:c>
      <x:c r="E17" s="2693"/>
      <x:c r="F17" s="2694">
        <x:v>69</x:v>
      </x:c>
      <x:c r="G17" s="2695"/>
      <x:c r="H17" s="2696"/>
      <x:c r="I17" s="2694"/>
      <x:c r="J17" s="2695"/>
      <x:c r="K17" s="2696"/>
      <x:c r="L17" s="2697" t="s">
        <x:v>116</x:v>
      </x:c>
      <x:c r="M17" s="2698" t="s">
        <x:v>808</x:v>
      </x:c>
      <x:c r="N17" s="2699" t="s">
        <x:v>1517</x:v>
      </x:c>
      <x:c r="O17" s="2689"/>
      <x:c r="P17" s="2690" t="b">
        <x:f>IF(ISERROR(VLOOKUP(AO17,BE:BE,1,FALSE)),FALSE,IF(AO17&lt;&gt;"",VLOOKUP(AO17,BE:BE,1,FALSE)=AO17))</x:f>
        <x:v>1</x:v>
      </x:c>
      <x:c r="R17" s="245" t="b">
        <x:f t="shared" si="1"/>
        <x:v>0</x:v>
      </x:c>
      <x:c r="AO17" s="238" t="str">
        <x:f t="shared" si="2"/>
        <x:v>3</x:v>
      </x:c>
      <x:c r="AP17" s="945" t="b">
        <x:v>0</x:v>
      </x:c>
      <x:c r="AQ17" s="1322" t="s">
        <x:v>144</x:v>
      </x:c>
      <x:c r="AR17" s="1323" t="s">
        <x:v>142</x:v>
      </x:c>
      <x:c r="AS17" s="1323" t="s">
        <x:v>145</x:v>
      </x:c>
      <x:c r="AT17" s="1323"/>
      <x:c r="AU17" s="1323">
        <x:v>69</x:v>
      </x:c>
      <x:c r="AV17" s="1323"/>
      <x:c r="AW17" s="1323"/>
      <x:c r="AX17" s="1323"/>
      <x:c r="AY17" s="1323"/>
      <x:c r="AZ17" s="1323"/>
      <x:c r="BA17" s="1532" t="s">
        <x:v>116</x:v>
      </x:c>
      <x:c r="BB17" s="1532" t="s">
        <x:v>808</x:v>
      </x:c>
      <x:c r="BC17" s="1533" t="s">
        <x:v>1517</x:v>
      </x:c>
      <x:c r="BD17" s="245">
        <x:v>1</x:v>
      </x:c>
      <x:c r="BE17" s="1041" t="s">
        <x:v>943</x:v>
      </x:c>
      <x:c r="BF17" s="552" t="s">
        <x:v>162</x:v>
      </x:c>
      <x:c r="BG17" s="552" t="s">
        <x:v>167</x:v>
      </x:c>
      <x:c r="BH17" s="552" t="s">
        <x:v>167</x:v>
      </x:c>
      <x:c r="BI17" s="552" t="s">
        <x:v>162</x:v>
      </x:c>
      <x:c r="BJ17" s="552" t="s">
        <x:v>162</x:v>
      </x:c>
      <x:c r="BK17" s="552" t="s">
        <x:v>162</x:v>
      </x:c>
      <x:c r="BL17" s="552" t="s">
        <x:v>162</x:v>
      </x:c>
      <x:c r="BM17" s="552" t="s">
        <x:v>162</x:v>
      </x:c>
      <x:c r="BN17" s="552" t="s">
        <x:v>162</x:v>
      </x:c>
      <x:c r="BO17" s="1619" t="s">
        <x:v>162</x:v>
      </x:c>
      <x:c r="BP17" s="1619" t="s">
        <x:v>162</x:v>
      </x:c>
      <x:c r="BQ17" s="552" t="s">
        <x:v>162</x:v>
      </x:c>
      <x:c r="BR17" s="552" t="s">
        <x:v>162</x:v>
      </x:c>
      <x:c r="BS17" s="552" t="s">
        <x:v>162</x:v>
      </x:c>
      <x:c r="BT17" s="552" t="s">
        <x:v>162</x:v>
      </x:c>
      <x:c r="BU17" s="238"/>
      <x:c r="BV17" s="238"/>
      <x:c r="BW17" s="238" t="s">
        <x:v>159</x:v>
      </x:c>
      <x:c r="BX17" s="238" t="s">
        <x:v>159</x:v>
      </x:c>
      <x:c r="BY17" s="238" t="s">
        <x:v>169</x:v>
      </x:c>
      <x:c r="BZ17" s="238"/>
      <x:c r="CA17" s="238" t="s">
        <x:v>700</x:v>
      </x:c>
      <x:c r="CB17" s="238" t="s">
        <x:v>701</x:v>
      </x:c>
      <x:c r="CC17" s="449" t="s">
        <x:v>743</x:v>
      </x:c>
    </x:row>
    <x:row r="18" spans="1:81" ht="14.1" customHeight="1" x14ac:dyDescent="0.2">
      <x:c r="A18" s="2691" t="s">
        <x:v>1518</x:v>
      </x:c>
      <x:c r="B18" s="2692" t="s">
        <x:v>157</x:v>
      </x:c>
      <x:c r="C18" s="2692" t="s">
        <x:v>167</x:v>
      </x:c>
      <x:c r="D18" s="2692" t="s">
        <x:v>145</x:v>
      </x:c>
      <x:c r="E18" s="2693"/>
      <x:c r="F18" s="2694">
        <x:v>38500</x:v>
      </x:c>
      <x:c r="G18" s="2695"/>
      <x:c r="H18" s="2696"/>
      <x:c r="I18" s="2694"/>
      <x:c r="J18" s="2695"/>
      <x:c r="K18" s="2696"/>
      <x:c r="L18" s="2697" t="s">
        <x:v>116</x:v>
      </x:c>
      <x:c r="M18" s="2698" t="s">
        <x:v>116</x:v>
      </x:c>
      <x:c r="N18" s="2699" t="s">
        <x:v>116</x:v>
      </x:c>
      <x:c r="O18" s="2689"/>
      <x:c r="P18" s="2690" t="b">
        <x:f t="shared" ref="P18:P55" si="3">IF(ISERROR(VLOOKUP(AO18,BE:BE,1,FALSE)),FALSE,IF(AO18&lt;&gt;"",VLOOKUP(AO18,BE:BE,1,FALSE)=AO18))</x:f>
        <x:v>1</x:v>
      </x:c>
      <x:c r="R18" s="245" t="b">
        <x:f t="shared" si="1"/>
        <x:v>1</x:v>
      </x:c>
      <x:c r="AO18" s="238" t="str">
        <x:f t="shared" si="2"/>
        <x:v>4</x:v>
      </x:c>
      <x:c r="AP18" s="945" t="b">
        <x:v>0</x:v>
      </x:c>
      <x:c r="AQ18" s="1322" t="s">
        <x:v>157</x:v>
      </x:c>
      <x:c r="AR18" s="1323" t="s">
        <x:v>167</x:v>
      </x:c>
      <x:c r="AS18" s="1323" t="s">
        <x:v>145</x:v>
      </x:c>
      <x:c r="AT18" s="1323"/>
      <x:c r="AU18" s="1323">
        <x:v>38500</x:v>
      </x:c>
      <x:c r="AV18" s="1323"/>
      <x:c r="AW18" s="1323"/>
      <x:c r="AX18" s="1323"/>
      <x:c r="AY18" s="1323"/>
      <x:c r="AZ18" s="1323"/>
      <x:c r="BA18" s="1532" t="s">
        <x:v>116</x:v>
      </x:c>
      <x:c r="BB18" s="1532" t="s">
        <x:v>116</x:v>
      </x:c>
      <x:c r="BC18" s="1533" t="s">
        <x:v>116</x:v>
      </x:c>
      <x:c r="BD18" s="245">
        <x:v>1</x:v>
      </x:c>
      <x:c r="BE18" s="1041" t="s">
        <x:v>944</x:v>
      </x:c>
      <x:c r="BF18" s="552" t="s">
        <x:v>163</x:v>
      </x:c>
      <x:c r="BG18" s="238"/>
      <x:c r="BH18" s="238"/>
      <x:c r="BI18" s="552" t="s">
        <x:v>163</x:v>
      </x:c>
      <x:c r="BJ18" s="552" t="s">
        <x:v>163</x:v>
      </x:c>
      <x:c r="BK18" s="552" t="s">
        <x:v>163</x:v>
      </x:c>
      <x:c r="BL18" s="552" t="s">
        <x:v>163</x:v>
      </x:c>
      <x:c r="BM18" s="552" t="s">
        <x:v>163</x:v>
      </x:c>
      <x:c r="BN18" s="552" t="s">
        <x:v>163</x:v>
      </x:c>
      <x:c r="BO18" s="1619" t="s">
        <x:v>163</x:v>
      </x:c>
      <x:c r="BP18" s="1619" t="s">
        <x:v>163</x:v>
      </x:c>
      <x:c r="BQ18" s="552" t="s">
        <x:v>163</x:v>
      </x:c>
      <x:c r="BR18" s="552" t="s">
        <x:v>163</x:v>
      </x:c>
      <x:c r="BS18" s="552" t="s">
        <x:v>163</x:v>
      </x:c>
      <x:c r="BT18" s="552" t="s">
        <x:v>163</x:v>
      </x:c>
      <x:c r="BU18" s="238"/>
      <x:c r="BV18" s="238"/>
      <x:c r="BW18" s="238"/>
      <x:c r="BX18" s="238" t="s">
        <x:v>160</x:v>
      </x:c>
      <x:c r="BY18" s="238" t="s">
        <x:v>143</x:v>
      </x:c>
      <x:c r="BZ18" s="238"/>
      <x:c r="CA18" s="238" t="s">
        <x:v>701</x:v>
      </x:c>
      <x:c r="CB18" s="238" t="s">
        <x:v>703</x:v>
      </x:c>
      <x:c r="CC18" s="449" t="s">
        <x:v>744</x:v>
      </x:c>
    </x:row>
    <x:row r="19" spans="1:81" ht="14.1" customHeight="1" x14ac:dyDescent="0.2">
      <x:c r="A19" s="2691" t="s">
        <x:v>1519</x:v>
      </x:c>
      <x:c r="B19" s="2692" t="s">
        <x:v>157</x:v>
      </x:c>
      <x:c r="C19" s="2692" t="s">
        <x:v>167</x:v>
      </x:c>
      <x:c r="D19" s="2692" t="s">
        <x:v>145</x:v>
      </x:c>
      <x:c r="E19" s="2693"/>
      <x:c r="F19" s="2694">
        <x:v>24500</x:v>
      </x:c>
      <x:c r="G19" s="2695"/>
      <x:c r="H19" s="2696"/>
      <x:c r="I19" s="2694"/>
      <x:c r="J19" s="2695"/>
      <x:c r="K19" s="2696"/>
      <x:c r="L19" s="2697" t="s">
        <x:v>116</x:v>
      </x:c>
      <x:c r="M19" s="2698" t="s">
        <x:v>116</x:v>
      </x:c>
      <x:c r="N19" s="2699" t="s">
        <x:v>116</x:v>
      </x:c>
      <x:c r="O19" s="2689"/>
      <x:c r="P19" s="2690" t="b">
        <x:f t="shared" si="3"/>
        <x:v>1</x:v>
      </x:c>
      <x:c r="R19" s="245" t="b">
        <x:f t="shared" si="1"/>
        <x:v>1</x:v>
      </x:c>
      <x:c r="AO19" s="238" t="str">
        <x:f t="shared" si="2"/>
        <x:v>5</x:v>
      </x:c>
      <x:c r="AP19" s="945" t="b">
        <x:v>0</x:v>
      </x:c>
      <x:c r="AQ19" s="1322" t="s">
        <x:v>157</x:v>
      </x:c>
      <x:c r="AR19" s="1323" t="s">
        <x:v>167</x:v>
      </x:c>
      <x:c r="AS19" s="1323" t="s">
        <x:v>145</x:v>
      </x:c>
      <x:c r="AT19" s="1323"/>
      <x:c r="AU19" s="1323">
        <x:v>24500</x:v>
      </x:c>
      <x:c r="AV19" s="1323"/>
      <x:c r="AW19" s="1323"/>
      <x:c r="AX19" s="1323"/>
      <x:c r="AY19" s="1323"/>
      <x:c r="AZ19" s="1323"/>
      <x:c r="BA19" s="1532" t="s">
        <x:v>116</x:v>
      </x:c>
      <x:c r="BB19" s="1532" t="s">
        <x:v>116</x:v>
      </x:c>
      <x:c r="BC19" s="1533" t="s">
        <x:v>116</x:v>
      </x:c>
      <x:c r="BD19" s="245">
        <x:v>1</x:v>
      </x:c>
      <x:c r="BE19" s="1041" t="s">
        <x:v>1539</x:v>
      </x:c>
      <x:c r="BF19" s="552" t="s">
        <x:v>142</x:v>
      </x:c>
      <x:c r="BG19" s="238"/>
      <x:c r="BH19" s="238"/>
      <x:c r="BI19" s="552" t="s">
        <x:v>142</x:v>
      </x:c>
      <x:c r="BJ19" s="552" t="s">
        <x:v>142</x:v>
      </x:c>
      <x:c r="BK19" s="552" t="s">
        <x:v>142</x:v>
      </x:c>
      <x:c r="BL19" s="552" t="s">
        <x:v>142</x:v>
      </x:c>
      <x:c r="BM19" s="552" t="s">
        <x:v>142</x:v>
      </x:c>
      <x:c r="BN19" s="552" t="s">
        <x:v>142</x:v>
      </x:c>
      <x:c r="BO19" s="1619" t="s">
        <x:v>142</x:v>
      </x:c>
      <x:c r="BP19" s="1619" t="s">
        <x:v>142</x:v>
      </x:c>
      <x:c r="BQ19" s="552" t="s">
        <x:v>142</x:v>
      </x:c>
      <x:c r="BR19" s="552" t="s">
        <x:v>142</x:v>
      </x:c>
      <x:c r="BS19" s="552" t="s">
        <x:v>165</x:v>
      </x:c>
      <x:c r="BT19" s="552" t="s">
        <x:v>142</x:v>
      </x:c>
      <x:c r="BU19" s="238"/>
      <x:c r="BV19" s="238"/>
      <x:c r="BW19" s="238"/>
      <x:c r="BX19" s="238" t="s">
        <x:v>161</x:v>
      </x:c>
      <x:c r="BY19" s="238"/>
      <x:c r="BZ19" s="464"/>
      <x:c r="CA19" s="238" t="s">
        <x:v>702</x:v>
      </x:c>
      <x:c r="CB19" s="238" t="s">
        <x:v>704</x:v>
      </x:c>
      <x:c r="CC19" s="449" t="s">
        <x:v>745</x:v>
      </x:c>
    </x:row>
    <x:row r="20" spans="1:81" ht="14.1" customHeight="1" x14ac:dyDescent="0.2">
      <x:c r="A20" s="2691" t="s">
        <x:v>1520</x:v>
      </x:c>
      <x:c r="B20" s="2692" t="s">
        <x:v>157</x:v>
      </x:c>
      <x:c r="C20" s="2692" t="s">
        <x:v>167</x:v>
      </x:c>
      <x:c r="D20" s="2692" t="s">
        <x:v>145</x:v>
      </x:c>
      <x:c r="E20" s="2693"/>
      <x:c r="F20" s="2694">
        <x:v>34300</x:v>
      </x:c>
      <x:c r="G20" s="2695"/>
      <x:c r="H20" s="2696"/>
      <x:c r="I20" s="2694"/>
      <x:c r="J20" s="2695"/>
      <x:c r="K20" s="2696"/>
      <x:c r="L20" s="2697" t="s">
        <x:v>116</x:v>
      </x:c>
      <x:c r="M20" s="2698" t="s">
        <x:v>116</x:v>
      </x:c>
      <x:c r="N20" s="2700" t="s">
        <x:v>116</x:v>
      </x:c>
      <x:c r="O20" s="2701"/>
      <x:c r="P20" s="2690" t="b">
        <x:f t="shared" si="3"/>
        <x:v>1</x:v>
      </x:c>
      <x:c r="R20" s="245" t="b">
        <x:f t="shared" si="1"/>
        <x:v>1</x:v>
      </x:c>
      <x:c r="AO20" s="238" t="str">
        <x:f t="shared" si="2"/>
        <x:v>6</x:v>
      </x:c>
      <x:c r="AP20" s="945" t="b">
        <x:v>0</x:v>
      </x:c>
      <x:c r="AQ20" s="1322" t="s">
        <x:v>157</x:v>
      </x:c>
      <x:c r="AR20" s="1323" t="s">
        <x:v>167</x:v>
      </x:c>
      <x:c r="AS20" s="1323" t="s">
        <x:v>145</x:v>
      </x:c>
      <x:c r="AT20" s="1323"/>
      <x:c r="AU20" s="1323">
        <x:v>34300</x:v>
      </x:c>
      <x:c r="AV20" s="1323"/>
      <x:c r="AW20" s="1323"/>
      <x:c r="AX20" s="1323"/>
      <x:c r="AY20" s="1323"/>
      <x:c r="AZ20" s="1323"/>
      <x:c r="BA20" s="1532" t="s">
        <x:v>116</x:v>
      </x:c>
      <x:c r="BB20" s="1532" t="s">
        <x:v>116</x:v>
      </x:c>
      <x:c r="BC20" s="1533" t="s">
        <x:v>116</x:v>
      </x:c>
      <x:c r="BD20" s="245">
        <x:v>1</x:v>
      </x:c>
      <x:c r="BE20" s="1041" t="s">
        <x:v>1523</x:v>
      </x:c>
      <x:c r="BF20" s="552" t="s">
        <x:v>164</x:v>
      </x:c>
      <x:c r="BG20" s="238"/>
      <x:c r="BH20" s="238"/>
      <x:c r="BI20" s="552" t="s">
        <x:v>165</x:v>
      </x:c>
      <x:c r="BJ20" s="552" t="s">
        <x:v>165</x:v>
      </x:c>
      <x:c r="BK20" s="552" t="s">
        <x:v>165</x:v>
      </x:c>
      <x:c r="BL20" s="552" t="s">
        <x:v>165</x:v>
      </x:c>
      <x:c r="BM20" s="552" t="s">
        <x:v>165</x:v>
      </x:c>
      <x:c r="BN20" s="552" t="s">
        <x:v>165</x:v>
      </x:c>
      <x:c r="BO20" s="1619" t="s">
        <x:v>164</x:v>
      </x:c>
      <x:c r="BP20" s="1619" t="s">
        <x:v>164</x:v>
      </x:c>
      <x:c r="BQ20" s="552" t="s">
        <x:v>165</x:v>
      </x:c>
      <x:c r="BR20" s="552" t="s">
        <x:v>165</x:v>
      </x:c>
      <x:c r="BS20" s="238"/>
      <x:c r="BT20" s="1619" t="s">
        <x:v>164</x:v>
      </x:c>
      <x:c r="BU20" s="238"/>
      <x:c r="BV20" s="238"/>
      <x:c r="BW20" s="378"/>
      <x:c r="BX20" s="378"/>
      <x:c r="BY20" s="378"/>
      <x:c r="CA20" s="238" t="s">
        <x:v>703</x:v>
      </x:c>
      <x:c r="CB20" s="238"/>
      <x:c r="CC20" s="449"/>
    </x:row>
    <x:row r="21" spans="1:81" ht="14.1" customHeight="1" x14ac:dyDescent="0.2">
      <x:c r="A21" s="2691" t="s">
        <x:v>1521</x:v>
      </x:c>
      <x:c r="B21" s="2692" t="s">
        <x:v>151</x:v>
      </x:c>
      <x:c r="C21" s="2692" t="s">
        <x:v>163</x:v>
      </x:c>
      <x:c r="D21" s="2692" t="s">
        <x:v>145</x:v>
      </x:c>
      <x:c r="E21" s="2693"/>
      <x:c r="F21" s="2694">
        <x:v>446</x:v>
      </x:c>
      <x:c r="G21" s="2695"/>
      <x:c r="H21" s="2696"/>
      <x:c r="I21" s="2694"/>
      <x:c r="J21" s="2695"/>
      <x:c r="K21" s="2696"/>
      <x:c r="L21" s="2697" t="s">
        <x:v>116</x:v>
      </x:c>
      <x:c r="M21" s="2698" t="s">
        <x:v>116</x:v>
      </x:c>
      <x:c r="N21" s="2700" t="s">
        <x:v>1522</x:v>
      </x:c>
      <x:c r="O21" s="2701"/>
      <x:c r="P21" s="2690" t="b">
        <x:f t="shared" si="3"/>
        <x:v>1</x:v>
      </x:c>
      <x:c r="R21" s="245" t="b">
        <x:f t="shared" si="1"/>
        <x:v>0</x:v>
      </x:c>
      <x:c r="AO21" s="238" t="str">
        <x:f t="shared" si="2"/>
        <x:v>7</x:v>
      </x:c>
      <x:c r="AP21" s="945" t="b">
        <x:v>0</x:v>
      </x:c>
      <x:c r="AQ21" s="1322" t="s">
        <x:v>151</x:v>
      </x:c>
      <x:c r="AR21" s="1323" t="s">
        <x:v>163</x:v>
      </x:c>
      <x:c r="AS21" s="1323" t="s">
        <x:v>145</x:v>
      </x:c>
      <x:c r="AT21" s="1323"/>
      <x:c r="AU21" s="1323">
        <x:v>446</x:v>
      </x:c>
      <x:c r="AV21" s="1323"/>
      <x:c r="AW21" s="1323"/>
      <x:c r="AX21" s="1323"/>
      <x:c r="AY21" s="1323"/>
      <x:c r="AZ21" s="1323"/>
      <x:c r="BA21" s="1532" t="s">
        <x:v>116</x:v>
      </x:c>
      <x:c r="BB21" s="1532" t="s">
        <x:v>116</x:v>
      </x:c>
      <x:c r="BC21" s="1533" t="s">
        <x:v>1522</x:v>
      </x:c>
      <x:c r="BD21" s="245">
        <x:v>2</x:v>
      </x:c>
      <x:c r="BE21" s="1041" t="s">
        <x:v>808</x:v>
      </x:c>
      <x:c r="BF21" s="552" t="s">
        <x:v>165</x:v>
      </x:c>
      <x:c r="BG21" s="238"/>
      <x:c r="BH21" s="238"/>
      <x:c r="BI21" s="552" t="s">
        <x:v>167</x:v>
      </x:c>
      <x:c r="BJ21" s="552" t="s">
        <x:v>167</x:v>
      </x:c>
      <x:c r="BK21" s="552" t="s">
        <x:v>167</x:v>
      </x:c>
      <x:c r="BL21" s="552" t="s">
        <x:v>167</x:v>
      </x:c>
      <x:c r="BM21" s="552" t="s">
        <x:v>167</x:v>
      </x:c>
      <x:c r="BN21" s="552" t="s">
        <x:v>167</x:v>
      </x:c>
      <x:c r="BO21" s="1619" t="s">
        <x:v>165</x:v>
      </x:c>
      <x:c r="BP21" s="1619" t="s">
        <x:v>165</x:v>
      </x:c>
      <x:c r="BQ21" s="552" t="s">
        <x:v>167</x:v>
      </x:c>
      <x:c r="BR21" s="552" t="s">
        <x:v>167</x:v>
      </x:c>
      <x:c r="BS21" s="238"/>
      <x:c r="BT21" s="552" t="s">
        <x:v>165</x:v>
      </x:c>
      <x:c r="BU21" s="238"/>
      <x:c r="BV21" s="238"/>
      <x:c r="BW21" s="378"/>
      <x:c r="BX21" s="378"/>
      <x:c r="BY21" s="378"/>
      <x:c r="CA21" s="238" t="s">
        <x:v>704</x:v>
      </x:c>
      <x:c r="CB21" s="238"/>
      <x:c r="CC21" s="449"/>
    </x:row>
    <x:row r="22" spans="1:81" ht="14.1" customHeight="1" x14ac:dyDescent="0.2">
      <x:c r="A22" s="2691"/>
      <x:c r="B22" s="2692" t="s">
        <x:v>151</x:v>
      </x:c>
      <x:c r="C22" s="2692" t="s">
        <x:v>163</x:v>
      </x:c>
      <x:c r="D22" s="2692" t="s">
        <x:v>145</x:v>
      </x:c>
      <x:c r="E22" s="2693"/>
      <x:c r="F22" s="2694">
        <x:v>104</x:v>
      </x:c>
      <x:c r="G22" s="2695">
        <x:v>0</x:v>
      </x:c>
      <x:c r="H22" s="2696">
        <x:v>0</x:v>
      </x:c>
      <x:c r="I22" s="2694">
        <x:v>0</x:v>
      </x:c>
      <x:c r="J22" s="2695">
        <x:v>6</x:v>
      </x:c>
      <x:c r="K22" s="2696">
        <x:v>3.125</x:v>
      </x:c>
      <x:c r="L22" s="2697" t="s">
        <x:v>702</x:v>
      </x:c>
      <x:c r="M22" s="2698" t="s">
        <x:v>116</x:v>
      </x:c>
      <x:c r="N22" s="2700" t="s">
        <x:v>116</x:v>
      </x:c>
      <x:c r="O22" s="2701"/>
      <x:c r="P22" s="2690" t="b">
        <x:f t="shared" si="3"/>
        <x:v>1</x:v>
      </x:c>
      <x:c r="R22" s="245" t="b">
        <x:f t="shared" si="1"/>
        <x:v>0</x:v>
      </x:c>
      <x:c r="AO22" s="238" t="str">
        <x:f t="shared" si="2"/>
        <x:v>7</x:v>
      </x:c>
      <x:c r="AP22" s="945" t="b">
        <x:v>0</x:v>
      </x:c>
      <x:c r="AQ22" s="1322" t="s">
        <x:v>151</x:v>
      </x:c>
      <x:c r="AR22" s="1323" t="s">
        <x:v>163</x:v>
      </x:c>
      <x:c r="AS22" s="1323" t="s">
        <x:v>145</x:v>
      </x:c>
      <x:c r="AT22" s="1323"/>
      <x:c r="AU22" s="1323">
        <x:v>104</x:v>
      </x:c>
      <x:c r="AV22" s="1323">
        <x:v>0</x:v>
      </x:c>
      <x:c r="AW22" s="1323">
        <x:v>0</x:v>
      </x:c>
      <x:c r="AX22" s="1323">
        <x:v>0</x:v>
      </x:c>
      <x:c r="AY22" s="1323">
        <x:v>6</x:v>
      </x:c>
      <x:c r="AZ22" s="1323">
        <x:v>3.125</x:v>
      </x:c>
      <x:c r="BA22" s="1532" t="s">
        <x:v>702</x:v>
      </x:c>
      <x:c r="BB22" s="1532" t="s">
        <x:v>116</x:v>
      </x:c>
      <x:c r="BC22" s="1533" t="s">
        <x:v>116</x:v>
      </x:c>
      <x:c r="BE22" s="1041" t="s">
        <x:v>1524</x:v>
      </x:c>
      <x:c r="BF22" s="552" t="s">
        <x:v>167</x:v>
      </x:c>
      <x:c r="BG22" s="238"/>
      <x:c r="BH22" s="238"/>
      <x:c r="BI22" s="552" t="s">
        <x:v>166</x:v>
      </x:c>
      <x:c r="BJ22" s="552" t="s">
        <x:v>166</x:v>
      </x:c>
      <x:c r="BK22" s="552" t="s">
        <x:v>166</x:v>
      </x:c>
      <x:c r="BL22" s="552" t="s">
        <x:v>166</x:v>
      </x:c>
      <x:c r="BM22" s="552" t="s">
        <x:v>166</x:v>
      </x:c>
      <x:c r="BN22" s="552" t="s">
        <x:v>166</x:v>
      </x:c>
      <x:c r="BO22" s="1619" t="s">
        <x:v>167</x:v>
      </x:c>
      <x:c r="BP22" s="1619" t="s">
        <x:v>167</x:v>
      </x:c>
      <x:c r="BQ22" s="552" t="s">
        <x:v>166</x:v>
      </x:c>
      <x:c r="BR22" s="552" t="s">
        <x:v>166</x:v>
      </x:c>
      <x:c r="BS22" s="238"/>
      <x:c r="BT22" s="552" t="s">
        <x:v>167</x:v>
      </x:c>
      <x:c r="BU22" s="238"/>
      <x:c r="BV22" s="238"/>
      <x:c r="BW22" s="378"/>
      <x:c r="BX22" s="378"/>
      <x:c r="BY22" s="378"/>
      <x:c r="CA22" s="238"/>
      <x:c r="CB22" s="238"/>
      <x:c r="CC22" s="449"/>
    </x:row>
    <x:row r="23" spans="1:81" ht="14.1" customHeight="1" x14ac:dyDescent="0.2">
      <x:c r="A23" s="2691" t="s">
        <x:v>943</x:v>
      </x:c>
      <x:c r="B23" s="2692" t="s">
        <x:v>151</x:v>
      </x:c>
      <x:c r="C23" s="2692" t="s">
        <x:v>163</x:v>
      </x:c>
      <x:c r="D23" s="2692" t="s">
        <x:v>145</x:v>
      </x:c>
      <x:c r="E23" s="2693"/>
      <x:c r="F23" s="2694">
        <x:v>342</x:v>
      </x:c>
      <x:c r="G23" s="2695"/>
      <x:c r="H23" s="2696"/>
      <x:c r="I23" s="2694"/>
      <x:c r="J23" s="2695"/>
      <x:c r="K23" s="2696"/>
      <x:c r="L23" s="2697" t="s">
        <x:v>116</x:v>
      </x:c>
      <x:c r="M23" s="2698" t="s">
        <x:v>116</x:v>
      </x:c>
      <x:c r="N23" s="2700" t="s">
        <x:v>1522</x:v>
      </x:c>
      <x:c r="O23" s="2701"/>
      <x:c r="P23" s="2690" t="b">
        <x:f t="shared" si="3"/>
        <x:v>1</x:v>
      </x:c>
      <x:c r="R23" s="245" t="b">
        <x:f t="shared" si="1"/>
        <x:v>0</x:v>
      </x:c>
      <x:c r="AO23" s="238" t="str">
        <x:f t="shared" si="2"/>
        <x:v>8</x:v>
      </x:c>
      <x:c r="AP23" s="945" t="b">
        <x:v>0</x:v>
      </x:c>
      <x:c r="AQ23" s="1322" t="s">
        <x:v>151</x:v>
      </x:c>
      <x:c r="AR23" s="1323" t="s">
        <x:v>163</x:v>
      </x:c>
      <x:c r="AS23" s="1323" t="s">
        <x:v>145</x:v>
      </x:c>
      <x:c r="AT23" s="1323"/>
      <x:c r="AU23" s="1323">
        <x:v>342</x:v>
      </x:c>
      <x:c r="AV23" s="1323"/>
      <x:c r="AW23" s="1323"/>
      <x:c r="AX23" s="1323"/>
      <x:c r="AY23" s="1323"/>
      <x:c r="AZ23" s="1323"/>
      <x:c r="BA23" s="1532" t="s">
        <x:v>116</x:v>
      </x:c>
      <x:c r="BB23" s="1532" t="s">
        <x:v>116</x:v>
      </x:c>
      <x:c r="BC23" s="1533" t="s">
        <x:v>1522</x:v>
      </x:c>
      <x:c r="BD23" s="245">
        <x:v>2</x:v>
      </x:c>
      <x:c r="BE23" s="1041" t="s">
        <x:v>1541</x:v>
      </x:c>
      <x:c r="BF23" s="552" t="s">
        <x:v>166</x:v>
      </x:c>
      <x:c r="BG23" s="483"/>
      <x:c r="BH23" s="483"/>
      <x:c r="BI23" s="483"/>
      <x:c r="BJ23" s="483"/>
      <x:c r="BK23" s="483"/>
      <x:c r="BL23" s="483"/>
      <x:c r="BM23" s="483"/>
      <x:c r="BN23" s="483"/>
      <x:c r="BO23" s="1619" t="s">
        <x:v>166</x:v>
      </x:c>
      <x:c r="BP23" s="1619" t="s">
        <x:v>166</x:v>
      </x:c>
      <x:c r="BQ23" s="483"/>
      <x:c r="BR23" s="483"/>
      <x:c r="BS23" s="483"/>
      <x:c r="BT23" s="552" t="s">
        <x:v>166</x:v>
      </x:c>
      <x:c r="BU23" s="483"/>
      <x:c r="BV23" s="483"/>
      <x:c r="BW23" s="378"/>
      <x:c r="BX23" s="378"/>
      <x:c r="BY23" s="378"/>
      <x:c r="CA23" s="238"/>
      <x:c r="CB23" s="238"/>
      <x:c r="CC23" s="449"/>
    </x:row>
    <x:row r="24" spans="1:81" ht="14.1" customHeight="1" x14ac:dyDescent="0.2">
      <x:c r="A24" s="2691"/>
      <x:c r="B24" s="2692" t="s">
        <x:v>151</x:v>
      </x:c>
      <x:c r="C24" s="2692" t="s">
        <x:v>163</x:v>
      </x:c>
      <x:c r="D24" s="2692" t="s">
        <x:v>145</x:v>
      </x:c>
      <x:c r="E24" s="2693"/>
      <x:c r="F24" s="2694">
        <x:v>208</x:v>
      </x:c>
      <x:c r="G24" s="2695">
        <x:v>0</x:v>
      </x:c>
      <x:c r="H24" s="2696">
        <x:v>0</x:v>
      </x:c>
      <x:c r="I24" s="2694">
        <x:v>0</x:v>
      </x:c>
      <x:c r="J24" s="2695">
        <x:v>12</x:v>
      </x:c>
      <x:c r="K24" s="2696">
        <x:v>6</x:v>
      </x:c>
      <x:c r="L24" s="2697" t="s">
        <x:v>702</x:v>
      </x:c>
      <x:c r="M24" s="2698" t="s">
        <x:v>116</x:v>
      </x:c>
      <x:c r="N24" s="2700" t="s">
        <x:v>116</x:v>
      </x:c>
      <x:c r="O24" s="2701"/>
      <x:c r="P24" s="2690" t="b">
        <x:f t="shared" si="3"/>
        <x:v>1</x:v>
      </x:c>
      <x:c r="R24" s="245" t="b">
        <x:f t="shared" si="1"/>
        <x:v>0</x:v>
      </x:c>
      <x:c r="AO24" s="238" t="str">
        <x:f t="shared" si="2"/>
        <x:v>8</x:v>
      </x:c>
      <x:c r="AP24" s="945" t="b">
        <x:v>0</x:v>
      </x:c>
      <x:c r="AQ24" s="1322" t="s">
        <x:v>151</x:v>
      </x:c>
      <x:c r="AR24" s="1323" t="s">
        <x:v>163</x:v>
      </x:c>
      <x:c r="AS24" s="1323" t="s">
        <x:v>145</x:v>
      </x:c>
      <x:c r="AT24" s="1323"/>
      <x:c r="AU24" s="1323">
        <x:v>208</x:v>
      </x:c>
      <x:c r="AV24" s="1323">
        <x:v>0</x:v>
      </x:c>
      <x:c r="AW24" s="1323">
        <x:v>0</x:v>
      </x:c>
      <x:c r="AX24" s="1323">
        <x:v>0</x:v>
      </x:c>
      <x:c r="AY24" s="1323">
        <x:v>12</x:v>
      </x:c>
      <x:c r="AZ24" s="1323">
        <x:v>6</x:v>
      </x:c>
      <x:c r="BA24" s="1532" t="s">
        <x:v>702</x:v>
      </x:c>
      <x:c r="BB24" s="1532" t="s">
        <x:v>116</x:v>
      </x:c>
      <x:c r="BC24" s="1533" t="s">
        <x:v>116</x:v>
      </x:c>
      <x:c r="BE24" s="1041" t="s">
        <x:v>1525</x:v>
      </x:c>
      <x:c r="BF24" s="483"/>
      <x:c r="BG24" s="483"/>
      <x:c r="BH24" s="483"/>
      <x:c r="BI24" s="483"/>
      <x:c r="BJ24" s="483"/>
      <x:c r="BK24" s="483"/>
      <x:c r="BL24" s="483"/>
      <x:c r="BM24" s="483"/>
      <x:c r="BN24" s="483"/>
      <x:c r="BO24" s="1619" t="s">
        <x:v>144</x:v>
      </x:c>
      <x:c r="BP24" s="1619" t="s">
        <x:v>144</x:v>
      </x:c>
      <x:c r="BQ24" s="483"/>
      <x:c r="BR24" s="483"/>
      <x:c r="BS24" s="483"/>
      <x:c r="BT24" s="1620" t="s">
        <x:v>144</x:v>
      </x:c>
      <x:c r="BU24" s="483"/>
      <x:c r="BV24" s="483"/>
      <x:c r="BW24" s="378"/>
      <x:c r="BX24" s="378"/>
      <x:c r="BY24" s="378"/>
      <x:c r="CA24" s="238"/>
      <x:c r="CB24" s="238"/>
      <x:c r="CC24" s="449"/>
    </x:row>
    <x:row r="25" spans="1:81" ht="14.1" customHeight="1" x14ac:dyDescent="0.2">
      <x:c r="A25" s="2691" t="s">
        <x:v>944</x:v>
      </x:c>
      <x:c r="B25" s="2692" t="s">
        <x:v>151</x:v>
      </x:c>
      <x:c r="C25" s="2692" t="s">
        <x:v>163</x:v>
      </x:c>
      <x:c r="D25" s="2692" t="s">
        <x:v>145</x:v>
      </x:c>
      <x:c r="E25" s="2693"/>
      <x:c r="F25" s="2694">
        <x:v>238</x:v>
      </x:c>
      <x:c r="G25" s="2695"/>
      <x:c r="H25" s="2696"/>
      <x:c r="I25" s="2694"/>
      <x:c r="J25" s="2695"/>
      <x:c r="K25" s="2696"/>
      <x:c r="L25" s="2697" t="s">
        <x:v>116</x:v>
      </x:c>
      <x:c r="M25" s="2698" t="s">
        <x:v>116</x:v>
      </x:c>
      <x:c r="N25" s="2700" t="s">
        <x:v>1522</x:v>
      </x:c>
      <x:c r="O25" s="2701"/>
      <x:c r="P25" s="2690" t="b">
        <x:f t="shared" si="3"/>
        <x:v>1</x:v>
      </x:c>
      <x:c r="R25" s="245" t="b">
        <x:f t="shared" si="1"/>
        <x:v>0</x:v>
      </x:c>
      <x:c r="AO25" s="238" t="str">
        <x:f t="shared" si="2"/>
        <x:v>9</x:v>
      </x:c>
      <x:c r="AP25" s="945" t="b">
        <x:v>0</x:v>
      </x:c>
      <x:c r="AQ25" s="1322" t="s">
        <x:v>151</x:v>
      </x:c>
      <x:c r="AR25" s="1323" t="s">
        <x:v>163</x:v>
      </x:c>
      <x:c r="AS25" s="1323" t="s">
        <x:v>145</x:v>
      </x:c>
      <x:c r="AT25" s="1323"/>
      <x:c r="AU25" s="1323">
        <x:v>238</x:v>
      </x:c>
      <x:c r="AV25" s="1323"/>
      <x:c r="AW25" s="1323"/>
      <x:c r="AX25" s="1323"/>
      <x:c r="AY25" s="1323"/>
      <x:c r="AZ25" s="1323"/>
      <x:c r="BA25" s="1532" t="s">
        <x:v>116</x:v>
      </x:c>
      <x:c r="BB25" s="1532" t="s">
        <x:v>116</x:v>
      </x:c>
      <x:c r="BC25" s="1533" t="s">
        <x:v>1522</x:v>
      </x:c>
      <x:c r="BD25" s="245">
        <x:v>2</x:v>
      </x:c>
      <x:c r="BE25" s="1041" t="s">
        <x:v>1534</x:v>
      </x:c>
      <x:c r="BF25" s="238"/>
      <x:c r="BG25" s="238"/>
      <x:c r="BH25" s="238"/>
      <x:c r="BI25" s="238"/>
      <x:c r="BJ25" s="238"/>
      <x:c r="BK25" s="238"/>
      <x:c r="BL25" s="238"/>
      <x:c r="BM25" s="238"/>
      <x:c r="BN25" s="238"/>
      <x:c r="BO25" s="238"/>
      <x:c r="BP25" s="238"/>
      <x:c r="BQ25" s="238"/>
      <x:c r="BR25" s="238"/>
      <x:c r="BS25" s="238"/>
      <x:c r="BT25" s="1620" t="s">
        <x:v>152</x:v>
      </x:c>
      <x:c r="BU25" s="238"/>
      <x:c r="BV25" s="238"/>
      <x:c r="BW25" s="378"/>
      <x:c r="BX25" s="378"/>
      <x:c r="BY25" s="378"/>
    </x:row>
    <x:row r="26" spans="1:81" ht="14.1" customHeight="1" x14ac:dyDescent="0.2">
      <x:c r="A26" s="2691"/>
      <x:c r="B26" s="2692" t="s">
        <x:v>151</x:v>
      </x:c>
      <x:c r="C26" s="2692" t="s">
        <x:v>163</x:v>
      </x:c>
      <x:c r="D26" s="2692" t="s">
        <x:v>145</x:v>
      </x:c>
      <x:c r="E26" s="2693"/>
      <x:c r="F26" s="2694">
        <x:v>312</x:v>
      </x:c>
      <x:c r="G26" s="2695">
        <x:v>0</x:v>
      </x:c>
      <x:c r="H26" s="2696">
        <x:v>0</x:v>
      </x:c>
      <x:c r="I26" s="2694">
        <x:v>0</x:v>
      </x:c>
      <x:c r="J26" s="2695">
        <x:v>18</x:v>
      </x:c>
      <x:c r="K26" s="2696">
        <x:v>8.625</x:v>
      </x:c>
      <x:c r="L26" s="2697" t="s">
        <x:v>702</x:v>
      </x:c>
      <x:c r="M26" s="2698" t="s">
        <x:v>116</x:v>
      </x:c>
      <x:c r="N26" s="2700" t="s">
        <x:v>116</x:v>
      </x:c>
      <x:c r="O26" s="2701"/>
      <x:c r="P26" s="2690" t="b">
        <x:f t="shared" si="3"/>
        <x:v>1</x:v>
      </x:c>
      <x:c r="R26" s="245" t="b">
        <x:f t="shared" si="1"/>
        <x:v>0</x:v>
      </x:c>
      <x:c r="AO26" s="238" t="str">
        <x:f t="shared" si="2"/>
        <x:v>9</x:v>
      </x:c>
      <x:c r="AP26" s="945" t="b">
        <x:v>0</x:v>
      </x:c>
      <x:c r="AQ26" s="1322" t="s">
        <x:v>151</x:v>
      </x:c>
      <x:c r="AR26" s="1323" t="s">
        <x:v>163</x:v>
      </x:c>
      <x:c r="AS26" s="1323" t="s">
        <x:v>145</x:v>
      </x:c>
      <x:c r="AT26" s="1323"/>
      <x:c r="AU26" s="1323">
        <x:v>312</x:v>
      </x:c>
      <x:c r="AV26" s="1323">
        <x:v>0</x:v>
      </x:c>
      <x:c r="AW26" s="1323">
        <x:v>0</x:v>
      </x:c>
      <x:c r="AX26" s="1323">
        <x:v>0</x:v>
      </x:c>
      <x:c r="AY26" s="1323">
        <x:v>18</x:v>
      </x:c>
      <x:c r="AZ26" s="1323">
        <x:v>8.625</x:v>
      </x:c>
      <x:c r="BA26" s="1532" t="s">
        <x:v>702</x:v>
      </x:c>
      <x:c r="BB26" s="1532" t="s">
        <x:v>116</x:v>
      </x:c>
      <x:c r="BC26" s="1533" t="s">
        <x:v>116</x:v>
      </x:c>
      <x:c r="BE26" s="1041" t="s">
        <x:v>1560</x:v>
      </x:c>
      <x:c r="BF26" s="238"/>
      <x:c r="BG26" s="238"/>
      <x:c r="BH26" s="238"/>
      <x:c r="BI26" s="238"/>
      <x:c r="BJ26" s="238"/>
      <x:c r="BK26" s="238"/>
      <x:c r="BL26" s="238"/>
      <x:c r="BM26" s="238"/>
      <x:c r="BN26" s="238"/>
      <x:c r="BO26" s="238"/>
      <x:c r="BP26" s="238"/>
      <x:c r="BQ26" s="238"/>
      <x:c r="BR26" s="238"/>
      <x:c r="BS26" s="238"/>
      <x:c r="BT26" s="238"/>
      <x:c r="BU26" s="238"/>
      <x:c r="BV26" s="238"/>
      <x:c r="BW26" s="378"/>
      <x:c r="BX26" s="378"/>
      <x:c r="BY26" s="378"/>
    </x:row>
    <x:row r="27" spans="1:81" ht="14.1" customHeight="1" x14ac:dyDescent="0.2">
      <x:c r="A27" s="2691" t="s">
        <x:v>1523</x:v>
      </x:c>
      <x:c r="B27" s="2692" t="s">
        <x:v>151</x:v>
      </x:c>
      <x:c r="C27" s="2692" t="s">
        <x:v>163</x:v>
      </x:c>
      <x:c r="D27" s="2692" t="s">
        <x:v>145</x:v>
      </x:c>
      <x:c r="E27" s="2693"/>
      <x:c r="F27" s="2694">
        <x:v>134</x:v>
      </x:c>
      <x:c r="G27" s="2695"/>
      <x:c r="H27" s="2696"/>
      <x:c r="I27" s="2694"/>
      <x:c r="J27" s="2695"/>
      <x:c r="K27" s="2696"/>
      <x:c r="L27" s="2697" t="s">
        <x:v>116</x:v>
      </x:c>
      <x:c r="M27" s="2698" t="s">
        <x:v>116</x:v>
      </x:c>
      <x:c r="N27" s="2700" t="s">
        <x:v>1522</x:v>
      </x:c>
      <x:c r="O27" s="2701"/>
      <x:c r="P27" s="2690" t="b">
        <x:f t="shared" si="3"/>
        <x:v>1</x:v>
      </x:c>
      <x:c r="R27" s="245" t="b">
        <x:f t="shared" si="1"/>
        <x:v>0</x:v>
      </x:c>
      <x:c r="AO27" s="238" t="str">
        <x:f t="shared" si="2"/>
        <x:v>10</x:v>
      </x:c>
      <x:c r="AP27" s="945" t="b">
        <x:v>0</x:v>
      </x:c>
      <x:c r="AQ27" s="1322" t="s">
        <x:v>151</x:v>
      </x:c>
      <x:c r="AR27" s="1323" t="s">
        <x:v>163</x:v>
      </x:c>
      <x:c r="AS27" s="1323" t="s">
        <x:v>145</x:v>
      </x:c>
      <x:c r="AT27" s="1323"/>
      <x:c r="AU27" s="1323">
        <x:v>134</x:v>
      </x:c>
      <x:c r="AV27" s="1323"/>
      <x:c r="AW27" s="1323"/>
      <x:c r="AX27" s="1323"/>
      <x:c r="AY27" s="1323"/>
      <x:c r="AZ27" s="1323"/>
      <x:c r="BA27" s="1532" t="s">
        <x:v>116</x:v>
      </x:c>
      <x:c r="BB27" s="1532" t="s">
        <x:v>116</x:v>
      </x:c>
      <x:c r="BC27" s="1533" t="s">
        <x:v>1522</x:v>
      </x:c>
      <x:c r="BD27" s="245">
        <x:v>2</x:v>
      </x:c>
      <x:c r="BE27" s="1041" t="s">
        <x:v>1547</x:v>
      </x:c>
      <x:c r="BF27" s="238"/>
      <x:c r="BG27" s="238"/>
      <x:c r="BH27" s="238"/>
      <x:c r="BI27" s="238"/>
      <x:c r="BJ27" s="238"/>
      <x:c r="BK27" s="238"/>
      <x:c r="BL27" s="238"/>
      <x:c r="BM27" s="238"/>
      <x:c r="BN27" s="238"/>
      <x:c r="BO27" s="238"/>
      <x:c r="BP27" s="238"/>
      <x:c r="BQ27" s="238"/>
      <x:c r="BR27" s="238"/>
      <x:c r="BS27" s="238"/>
      <x:c r="BT27" s="238"/>
      <x:c r="BU27" s="238"/>
      <x:c r="BV27" s="238"/>
      <x:c r="BW27" s="378"/>
      <x:c r="BX27" s="378"/>
      <x:c r="BY27" s="378"/>
    </x:row>
    <x:row r="28" spans="1:81" ht="14.1" customHeight="1" x14ac:dyDescent="0.2">
      <x:c r="A28" s="2691"/>
      <x:c r="B28" s="2692" t="s">
        <x:v>151</x:v>
      </x:c>
      <x:c r="C28" s="2692" t="s">
        <x:v>163</x:v>
      </x:c>
      <x:c r="D28" s="2692" t="s">
        <x:v>145</x:v>
      </x:c>
      <x:c r="E28" s="2693"/>
      <x:c r="F28" s="2694">
        <x:v>416</x:v>
      </x:c>
      <x:c r="G28" s="2695">
        <x:v>0</x:v>
      </x:c>
      <x:c r="H28" s="2696">
        <x:v>0</x:v>
      </x:c>
      <x:c r="I28" s="2694">
        <x:v>0</x:v>
      </x:c>
      <x:c r="J28" s="2695">
        <x:v>24</x:v>
      </x:c>
      <x:c r="K28" s="2696">
        <x:v>11.5</x:v>
      </x:c>
      <x:c r="L28" s="2697" t="s">
        <x:v>702</x:v>
      </x:c>
      <x:c r="M28" s="2698" t="s">
        <x:v>116</x:v>
      </x:c>
      <x:c r="N28" s="2699" t="s">
        <x:v>116</x:v>
      </x:c>
      <x:c r="O28" s="2689"/>
      <x:c r="P28" s="2690" t="b">
        <x:f t="shared" si="3"/>
        <x:v>1</x:v>
      </x:c>
      <x:c r="R28" s="245" t="b">
        <x:f t="shared" si="1"/>
        <x:v>0</x:v>
      </x:c>
      <x:c r="AO28" s="238" t="str">
        <x:f t="shared" si="2"/>
        <x:v>10</x:v>
      </x:c>
      <x:c r="AP28" s="945" t="b">
        <x:v>0</x:v>
      </x:c>
      <x:c r="AQ28" s="1322" t="s">
        <x:v>151</x:v>
      </x:c>
      <x:c r="AR28" s="1323" t="s">
        <x:v>163</x:v>
      </x:c>
      <x:c r="AS28" s="1323" t="s">
        <x:v>145</x:v>
      </x:c>
      <x:c r="AT28" s="1323"/>
      <x:c r="AU28" s="1323">
        <x:v>416</x:v>
      </x:c>
      <x:c r="AV28" s="1323">
        <x:v>0</x:v>
      </x:c>
      <x:c r="AW28" s="1323">
        <x:v>0</x:v>
      </x:c>
      <x:c r="AX28" s="1323">
        <x:v>0</x:v>
      </x:c>
      <x:c r="AY28" s="1323">
        <x:v>24</x:v>
      </x:c>
      <x:c r="AZ28" s="1323">
        <x:v>11.5</x:v>
      </x:c>
      <x:c r="BA28" s="1532" t="s">
        <x:v>702</x:v>
      </x:c>
      <x:c r="BB28" s="1532" t="s">
        <x:v>116</x:v>
      </x:c>
      <x:c r="BC28" s="1533" t="s">
        <x:v>116</x:v>
      </x:c>
      <x:c r="BE28" s="1041" t="s">
        <x:v>1526</x:v>
      </x:c>
      <x:c r="BF28" s="238"/>
      <x:c r="BG28" s="238"/>
      <x:c r="BH28" s="238"/>
      <x:c r="BI28" s="238"/>
      <x:c r="BJ28" s="238"/>
      <x:c r="BK28" s="238"/>
      <x:c r="BL28" s="238"/>
      <x:c r="BM28" s="238"/>
      <x:c r="BN28" s="238"/>
      <x:c r="BO28" s="238"/>
      <x:c r="BP28" s="238"/>
      <x:c r="BQ28" s="238"/>
      <x:c r="BR28" s="238"/>
      <x:c r="BS28" s="238"/>
      <x:c r="BT28" s="238"/>
      <x:c r="BU28" s="238"/>
      <x:c r="BV28" s="238"/>
      <x:c r="BW28" s="378"/>
      <x:c r="BX28" s="378"/>
      <x:c r="BY28" s="378"/>
    </x:row>
    <x:row r="29" spans="1:81" ht="14.1" customHeight="1" x14ac:dyDescent="0.2">
      <x:c r="A29" s="2691" t="s">
        <x:v>1524</x:v>
      </x:c>
      <x:c r="B29" s="2692" t="s">
        <x:v>151</x:v>
      </x:c>
      <x:c r="C29" s="2692" t="s">
        <x:v>163</x:v>
      </x:c>
      <x:c r="D29" s="2692" t="s">
        <x:v>145</x:v>
      </x:c>
      <x:c r="E29" s="2693"/>
      <x:c r="F29" s="2694">
        <x:v>35</x:v>
      </x:c>
      <x:c r="G29" s="2695"/>
      <x:c r="H29" s="2696"/>
      <x:c r="I29" s="2694"/>
      <x:c r="J29" s="2695"/>
      <x:c r="K29" s="2696"/>
      <x:c r="L29" s="2697" t="s">
        <x:v>116</x:v>
      </x:c>
      <x:c r="M29" s="2698" t="s">
        <x:v>116</x:v>
      </x:c>
      <x:c r="N29" s="2699" t="s">
        <x:v>1522</x:v>
      </x:c>
      <x:c r="O29" s="2689"/>
      <x:c r="P29" s="2690" t="b">
        <x:f t="shared" si="3"/>
        <x:v>1</x:v>
      </x:c>
      <x:c r="R29" s="245" t="b">
        <x:f t="shared" si="1"/>
        <x:v>0</x:v>
      </x:c>
      <x:c r="AO29" s="238" t="str">
        <x:f t="shared" si="2"/>
        <x:v>11</x:v>
      </x:c>
      <x:c r="AP29" s="945" t="b">
        <x:v>0</x:v>
      </x:c>
      <x:c r="AQ29" s="1322" t="s">
        <x:v>151</x:v>
      </x:c>
      <x:c r="AR29" s="1323" t="s">
        <x:v>163</x:v>
      </x:c>
      <x:c r="AS29" s="1323" t="s">
        <x:v>145</x:v>
      </x:c>
      <x:c r="AT29" s="1323"/>
      <x:c r="AU29" s="1323">
        <x:v>35</x:v>
      </x:c>
      <x:c r="AV29" s="1323"/>
      <x:c r="AW29" s="1323"/>
      <x:c r="AX29" s="1323"/>
      <x:c r="AY29" s="1323"/>
      <x:c r="AZ29" s="1323"/>
      <x:c r="BA29" s="1532" t="s">
        <x:v>116</x:v>
      </x:c>
      <x:c r="BB29" s="1532" t="s">
        <x:v>116</x:v>
      </x:c>
      <x:c r="BC29" s="1533" t="s">
        <x:v>1522</x:v>
      </x:c>
      <x:c r="BD29" s="245">
        <x:v>2</x:v>
      </x:c>
      <x:c r="BE29" s="1041" t="s">
        <x:v>1527</x:v>
      </x:c>
      <x:c r="BF29" s="238"/>
      <x:c r="BG29" s="238"/>
      <x:c r="BH29" s="238"/>
      <x:c r="BI29" s="238"/>
      <x:c r="BJ29" s="238"/>
      <x:c r="BK29" s="238"/>
      <x:c r="BL29" s="238"/>
      <x:c r="BM29" s="238"/>
      <x:c r="BN29" s="238"/>
      <x:c r="BO29" s="238"/>
      <x:c r="BP29" s="238"/>
      <x:c r="BQ29" s="238"/>
      <x:c r="BR29" s="238"/>
      <x:c r="BS29" s="238"/>
      <x:c r="BT29" s="238"/>
      <x:c r="BU29" s="238"/>
      <x:c r="BV29" s="238"/>
      <x:c r="BW29" s="378"/>
      <x:c r="BX29" s="378"/>
      <x:c r="BY29" s="378"/>
    </x:row>
    <x:row r="30" spans="1:81" ht="14.1" customHeight="1" x14ac:dyDescent="0.2">
      <x:c r="A30" s="2691"/>
      <x:c r="B30" s="2692" t="s">
        <x:v>151</x:v>
      </x:c>
      <x:c r="C30" s="2692" t="s">
        <x:v>163</x:v>
      </x:c>
      <x:c r="D30" s="2692" t="s">
        <x:v>145</x:v>
      </x:c>
      <x:c r="E30" s="2693"/>
      <x:c r="F30" s="2694">
        <x:v>514</x:v>
      </x:c>
      <x:c r="G30" s="2695">
        <x:v>0</x:v>
      </x:c>
      <x:c r="H30" s="2696">
        <x:v>0</x:v>
      </x:c>
      <x:c r="I30" s="2694">
        <x:v>0</x:v>
      </x:c>
      <x:c r="J30" s="2695">
        <x:v>30</x:v>
      </x:c>
      <x:c r="K30" s="2696">
        <x:v>9.75</x:v>
      </x:c>
      <x:c r="L30" s="2697" t="s">
        <x:v>702</x:v>
      </x:c>
      <x:c r="M30" s="2698" t="s">
        <x:v>116</x:v>
      </x:c>
      <x:c r="N30" s="2699" t="s">
        <x:v>116</x:v>
      </x:c>
      <x:c r="O30" s="2689"/>
      <x:c r="P30" s="2690" t="b">
        <x:f t="shared" si="3"/>
        <x:v>1</x:v>
      </x:c>
      <x:c r="R30" s="245" t="b">
        <x:f t="shared" si="1"/>
        <x:v>0</x:v>
      </x:c>
      <x:c r="AO30" s="238" t="str">
        <x:f t="shared" si="2"/>
        <x:v>11</x:v>
      </x:c>
      <x:c r="AP30" s="945" t="b">
        <x:v>0</x:v>
      </x:c>
      <x:c r="AQ30" s="1322" t="s">
        <x:v>151</x:v>
      </x:c>
      <x:c r="AR30" s="1323" t="s">
        <x:v>163</x:v>
      </x:c>
      <x:c r="AS30" s="1323" t="s">
        <x:v>145</x:v>
      </x:c>
      <x:c r="AT30" s="1323"/>
      <x:c r="AU30" s="1323">
        <x:v>514</x:v>
      </x:c>
      <x:c r="AV30" s="1323">
        <x:v>0</x:v>
      </x:c>
      <x:c r="AW30" s="1323">
        <x:v>0</x:v>
      </x:c>
      <x:c r="AX30" s="1323">
        <x:v>0</x:v>
      </x:c>
      <x:c r="AY30" s="1323">
        <x:v>30</x:v>
      </x:c>
      <x:c r="AZ30" s="1323">
        <x:v>9.75</x:v>
      </x:c>
      <x:c r="BA30" s="1532" t="s">
        <x:v>702</x:v>
      </x:c>
      <x:c r="BB30" s="1532" t="s">
        <x:v>116</x:v>
      </x:c>
      <x:c r="BC30" s="1533" t="s">
        <x:v>116</x:v>
      </x:c>
      <x:c r="BE30" s="1041" t="s">
        <x:v>1528</x:v>
      </x:c>
      <x:c r="BF30" s="580">
        <x:f t="shared" ref="BF30:CC30" si="4">COUNTA(BF16:BF29)</x:f>
        <x:v>8</x:v>
      </x:c>
      <x:c r="BG30" s="580">
        <x:f t="shared" si="4"/>
        <x:v>2</x:v>
      </x:c>
      <x:c r="BH30" s="580">
        <x:f t="shared" si="4"/>
        <x:v>2</x:v>
      </x:c>
      <x:c r="BI30" s="580">
        <x:f t="shared" si="4"/>
        <x:v>7</x:v>
      </x:c>
      <x:c r="BJ30" s="580">
        <x:f t="shared" si="4"/>
        <x:v>7</x:v>
      </x:c>
      <x:c r="BK30" s="580">
        <x:f t="shared" si="4"/>
        <x:v>7</x:v>
      </x:c>
      <x:c r="BL30" s="580">
        <x:f t="shared" si="4"/>
        <x:v>7</x:v>
      </x:c>
      <x:c r="BM30" s="580">
        <x:f t="shared" si="4"/>
        <x:v>7</x:v>
      </x:c>
      <x:c r="BN30" s="580">
        <x:f t="shared" si="4"/>
        <x:v>7</x:v>
      </x:c>
      <x:c r="BO30" s="580">
        <x:f t="shared" si="4"/>
        <x:v>9</x:v>
      </x:c>
      <x:c r="BP30" s="580">
        <x:f t="shared" si="4"/>
        <x:v>9</x:v>
      </x:c>
      <x:c r="BQ30" s="580">
        <x:f t="shared" si="4"/>
        <x:v>7</x:v>
      </x:c>
      <x:c r="BR30" s="580">
        <x:f t="shared" si="4"/>
        <x:v>7</x:v>
      </x:c>
      <x:c r="BS30" s="580">
        <x:f t="shared" si="4"/>
        <x:v>4</x:v>
      </x:c>
      <x:c r="BT30" s="580">
        <x:f t="shared" si="4"/>
        <x:v>10</x:v>
      </x:c>
      <x:c r="BU30" s="580">
        <x:f t="shared" si="4"/>
        <x:v>1</x:v>
      </x:c>
      <x:c r="BV30" s="580">
        <x:f t="shared" si="4"/>
        <x:v>0</x:v>
      </x:c>
      <x:c r="BW30" s="580">
        <x:f t="shared" si="4"/>
        <x:v>2</x:v>
      </x:c>
      <x:c r="BX30" s="580">
        <x:f t="shared" si="4"/>
        <x:v>4</x:v>
      </x:c>
      <x:c r="BY30" s="580">
        <x:f t="shared" si="4"/>
        <x:v>3</x:v>
      </x:c>
      <x:c r="BZ30" s="580">
        <x:f t="shared" si="4"/>
        <x:v>1</x:v>
      </x:c>
      <x:c r="CA30" s="580">
        <x:f t="shared" si="4"/>
        <x:v>6</x:v>
      </x:c>
      <x:c r="CB30" s="580">
        <x:f t="shared" si="4"/>
        <x:v>4</x:v>
      </x:c>
      <x:c r="CC30" s="580">
        <x:f t="shared" si="4"/>
        <x:v>4</x:v>
      </x:c>
    </x:row>
    <x:row r="31" spans="1:81" ht="14.1" customHeight="1" x14ac:dyDescent="0.2">
      <x:c r="A31" s="2691" t="s">
        <x:v>1525</x:v>
      </x:c>
      <x:c r="B31" s="2692" t="s">
        <x:v>151</x:v>
      </x:c>
      <x:c r="C31" s="2692" t="s">
        <x:v>163</x:v>
      </x:c>
      <x:c r="D31" s="2692" t="s">
        <x:v>145</x:v>
      </x:c>
      <x:c r="E31" s="2693"/>
      <x:c r="F31" s="2694">
        <x:v>550</x:v>
      </x:c>
      <x:c r="G31" s="2695">
        <x:v>0</x:v>
      </x:c>
      <x:c r="H31" s="2696">
        <x:v>0</x:v>
      </x:c>
      <x:c r="I31" s="2694">
        <x:v>0</x:v>
      </x:c>
      <x:c r="J31" s="2695">
        <x:v>33</x:v>
      </x:c>
      <x:c r="K31" s="2696">
        <x:v>0</x:v>
      </x:c>
      <x:c r="L31" s="2697" t="s">
        <x:v>702</x:v>
      </x:c>
      <x:c r="M31" s="2697" t="s">
        <x:v>116</x:v>
      </x:c>
      <x:c r="N31" s="2699" t="s">
        <x:v>1522</x:v>
      </x:c>
      <x:c r="O31" s="2689"/>
      <x:c r="P31" s="2690" t="b">
        <x:f t="shared" si="3"/>
        <x:v>1</x:v>
      </x:c>
      <x:c r="R31" s="245" t="b">
        <x:f t="shared" si="1"/>
        <x:v>0</x:v>
      </x:c>
      <x:c r="AO31" s="238" t="str">
        <x:f t="shared" si="2"/>
        <x:v>12</x:v>
      </x:c>
      <x:c r="AP31" s="945" t="b">
        <x:v>0</x:v>
      </x:c>
      <x:c r="AQ31" s="1322" t="s">
        <x:v>151</x:v>
      </x:c>
      <x:c r="AR31" s="1323" t="s">
        <x:v>163</x:v>
      </x:c>
      <x:c r="AS31" s="1323" t="s">
        <x:v>145</x:v>
      </x:c>
      <x:c r="AT31" s="1323"/>
      <x:c r="AU31" s="1323">
        <x:v>550</x:v>
      </x:c>
      <x:c r="AV31" s="1323">
        <x:v>0</x:v>
      </x:c>
      <x:c r="AW31" s="1323">
        <x:v>0</x:v>
      </x:c>
      <x:c r="AX31" s="1323">
        <x:v>0</x:v>
      </x:c>
      <x:c r="AY31" s="1323">
        <x:v>33</x:v>
      </x:c>
      <x:c r="AZ31" s="1323">
        <x:v>0</x:v>
      </x:c>
      <x:c r="BA31" s="1532" t="s">
        <x:v>702</x:v>
      </x:c>
      <x:c r="BB31" s="1532" t="s">
        <x:v>116</x:v>
      </x:c>
      <x:c r="BC31" s="1533" t="s">
        <x:v>1522</x:v>
      </x:c>
      <x:c r="BD31" s="245">
        <x:v>1</x:v>
      </x:c>
      <x:c r="BE31" s="1041" t="s">
        <x:v>1529</x:v>
      </x:c>
    </x:row>
    <x:row r="32" spans="1:81" ht="14.1" customHeight="1" x14ac:dyDescent="0.2">
      <x:c r="A32" s="2691" t="s">
        <x:v>1526</x:v>
      </x:c>
      <x:c r="B32" s="2692" t="s">
        <x:v>151</x:v>
      </x:c>
      <x:c r="C32" s="2692" t="s">
        <x:v>163</x:v>
      </x:c>
      <x:c r="D32" s="2692" t="s">
        <x:v>145</x:v>
      </x:c>
      <x:c r="E32" s="2693"/>
      <x:c r="F32" s="2694">
        <x:v>446</x:v>
      </x:c>
      <x:c r="G32" s="2695">
        <x:v>0</x:v>
      </x:c>
      <x:c r="H32" s="2696">
        <x:v>0</x:v>
      </x:c>
      <x:c r="I32" s="2694">
        <x:v>446</x:v>
      </x:c>
      <x:c r="J32" s="2695">
        <x:v>25</x:v>
      </x:c>
      <x:c r="K32" s="2696">
        <x:v>0</x:v>
      </x:c>
      <x:c r="L32" s="2697" t="s">
        <x:v>700</x:v>
      </x:c>
      <x:c r="M32" s="2697" t="s">
        <x:v>116</x:v>
      </x:c>
      <x:c r="N32" s="2699" t="s">
        <x:v>1522</x:v>
      </x:c>
      <x:c r="O32" s="2689"/>
      <x:c r="P32" s="2690" t="b">
        <x:f t="shared" si="3"/>
        <x:v>1</x:v>
      </x:c>
      <x:c r="R32" s="245" t="b">
        <x:f t="shared" si="1"/>
        <x:v>0</x:v>
      </x:c>
      <x:c r="AO32" s="238" t="str">
        <x:f t="shared" si="2"/>
        <x:v>13</x:v>
      </x:c>
      <x:c r="AP32" s="945" t="b">
        <x:v>0</x:v>
      </x:c>
      <x:c r="AQ32" s="1322" t="s">
        <x:v>151</x:v>
      </x:c>
      <x:c r="AR32" s="1323" t="s">
        <x:v>163</x:v>
      </x:c>
      <x:c r="AS32" s="1323" t="s">
        <x:v>145</x:v>
      </x:c>
      <x:c r="AT32" s="1323"/>
      <x:c r="AU32" s="1323">
        <x:v>446</x:v>
      </x:c>
      <x:c r="AV32" s="1323">
        <x:v>0</x:v>
      </x:c>
      <x:c r="AW32" s="1323">
        <x:v>0</x:v>
      </x:c>
      <x:c r="AX32" s="1323">
        <x:v>446</x:v>
      </x:c>
      <x:c r="AY32" s="1323">
        <x:v>25</x:v>
      </x:c>
      <x:c r="AZ32" s="1323">
        <x:v>0</x:v>
      </x:c>
      <x:c r="BA32" s="1532" t="s">
        <x:v>700</x:v>
      </x:c>
      <x:c r="BB32" s="1532" t="s">
        <x:v>116</x:v>
      </x:c>
      <x:c r="BC32" s="1533" t="s">
        <x:v>1522</x:v>
      </x:c>
      <x:c r="BD32" s="245">
        <x:v>2</x:v>
      </x:c>
      <x:c r="BE32" s="1041" t="s">
        <x:v>1397</x:v>
      </x:c>
    </x:row>
    <x:row r="33" spans="1:57" ht="14.1" customHeight="1" x14ac:dyDescent="0.2">
      <x:c r="A33" s="2691"/>
      <x:c r="B33" s="2692" t="s">
        <x:v>151</x:v>
      </x:c>
      <x:c r="C33" s="2692" t="s">
        <x:v>163</x:v>
      </x:c>
      <x:c r="D33" s="2692" t="s">
        <x:v>145</x:v>
      </x:c>
      <x:c r="E33" s="2693"/>
      <x:c r="F33" s="2694">
        <x:v>154</x:v>
      </x:c>
      <x:c r="G33" s="2695">
        <x:v>25</x:v>
      </x:c>
      <x:c r="H33" s="2696">
        <x:v>0</x:v>
      </x:c>
      <x:c r="I33" s="2694">
        <x:v>154</x:v>
      </x:c>
      <x:c r="J33" s="2695">
        <x:v>50</x:v>
      </x:c>
      <x:c r="K33" s="2696">
        <x:v>0</x:v>
      </x:c>
      <x:c r="L33" s="2697" t="s">
        <x:v>700</x:v>
      </x:c>
      <x:c r="M33" s="2697" t="s">
        <x:v>116</x:v>
      </x:c>
      <x:c r="N33" s="2699" t="s">
        <x:v>116</x:v>
      </x:c>
      <x:c r="O33" s="2689"/>
      <x:c r="P33" s="2690" t="b">
        <x:f t="shared" si="3"/>
        <x:v>1</x:v>
      </x:c>
      <x:c r="R33" s="245" t="b">
        <x:f t="shared" si="1"/>
        <x:v>0</x:v>
      </x:c>
      <x:c r="AO33" s="238" t="str">
        <x:f t="shared" si="2"/>
        <x:v>13</x:v>
      </x:c>
      <x:c r="AP33" s="945" t="b">
        <x:v>0</x:v>
      </x:c>
      <x:c r="AQ33" s="1322" t="s">
        <x:v>151</x:v>
      </x:c>
      <x:c r="AR33" s="1323" t="s">
        <x:v>163</x:v>
      </x:c>
      <x:c r="AS33" s="1323" t="s">
        <x:v>145</x:v>
      </x:c>
      <x:c r="AT33" s="1323"/>
      <x:c r="AU33" s="1323">
        <x:v>154</x:v>
      </x:c>
      <x:c r="AV33" s="1323">
        <x:v>25</x:v>
      </x:c>
      <x:c r="AW33" s="1323">
        <x:v>0</x:v>
      </x:c>
      <x:c r="AX33" s="1323">
        <x:v>154</x:v>
      </x:c>
      <x:c r="AY33" s="1323">
        <x:v>50</x:v>
      </x:c>
      <x:c r="AZ33" s="1323">
        <x:v>0</x:v>
      </x:c>
      <x:c r="BA33" s="1532" t="s">
        <x:v>700</x:v>
      </x:c>
      <x:c r="BB33" s="1532" t="s">
        <x:v>116</x:v>
      </x:c>
      <x:c r="BC33" s="1533" t="s">
        <x:v>116</x:v>
      </x:c>
      <x:c r="BE33" s="1041" t="s">
        <x:v>1530</x:v>
      </x:c>
    </x:row>
    <x:row r="34" spans="1:57" ht="14.1" customHeight="1" x14ac:dyDescent="0.2">
      <x:c r="A34" s="2691" t="s">
        <x:v>1527</x:v>
      </x:c>
      <x:c r="B34" s="2692" t="s">
        <x:v>151</x:v>
      </x:c>
      <x:c r="C34" s="2692" t="s">
        <x:v>163</x:v>
      </x:c>
      <x:c r="D34" s="2692" t="s">
        <x:v>145</x:v>
      </x:c>
      <x:c r="E34" s="2693"/>
      <x:c r="F34" s="2694">
        <x:v>342</x:v>
      </x:c>
      <x:c r="G34" s="2695">
        <x:v>0</x:v>
      </x:c>
      <x:c r="H34" s="2696">
        <x:v>0</x:v>
      </x:c>
      <x:c r="I34" s="2694">
        <x:v>342</x:v>
      </x:c>
      <x:c r="J34" s="2695">
        <x:v>25</x:v>
      </x:c>
      <x:c r="K34" s="2696">
        <x:v>0</x:v>
      </x:c>
      <x:c r="L34" s="2697" t="s">
        <x:v>700</x:v>
      </x:c>
      <x:c r="M34" s="2697" t="s">
        <x:v>116</x:v>
      </x:c>
      <x:c r="N34" s="2699" t="s">
        <x:v>1522</x:v>
      </x:c>
      <x:c r="O34" s="2689"/>
      <x:c r="P34" s="2690" t="b">
        <x:f t="shared" si="3"/>
        <x:v>1</x:v>
      </x:c>
      <x:c r="R34" s="245" t="b">
        <x:f t="shared" si="1"/>
        <x:v>0</x:v>
      </x:c>
      <x:c r="AO34" s="238" t="str">
        <x:f t="shared" si="2"/>
        <x:v>14</x:v>
      </x:c>
      <x:c r="AP34" s="945" t="b">
        <x:v>0</x:v>
      </x:c>
      <x:c r="AQ34" s="1322" t="s">
        <x:v>151</x:v>
      </x:c>
      <x:c r="AR34" s="1323" t="s">
        <x:v>163</x:v>
      </x:c>
      <x:c r="AS34" s="1323" t="s">
        <x:v>145</x:v>
      </x:c>
      <x:c r="AT34" s="1323"/>
      <x:c r="AU34" s="1323">
        <x:v>342</x:v>
      </x:c>
      <x:c r="AV34" s="1323">
        <x:v>0</x:v>
      </x:c>
      <x:c r="AW34" s="1323">
        <x:v>0</x:v>
      </x:c>
      <x:c r="AX34" s="1323">
        <x:v>342</x:v>
      </x:c>
      <x:c r="AY34" s="1323">
        <x:v>25</x:v>
      </x:c>
      <x:c r="AZ34" s="1323">
        <x:v>0</x:v>
      </x:c>
      <x:c r="BA34" s="1532" t="s">
        <x:v>700</x:v>
      </x:c>
      <x:c r="BB34" s="1532" t="s">
        <x:v>116</x:v>
      </x:c>
      <x:c r="BC34" s="1533" t="s">
        <x:v>1522</x:v>
      </x:c>
      <x:c r="BD34" s="245">
        <x:v>2</x:v>
      </x:c>
      <x:c r="BE34" s="1041" t="s">
        <x:v>1531</x:v>
      </x:c>
    </x:row>
    <x:row r="35" spans="1:57" ht="14.1" customHeight="1" x14ac:dyDescent="0.2">
      <x:c r="A35" s="2691"/>
      <x:c r="B35" s="2692" t="s">
        <x:v>151</x:v>
      </x:c>
      <x:c r="C35" s="2692" t="s">
        <x:v>163</x:v>
      </x:c>
      <x:c r="D35" s="2692" t="s">
        <x:v>145</x:v>
      </x:c>
      <x:c r="E35" s="2693"/>
      <x:c r="F35" s="2694">
        <x:v>60</x:v>
      </x:c>
      <x:c r="G35" s="2695">
        <x:v>25</x:v>
      </x:c>
      <x:c r="H35" s="2696">
        <x:v>0</x:v>
      </x:c>
      <x:c r="I35" s="2694">
        <x:v>60</x:v>
      </x:c>
      <x:c r="J35" s="2695">
        <x:v>50</x:v>
      </x:c>
      <x:c r="K35" s="2696">
        <x:v>0</x:v>
      </x:c>
      <x:c r="L35" s="2697" t="s">
        <x:v>700</x:v>
      </x:c>
      <x:c r="M35" s="2697" t="s">
        <x:v>116</x:v>
      </x:c>
      <x:c r="N35" s="2699" t="s">
        <x:v>116</x:v>
      </x:c>
      <x:c r="O35" s="2689"/>
      <x:c r="P35" s="2690" t="b">
        <x:f t="shared" si="3"/>
        <x:v>1</x:v>
      </x:c>
      <x:c r="R35" s="245" t="b">
        <x:f t="shared" si="1"/>
        <x:v>0</x:v>
      </x:c>
      <x:c r="AO35" s="238" t="str">
        <x:f t="shared" si="2"/>
        <x:v>14</x:v>
      </x:c>
      <x:c r="AP35" s="945" t="b">
        <x:v>0</x:v>
      </x:c>
      <x:c r="AQ35" s="1322" t="s">
        <x:v>151</x:v>
      </x:c>
      <x:c r="AR35" s="1323" t="s">
        <x:v>163</x:v>
      </x:c>
      <x:c r="AS35" s="1323" t="s">
        <x:v>145</x:v>
      </x:c>
      <x:c r="AT35" s="1323"/>
      <x:c r="AU35" s="1323">
        <x:v>60</x:v>
      </x:c>
      <x:c r="AV35" s="1323">
        <x:v>25</x:v>
      </x:c>
      <x:c r="AW35" s="1323">
        <x:v>0</x:v>
      </x:c>
      <x:c r="AX35" s="1323">
        <x:v>60</x:v>
      </x:c>
      <x:c r="AY35" s="1323">
        <x:v>50</x:v>
      </x:c>
      <x:c r="AZ35" s="1323">
        <x:v>0</x:v>
      </x:c>
      <x:c r="BA35" s="1532" t="s">
        <x:v>700</x:v>
      </x:c>
      <x:c r="BB35" s="1532" t="s">
        <x:v>116</x:v>
      </x:c>
      <x:c r="BC35" s="1533" t="s">
        <x:v>116</x:v>
      </x:c>
      <x:c r="BE35" s="1041" t="s">
        <x:v>1532</x:v>
      </x:c>
    </x:row>
    <x:row r="36" spans="1:57" ht="14.1" customHeight="1" x14ac:dyDescent="0.2">
      <x:c r="A36" s="2691" t="s">
        <x:v>1528</x:v>
      </x:c>
      <x:c r="B36" s="2692" t="s">
        <x:v>151</x:v>
      </x:c>
      <x:c r="C36" s="2692" t="s">
        <x:v>163</x:v>
      </x:c>
      <x:c r="D36" s="2692" t="s">
        <x:v>145</x:v>
      </x:c>
      <x:c r="E36" s="2693"/>
      <x:c r="F36" s="2694">
        <x:v>238</x:v>
      </x:c>
      <x:c r="G36" s="2695">
        <x:v>0</x:v>
      </x:c>
      <x:c r="H36" s="2696">
        <x:v>0</x:v>
      </x:c>
      <x:c r="I36" s="2694">
        <x:v>238</x:v>
      </x:c>
      <x:c r="J36" s="2695">
        <x:v>25</x:v>
      </x:c>
      <x:c r="K36" s="2696">
        <x:v>0</x:v>
      </x:c>
      <x:c r="L36" s="2697" t="s">
        <x:v>700</x:v>
      </x:c>
      <x:c r="M36" s="2697" t="s">
        <x:v>116</x:v>
      </x:c>
      <x:c r="N36" s="2699" t="s">
        <x:v>1522</x:v>
      </x:c>
      <x:c r="O36" s="2689"/>
      <x:c r="P36" s="2690" t="b">
        <x:f t="shared" si="3"/>
        <x:v>1</x:v>
      </x:c>
      <x:c r="R36" s="245" t="b">
        <x:f t="shared" si="1"/>
        <x:v>0</x:v>
      </x:c>
      <x:c r="AO36" s="238" t="str">
        <x:f t="shared" si="2"/>
        <x:v>15</x:v>
      </x:c>
      <x:c r="AP36" s="945" t="b">
        <x:v>0</x:v>
      </x:c>
      <x:c r="AQ36" s="1322" t="s">
        <x:v>151</x:v>
      </x:c>
      <x:c r="AR36" s="1323" t="s">
        <x:v>163</x:v>
      </x:c>
      <x:c r="AS36" s="1323" t="s">
        <x:v>145</x:v>
      </x:c>
      <x:c r="AT36" s="1323"/>
      <x:c r="AU36" s="1323">
        <x:v>238</x:v>
      </x:c>
      <x:c r="AV36" s="1323">
        <x:v>0</x:v>
      </x:c>
      <x:c r="AW36" s="1323">
        <x:v>0</x:v>
      </x:c>
      <x:c r="AX36" s="1323">
        <x:v>238</x:v>
      </x:c>
      <x:c r="AY36" s="1323">
        <x:v>25</x:v>
      </x:c>
      <x:c r="AZ36" s="1323">
        <x:v>0</x:v>
      </x:c>
      <x:c r="BA36" s="1532" t="s">
        <x:v>700</x:v>
      </x:c>
      <x:c r="BB36" s="1532" t="s">
        <x:v>116</x:v>
      </x:c>
      <x:c r="BC36" s="1533" t="s">
        <x:v>1522</x:v>
      </x:c>
      <x:c r="BD36" s="245">
        <x:v>2</x:v>
      </x:c>
      <x:c r="BE36" s="1041" t="s">
        <x:v>1533</x:v>
      </x:c>
    </x:row>
    <x:row r="37" spans="1:57" ht="14.1" customHeight="1" x14ac:dyDescent="0.2">
      <x:c r="A37" s="2691"/>
      <x:c r="B37" s="2692" t="s">
        <x:v>151</x:v>
      </x:c>
      <x:c r="C37" s="2692" t="s">
        <x:v>163</x:v>
      </x:c>
      <x:c r="D37" s="2692" t="s">
        <x:v>145</x:v>
      </x:c>
      <x:c r="E37" s="2693"/>
      <x:c r="F37" s="2694">
        <x:v>4</x:v>
      </x:c>
      <x:c r="G37" s="2695">
        <x:v>25</x:v>
      </x:c>
      <x:c r="H37" s="2696">
        <x:v>0</x:v>
      </x:c>
      <x:c r="I37" s="2694">
        <x:v>4</x:v>
      </x:c>
      <x:c r="J37" s="2695">
        <x:v>50</x:v>
      </x:c>
      <x:c r="K37" s="2696">
        <x:v>0</x:v>
      </x:c>
      <x:c r="L37" s="2697" t="s">
        <x:v>700</x:v>
      </x:c>
      <x:c r="M37" s="2697" t="s">
        <x:v>116</x:v>
      </x:c>
      <x:c r="N37" s="2699" t="s">
        <x:v>116</x:v>
      </x:c>
      <x:c r="O37" s="2689"/>
      <x:c r="P37" s="2690" t="b">
        <x:f t="shared" si="3"/>
        <x:v>1</x:v>
      </x:c>
      <x:c r="R37" s="245" t="b">
        <x:f t="shared" si="1"/>
        <x:v>0</x:v>
      </x:c>
      <x:c r="AO37" s="238" t="str">
        <x:f t="shared" si="2"/>
        <x:v>15</x:v>
      </x:c>
      <x:c r="AP37" s="945" t="b">
        <x:v>0</x:v>
      </x:c>
      <x:c r="AQ37" s="1322" t="s">
        <x:v>151</x:v>
      </x:c>
      <x:c r="AR37" s="1323" t="s">
        <x:v>163</x:v>
      </x:c>
      <x:c r="AS37" s="1323" t="s">
        <x:v>145</x:v>
      </x:c>
      <x:c r="AT37" s="1323"/>
      <x:c r="AU37" s="1323">
        <x:v>4</x:v>
      </x:c>
      <x:c r="AV37" s="1323">
        <x:v>25</x:v>
      </x:c>
      <x:c r="AW37" s="1323">
        <x:v>0</x:v>
      </x:c>
      <x:c r="AX37" s="1323">
        <x:v>4</x:v>
      </x:c>
      <x:c r="AY37" s="1323">
        <x:v>50</x:v>
      </x:c>
      <x:c r="AZ37" s="1323">
        <x:v>0</x:v>
      </x:c>
      <x:c r="BA37" s="1532" t="s">
        <x:v>700</x:v>
      </x:c>
      <x:c r="BB37" s="1532" t="s">
        <x:v>116</x:v>
      </x:c>
      <x:c r="BC37" s="1533" t="s">
        <x:v>116</x:v>
      </x:c>
      <x:c r="BE37" s="1041" t="s">
        <x:v>1562</x:v>
      </x:c>
    </x:row>
    <x:row r="38" spans="1:57" ht="14.1" customHeight="1" x14ac:dyDescent="0.2">
      <x:c r="A38" s="2691" t="s">
        <x:v>1529</x:v>
      </x:c>
      <x:c r="B38" s="2692" t="s">
        <x:v>151</x:v>
      </x:c>
      <x:c r="C38" s="2692" t="s">
        <x:v>163</x:v>
      </x:c>
      <x:c r="D38" s="2692" t="s">
        <x:v>145</x:v>
      </x:c>
      <x:c r="E38" s="2693"/>
      <x:c r="F38" s="2694">
        <x:v>134</x:v>
      </x:c>
      <x:c r="G38" s="2695">
        <x:v>0</x:v>
      </x:c>
      <x:c r="H38" s="2696">
        <x:v>0</x:v>
      </x:c>
      <x:c r="I38" s="2694">
        <x:v>134</x:v>
      </x:c>
      <x:c r="J38" s="2695">
        <x:v>25</x:v>
      </x:c>
      <x:c r="K38" s="2696">
        <x:v>0</x:v>
      </x:c>
      <x:c r="L38" s="2697" t="s">
        <x:v>700</x:v>
      </x:c>
      <x:c r="M38" s="2697" t="s">
        <x:v>116</x:v>
      </x:c>
      <x:c r="N38" s="2699" t="s">
        <x:v>1522</x:v>
      </x:c>
      <x:c r="O38" s="2689"/>
      <x:c r="P38" s="2690" t="b">
        <x:f t="shared" si="3"/>
        <x:v>1</x:v>
      </x:c>
      <x:c r="R38" s="245" t="b">
        <x:f t="shared" si="1"/>
        <x:v>0</x:v>
      </x:c>
      <x:c r="AO38" s="238" t="str">
        <x:f t="shared" si="2"/>
        <x:v>16</x:v>
      </x:c>
      <x:c r="AP38" s="945" t="b">
        <x:v>0</x:v>
      </x:c>
      <x:c r="AQ38" s="1322" t="s">
        <x:v>151</x:v>
      </x:c>
      <x:c r="AR38" s="1323" t="s">
        <x:v>163</x:v>
      </x:c>
      <x:c r="AS38" s="1323" t="s">
        <x:v>145</x:v>
      </x:c>
      <x:c r="AT38" s="1323"/>
      <x:c r="AU38" s="1323">
        <x:v>134</x:v>
      </x:c>
      <x:c r="AV38" s="1323">
        <x:v>0</x:v>
      </x:c>
      <x:c r="AW38" s="1323">
        <x:v>0</x:v>
      </x:c>
      <x:c r="AX38" s="1323">
        <x:v>134</x:v>
      </x:c>
      <x:c r="AY38" s="1323">
        <x:v>25</x:v>
      </x:c>
      <x:c r="AZ38" s="1323">
        <x:v>0</x:v>
      </x:c>
      <x:c r="BA38" s="1532" t="s">
        <x:v>700</x:v>
      </x:c>
      <x:c r="BB38" s="1532" t="s">
        <x:v>116</x:v>
      </x:c>
      <x:c r="BC38" s="1533" t="s">
        <x:v>1522</x:v>
      </x:c>
      <x:c r="BD38" s="245">
        <x:v>1</x:v>
      </x:c>
      <x:c r="BE38" s="1041" t="s">
        <x:v>1549</x:v>
      </x:c>
    </x:row>
    <x:row r="39" spans="1:57" ht="14.1" customHeight="1" x14ac:dyDescent="0.2">
      <x:c r="A39" s="2691" t="s">
        <x:v>1530</x:v>
      </x:c>
      <x:c r="B39" s="2692" t="s">
        <x:v>151</x:v>
      </x:c>
      <x:c r="C39" s="2692" t="s">
        <x:v>163</x:v>
      </x:c>
      <x:c r="D39" s="2692" t="s">
        <x:v>145</x:v>
      </x:c>
      <x:c r="E39" s="2693"/>
      <x:c r="F39" s="2694">
        <x:v>35</x:v>
      </x:c>
      <x:c r="G39" s="2695">
        <x:v>0</x:v>
      </x:c>
      <x:c r="H39" s="2696">
        <x:v>0</x:v>
      </x:c>
      <x:c r="I39" s="2694">
        <x:v>35</x:v>
      </x:c>
      <x:c r="J39" s="2695">
        <x:v>25</x:v>
      </x:c>
      <x:c r="K39" s="2696">
        <x:v>0</x:v>
      </x:c>
      <x:c r="L39" s="2697" t="s">
        <x:v>700</x:v>
      </x:c>
      <x:c r="M39" s="2697" t="s">
        <x:v>116</x:v>
      </x:c>
      <x:c r="N39" s="2699" t="s">
        <x:v>1522</x:v>
      </x:c>
      <x:c r="O39" s="2689"/>
      <x:c r="P39" s="2690" t="b">
        <x:f t="shared" si="3"/>
        <x:v>1</x:v>
      </x:c>
      <x:c r="R39" s="245" t="b">
        <x:f t="shared" si="1"/>
        <x:v>0</x:v>
      </x:c>
      <x:c r="AO39" s="238" t="str">
        <x:f t="shared" si="2"/>
        <x:v>17</x:v>
      </x:c>
      <x:c r="AP39" s="945" t="b">
        <x:v>0</x:v>
      </x:c>
      <x:c r="AQ39" s="1322" t="s">
        <x:v>151</x:v>
      </x:c>
      <x:c r="AR39" s="1323" t="s">
        <x:v>163</x:v>
      </x:c>
      <x:c r="AS39" s="1323" t="s">
        <x:v>145</x:v>
      </x:c>
      <x:c r="AT39" s="1323"/>
      <x:c r="AU39" s="1323">
        <x:v>35</x:v>
      </x:c>
      <x:c r="AV39" s="1323">
        <x:v>0</x:v>
      </x:c>
      <x:c r="AW39" s="1323">
        <x:v>0</x:v>
      </x:c>
      <x:c r="AX39" s="1323">
        <x:v>35</x:v>
      </x:c>
      <x:c r="AY39" s="1323">
        <x:v>25</x:v>
      </x:c>
      <x:c r="AZ39" s="1323">
        <x:v>0</x:v>
      </x:c>
      <x:c r="BA39" s="1532" t="s">
        <x:v>700</x:v>
      </x:c>
      <x:c r="BB39" s="1532" t="s">
        <x:v>116</x:v>
      </x:c>
      <x:c r="BC39" s="1533" t="s">
        <x:v>1522</x:v>
      </x:c>
      <x:c r="BD39" s="245">
        <x:v>1</x:v>
      </x:c>
      <x:c r="BE39" s="1041" t="s">
        <x:v>1550</x:v>
      </x:c>
    </x:row>
    <x:row r="40" spans="1:57" ht="14.1" customHeight="1" x14ac:dyDescent="0.2">
      <x:c r="A40" s="2691" t="s">
        <x:v>1531</x:v>
      </x:c>
      <x:c r="B40" s="2692" t="s">
        <x:v>151</x:v>
      </x:c>
      <x:c r="C40" s="2692" t="s">
        <x:v>163</x:v>
      </x:c>
      <x:c r="D40" s="2692" t="s">
        <x:v>145</x:v>
      </x:c>
      <x:c r="E40" s="2693"/>
      <x:c r="F40" s="2694">
        <x:v>154</x:v>
      </x:c>
      <x:c r="G40" s="2695"/>
      <x:c r="H40" s="2696"/>
      <x:c r="I40" s="2694"/>
      <x:c r="J40" s="2695"/>
      <x:c r="K40" s="2696"/>
      <x:c r="L40" s="2697" t="s">
        <x:v>116</x:v>
      </x:c>
      <x:c r="M40" s="2697" t="s">
        <x:v>116</x:v>
      </x:c>
      <x:c r="N40" s="2699" t="s">
        <x:v>1522</x:v>
      </x:c>
      <x:c r="O40" s="2689"/>
      <x:c r="P40" s="2690" t="b">
        <x:f t="shared" si="3"/>
        <x:v>1</x:v>
      </x:c>
      <x:c r="R40" s="245" t="b">
        <x:f t="shared" si="1"/>
        <x:v>0</x:v>
      </x:c>
      <x:c r="AO40" s="238" t="str">
        <x:f t="shared" si="2"/>
        <x:v>18</x:v>
      </x:c>
      <x:c r="AP40" s="945" t="b">
        <x:v>0</x:v>
      </x:c>
      <x:c r="AQ40" s="1322" t="s">
        <x:v>151</x:v>
      </x:c>
      <x:c r="AR40" s="1323" t="s">
        <x:v>163</x:v>
      </x:c>
      <x:c r="AS40" s="1323" t="s">
        <x:v>145</x:v>
      </x:c>
      <x:c r="AT40" s="1323"/>
      <x:c r="AU40" s="1323">
        <x:v>154</x:v>
      </x:c>
      <x:c r="AV40" s="1323"/>
      <x:c r="AW40" s="1323"/>
      <x:c r="AX40" s="1323"/>
      <x:c r="AY40" s="1323"/>
      <x:c r="AZ40" s="1323"/>
      <x:c r="BA40" s="1532" t="s">
        <x:v>116</x:v>
      </x:c>
      <x:c r="BB40" s="1532" t="s">
        <x:v>116</x:v>
      </x:c>
      <x:c r="BC40" s="1533" t="s">
        <x:v>1522</x:v>
      </x:c>
      <x:c r="BD40" s="245">
        <x:v>1</x:v>
      </x:c>
      <x:c r="BE40" s="1041" t="s">
        <x:v>1535</x:v>
      </x:c>
    </x:row>
    <x:row r="41" spans="1:57" ht="14.1" customHeight="1" x14ac:dyDescent="0.2">
      <x:c r="A41" s="2691" t="s">
        <x:v>1532</x:v>
      </x:c>
      <x:c r="B41" s="2692" t="s">
        <x:v>151</x:v>
      </x:c>
      <x:c r="C41" s="2692" t="s">
        <x:v>163</x:v>
      </x:c>
      <x:c r="D41" s="2692" t="s">
        <x:v>145</x:v>
      </x:c>
      <x:c r="E41" s="2693"/>
      <x:c r="F41" s="2694">
        <x:v>60</x:v>
      </x:c>
      <x:c r="G41" s="2695"/>
      <x:c r="H41" s="2696"/>
      <x:c r="I41" s="2694"/>
      <x:c r="J41" s="2695"/>
      <x:c r="K41" s="2696"/>
      <x:c r="L41" s="2697" t="s">
        <x:v>116</x:v>
      </x:c>
      <x:c r="M41" s="2697" t="s">
        <x:v>116</x:v>
      </x:c>
      <x:c r="N41" s="2699" t="s">
        <x:v>1522</x:v>
      </x:c>
      <x:c r="O41" s="2689"/>
      <x:c r="P41" s="2690" t="b">
        <x:f t="shared" si="3"/>
        <x:v>1</x:v>
      </x:c>
      <x:c r="R41" s="245" t="b">
        <x:f t="shared" si="1"/>
        <x:v>0</x:v>
      </x:c>
      <x:c r="AO41" s="238" t="str">
        <x:f t="shared" si="2"/>
        <x:v>19</x:v>
      </x:c>
      <x:c r="AP41" s="945" t="b">
        <x:v>0</x:v>
      </x:c>
      <x:c r="AQ41" s="1322" t="s">
        <x:v>151</x:v>
      </x:c>
      <x:c r="AR41" s="1323" t="s">
        <x:v>163</x:v>
      </x:c>
      <x:c r="AS41" s="1323" t="s">
        <x:v>145</x:v>
      </x:c>
      <x:c r="AT41" s="1323"/>
      <x:c r="AU41" s="1323">
        <x:v>60</x:v>
      </x:c>
      <x:c r="AV41" s="1323"/>
      <x:c r="AW41" s="1323"/>
      <x:c r="AX41" s="1323"/>
      <x:c r="AY41" s="1323"/>
      <x:c r="AZ41" s="1323"/>
      <x:c r="BA41" s="1532" t="s">
        <x:v>116</x:v>
      </x:c>
      <x:c r="BB41" s="1532" t="s">
        <x:v>116</x:v>
      </x:c>
      <x:c r="BC41" s="1533" t="s">
        <x:v>1522</x:v>
      </x:c>
      <x:c r="BD41" s="245">
        <x:v>1</x:v>
      </x:c>
      <x:c r="BE41" s="1041" t="s">
        <x:v>1563</x:v>
      </x:c>
    </x:row>
    <x:row r="42" spans="1:57" ht="14.1" customHeight="1" x14ac:dyDescent="0.2">
      <x:c r="A42" s="2691" t="s">
        <x:v>1533</x:v>
      </x:c>
      <x:c r="B42" s="2692" t="s">
        <x:v>151</x:v>
      </x:c>
      <x:c r="C42" s="2692" t="s">
        <x:v>163</x:v>
      </x:c>
      <x:c r="D42" s="2692" t="s">
        <x:v>145</x:v>
      </x:c>
      <x:c r="E42" s="2693"/>
      <x:c r="F42" s="2694">
        <x:v>4</x:v>
      </x:c>
      <x:c r="G42" s="2695"/>
      <x:c r="H42" s="2696"/>
      <x:c r="I42" s="2694"/>
      <x:c r="J42" s="2695"/>
      <x:c r="K42" s="2696"/>
      <x:c r="L42" s="2697" t="s">
        <x:v>116</x:v>
      </x:c>
      <x:c r="M42" s="2697" t="s">
        <x:v>116</x:v>
      </x:c>
      <x:c r="N42" s="2699" t="s">
        <x:v>1522</x:v>
      </x:c>
      <x:c r="O42" s="2689"/>
      <x:c r="P42" s="2690" t="b">
        <x:f t="shared" si="3"/>
        <x:v>1</x:v>
      </x:c>
      <x:c r="R42" s="245" t="b">
        <x:f t="shared" si="1"/>
        <x:v>0</x:v>
      </x:c>
      <x:c r="AO42" s="238" t="str">
        <x:f t="shared" si="2"/>
        <x:v>20</x:v>
      </x:c>
      <x:c r="AP42" s="945" t="b">
        <x:v>0</x:v>
      </x:c>
      <x:c r="AQ42" s="1322" t="s">
        <x:v>151</x:v>
      </x:c>
      <x:c r="AR42" s="1323" t="s">
        <x:v>163</x:v>
      </x:c>
      <x:c r="AS42" s="1323" t="s">
        <x:v>145</x:v>
      </x:c>
      <x:c r="AT42" s="1323"/>
      <x:c r="AU42" s="1323">
        <x:v>4</x:v>
      </x:c>
      <x:c r="AV42" s="1323"/>
      <x:c r="AW42" s="1323"/>
      <x:c r="AX42" s="1323"/>
      <x:c r="AY42" s="1323"/>
      <x:c r="AZ42" s="1323"/>
      <x:c r="BA42" s="1532" t="s">
        <x:v>116</x:v>
      </x:c>
      <x:c r="BB42" s="1532" t="s">
        <x:v>116</x:v>
      </x:c>
      <x:c r="BC42" s="1533" t="s">
        <x:v>1522</x:v>
      </x:c>
      <x:c r="BD42" s="245">
        <x:v>1</x:v>
      </x:c>
    </x:row>
    <x:row r="43" spans="1:57" ht="14.1" customHeight="1" x14ac:dyDescent="0.2">
      <x:c r="A43" s="2691" t="s">
        <x:v>1534</x:v>
      </x:c>
      <x:c r="B43" s="2692" t="s">
        <x:v>151</x:v>
      </x:c>
      <x:c r="C43" s="2692" t="s">
        <x:v>163</x:v>
      </x:c>
      <x:c r="D43" s="2692" t="s">
        <x:v>145</x:v>
      </x:c>
      <x:c r="E43" s="2693"/>
      <x:c r="F43" s="2694">
        <x:v>249</x:v>
      </x:c>
      <x:c r="G43" s="2695">
        <x:v>0</x:v>
      </x:c>
      <x:c r="H43" s="2696">
        <x:v>0</x:v>
      </x:c>
      <x:c r="I43" s="2694">
        <x:v>0</x:v>
      </x:c>
      <x:c r="J43" s="2695">
        <x:v>16</x:v>
      </x:c>
      <x:c r="K43" s="2696">
        <x:v>4</x:v>
      </x:c>
      <x:c r="L43" s="2697" t="s">
        <x:v>702</x:v>
      </x:c>
      <x:c r="M43" s="2697" t="s">
        <x:v>116</x:v>
      </x:c>
      <x:c r="N43" s="2699" t="s">
        <x:v>1522</x:v>
      </x:c>
      <x:c r="O43" s="2689"/>
      <x:c r="P43" s="2690" t="b">
        <x:f t="shared" si="3"/>
        <x:v>1</x:v>
      </x:c>
      <x:c r="R43" s="245" t="b">
        <x:f t="shared" si="1"/>
        <x:v>0</x:v>
      </x:c>
      <x:c r="AO43" s="238" t="str">
        <x:f t="shared" si="2"/>
        <x:v>21</x:v>
      </x:c>
      <x:c r="AP43" s="945" t="b">
        <x:v>0</x:v>
      </x:c>
      <x:c r="AQ43" s="1322" t="s">
        <x:v>151</x:v>
      </x:c>
      <x:c r="AR43" s="1323" t="s">
        <x:v>163</x:v>
      </x:c>
      <x:c r="AS43" s="1323" t="s">
        <x:v>145</x:v>
      </x:c>
      <x:c r="AT43" s="1323"/>
      <x:c r="AU43" s="1323">
        <x:v>249</x:v>
      </x:c>
      <x:c r="AV43" s="1323">
        <x:v>0</x:v>
      </x:c>
      <x:c r="AW43" s="1323">
        <x:v>0</x:v>
      </x:c>
      <x:c r="AX43" s="1323">
        <x:v>0</x:v>
      </x:c>
      <x:c r="AY43" s="1323">
        <x:v>16</x:v>
      </x:c>
      <x:c r="AZ43" s="1323">
        <x:v>4</x:v>
      </x:c>
      <x:c r="BA43" s="1532" t="s">
        <x:v>702</x:v>
      </x:c>
      <x:c r="BB43" s="1532" t="s">
        <x:v>116</x:v>
      </x:c>
      <x:c r="BC43" s="1533" t="s">
        <x:v>1522</x:v>
      </x:c>
      <x:c r="BD43" s="245">
        <x:v>1</x:v>
      </x:c>
    </x:row>
    <x:row r="44" spans="1:57" ht="14.1" customHeight="1" x14ac:dyDescent="0.2">
      <x:c r="A44" s="2691" t="s">
        <x:v>1535</x:v>
      </x:c>
      <x:c r="B44" s="2692" t="s">
        <x:v>151</x:v>
      </x:c>
      <x:c r="C44" s="2692" t="s">
        <x:v>163</x:v>
      </x:c>
      <x:c r="D44" s="2692" t="s">
        <x:v>145</x:v>
      </x:c>
      <x:c r="E44" s="2693"/>
      <x:c r="F44" s="2694">
        <x:v>424</x:v>
      </x:c>
      <x:c r="G44" s="2695">
        <x:v>0</x:v>
      </x:c>
      <x:c r="H44" s="2696">
        <x:v>0</x:v>
      </x:c>
      <x:c r="I44" s="2694">
        <x:v>0</x:v>
      </x:c>
      <x:c r="J44" s="2695">
        <x:v>20</x:v>
      </x:c>
      <x:c r="K44" s="2696">
        <x:v>9</x:v>
      </x:c>
      <x:c r="L44" s="2697" t="s">
        <x:v>702</x:v>
      </x:c>
      <x:c r="M44" s="2697" t="s">
        <x:v>116</x:v>
      </x:c>
      <x:c r="N44" s="2699" t="s">
        <x:v>1522</x:v>
      </x:c>
      <x:c r="O44" s="2689"/>
      <x:c r="P44" s="2690" t="b">
        <x:f t="shared" si="3"/>
        <x:v>1</x:v>
      </x:c>
      <x:c r="R44" s="245" t="b">
        <x:f t="shared" si="1"/>
        <x:v>0</x:v>
      </x:c>
      <x:c r="AO44" s="238" t="str">
        <x:f t="shared" si="2"/>
        <x:v>22</x:v>
      </x:c>
      <x:c r="AP44" s="945" t="b">
        <x:v>0</x:v>
      </x:c>
      <x:c r="AQ44" s="1322" t="s">
        <x:v>151</x:v>
      </x:c>
      <x:c r="AR44" s="1323" t="s">
        <x:v>163</x:v>
      </x:c>
      <x:c r="AS44" s="1323" t="s">
        <x:v>145</x:v>
      </x:c>
      <x:c r="AT44" s="1323"/>
      <x:c r="AU44" s="1323">
        <x:v>424</x:v>
      </x:c>
      <x:c r="AV44" s="1323">
        <x:v>0</x:v>
      </x:c>
      <x:c r="AW44" s="1323">
        <x:v>0</x:v>
      </x:c>
      <x:c r="AX44" s="1323">
        <x:v>0</x:v>
      </x:c>
      <x:c r="AY44" s="1323">
        <x:v>20</x:v>
      </x:c>
      <x:c r="AZ44" s="1323">
        <x:v>9</x:v>
      </x:c>
      <x:c r="BA44" s="1532" t="s">
        <x:v>702</x:v>
      </x:c>
      <x:c r="BB44" s="1532" t="s">
        <x:v>116</x:v>
      </x:c>
      <x:c r="BC44" s="1533" t="s">
        <x:v>1522</x:v>
      </x:c>
      <x:c r="BD44" s="245">
        <x:v>1</x:v>
      </x:c>
    </x:row>
    <x:row r="45" spans="1:57" ht="14.1" customHeight="1" x14ac:dyDescent="0.2">
      <x:c r="A45" s="2691" t="s">
        <x:v>1536</x:v>
      </x:c>
      <x:c r="B45" s="2692" t="s">
        <x:v>148</x:v>
      </x:c>
      <x:c r="C45" s="2692" t="s">
        <x:v>163</x:v>
      </x:c>
      <x:c r="D45" s="2692" t="s">
        <x:v>145</x:v>
      </x:c>
      <x:c r="E45" s="2693"/>
      <x:c r="F45" s="2694">
        <x:v>20100</x:v>
      </x:c>
      <x:c r="G45" s="2695">
        <x:v>6</x:v>
      </x:c>
      <x:c r="H45" s="2696">
        <x:v>3.125</x:v>
      </x:c>
      <x:c r="I45" s="2694">
        <x:v>15400</x:v>
      </x:c>
      <x:c r="J45" s="2695">
        <x:v>12</x:v>
      </x:c>
      <x:c r="K45" s="2696">
        <x:v>5.875</x:v>
      </x:c>
      <x:c r="L45" s="2697" t="s">
        <x:v>702</x:v>
      </x:c>
      <x:c r="M45" s="2697" t="s">
        <x:v>116</x:v>
      </x:c>
      <x:c r="N45" s="2699" t="s">
        <x:v>1537</x:v>
      </x:c>
      <x:c r="O45" s="2689"/>
      <x:c r="P45" s="2690" t="b">
        <x:f t="shared" si="3"/>
        <x:v>1</x:v>
      </x:c>
      <x:c r="R45" s="245" t="b">
        <x:f t="shared" si="1"/>
        <x:v>0</x:v>
      </x:c>
      <x:c r="AO45" s="238" t="str">
        <x:f t="shared" si="2"/>
        <x:v>23</x:v>
      </x:c>
      <x:c r="AP45" s="945" t="b">
        <x:v>0</x:v>
      </x:c>
      <x:c r="AQ45" s="1322" t="s">
        <x:v>148</x:v>
      </x:c>
      <x:c r="AR45" s="1323" t="s">
        <x:v>163</x:v>
      </x:c>
      <x:c r="AS45" s="1323" t="s">
        <x:v>145</x:v>
      </x:c>
      <x:c r="AT45" s="1323"/>
      <x:c r="AU45" s="1323">
        <x:v>20100</x:v>
      </x:c>
      <x:c r="AV45" s="1323">
        <x:v>6</x:v>
      </x:c>
      <x:c r="AW45" s="1323">
        <x:v>3.125</x:v>
      </x:c>
      <x:c r="AX45" s="1323">
        <x:v>15400</x:v>
      </x:c>
      <x:c r="AY45" s="1323">
        <x:v>12</x:v>
      </x:c>
      <x:c r="AZ45" s="1323">
        <x:v>5.875</x:v>
      </x:c>
      <x:c r="BA45" s="1532" t="s">
        <x:v>702</x:v>
      </x:c>
      <x:c r="BB45" s="1532" t="s">
        <x:v>116</x:v>
      </x:c>
      <x:c r="BC45" s="1533" t="s">
        <x:v>1537</x:v>
      </x:c>
      <x:c r="BD45" s="245">
        <x:v>3</x:v>
      </x:c>
    </x:row>
    <x:row r="46" spans="1:57" ht="14.1" customHeight="1" x14ac:dyDescent="0.2">
      <x:c r="A46" s="2691"/>
      <x:c r="B46" s="2692" t="s">
        <x:v>148</x:v>
      </x:c>
      <x:c r="C46" s="2692" t="s">
        <x:v>163</x:v>
      </x:c>
      <x:c r="D46" s="2692" t="s">
        <x:v>145</x:v>
      </x:c>
      <x:c r="E46" s="2693"/>
      <x:c r="F46" s="2694">
        <x:v>10800</x:v>
      </x:c>
      <x:c r="G46" s="2695">
        <x:v>18</x:v>
      </x:c>
      <x:c r="H46" s="2696">
        <x:v>8.625</x:v>
      </x:c>
      <x:c r="I46" s="2694">
        <x:v>6100</x:v>
      </x:c>
      <x:c r="J46" s="2695">
        <x:v>24</x:v>
      </x:c>
      <x:c r="K46" s="2696">
        <x:v>11.375</x:v>
      </x:c>
      <x:c r="L46" s="2697" t="s">
        <x:v>702</x:v>
      </x:c>
      <x:c r="M46" s="2697" t="s">
        <x:v>116</x:v>
      </x:c>
      <x:c r="N46" s="2699" t="s">
        <x:v>116</x:v>
      </x:c>
      <x:c r="O46" s="2689"/>
      <x:c r="P46" s="2690" t="b">
        <x:f t="shared" si="3"/>
        <x:v>1</x:v>
      </x:c>
      <x:c r="R46" s="245" t="b">
        <x:f t="shared" si="1"/>
        <x:v>0</x:v>
      </x:c>
      <x:c r="AO46" s="238" t="str">
        <x:f t="shared" si="2"/>
        <x:v>23</x:v>
      </x:c>
      <x:c r="AP46" s="945" t="b">
        <x:v>0</x:v>
      </x:c>
      <x:c r="AQ46" s="1322" t="s">
        <x:v>148</x:v>
      </x:c>
      <x:c r="AR46" s="1323" t="s">
        <x:v>163</x:v>
      </x:c>
      <x:c r="AS46" s="1323" t="s">
        <x:v>145</x:v>
      </x:c>
      <x:c r="AT46" s="1323"/>
      <x:c r="AU46" s="1323">
        <x:v>10800</x:v>
      </x:c>
      <x:c r="AV46" s="1323">
        <x:v>18</x:v>
      </x:c>
      <x:c r="AW46" s="1323">
        <x:v>8.625</x:v>
      </x:c>
      <x:c r="AX46" s="1323">
        <x:v>6100</x:v>
      </x:c>
      <x:c r="AY46" s="1323">
        <x:v>24</x:v>
      </x:c>
      <x:c r="AZ46" s="1323">
        <x:v>11.375</x:v>
      </x:c>
      <x:c r="BA46" s="1532" t="s">
        <x:v>702</x:v>
      </x:c>
      <x:c r="BB46" s="1532" t="s">
        <x:v>116</x:v>
      </x:c>
      <x:c r="BC46" s="1533" t="s">
        <x:v>116</x:v>
      </x:c>
    </x:row>
    <x:row r="47" spans="1:57" ht="14.1" customHeight="1" x14ac:dyDescent="0.2">
      <x:c r="A47" s="2691"/>
      <x:c r="B47" s="2692" t="s">
        <x:v>148</x:v>
      </x:c>
      <x:c r="C47" s="2692" t="s">
        <x:v>163</x:v>
      </x:c>
      <x:c r="D47" s="2692" t="s">
        <x:v>145</x:v>
      </x:c>
      <x:c r="E47" s="2693"/>
      <x:c r="F47" s="2694">
        <x:v>1575</x:v>
      </x:c>
      <x:c r="G47" s="2695">
        <x:v>31</x:v>
      </x:c>
      <x:c r="H47" s="2696">
        <x:v>2.125</x:v>
      </x:c>
      <x:c r="I47" s="2694"/>
      <x:c r="J47" s="2695"/>
      <x:c r="K47" s="2696"/>
      <x:c r="L47" s="2697" t="s">
        <x:v>702</x:v>
      </x:c>
      <x:c r="M47" s="2697" t="s">
        <x:v>116</x:v>
      </x:c>
      <x:c r="N47" s="2699" t="s">
        <x:v>116</x:v>
      </x:c>
      <x:c r="O47" s="2689"/>
      <x:c r="P47" s="2690" t="b">
        <x:f t="shared" si="3"/>
        <x:v>1</x:v>
      </x:c>
      <x:c r="R47" s="245" t="b">
        <x:f t="shared" si="1"/>
        <x:v>0</x:v>
      </x:c>
      <x:c r="AO47" s="238" t="str">
        <x:f t="shared" si="2"/>
        <x:v>23</x:v>
      </x:c>
      <x:c r="AP47" s="945" t="b">
        <x:v>0</x:v>
      </x:c>
      <x:c r="AQ47" s="1322" t="s">
        <x:v>148</x:v>
      </x:c>
      <x:c r="AR47" s="1323" t="s">
        <x:v>163</x:v>
      </x:c>
      <x:c r="AS47" s="1323" t="s">
        <x:v>145</x:v>
      </x:c>
      <x:c r="AT47" s="1323"/>
      <x:c r="AU47" s="1323">
        <x:v>1575</x:v>
      </x:c>
      <x:c r="AV47" s="1323">
        <x:v>31</x:v>
      </x:c>
      <x:c r="AW47" s="1323">
        <x:v>2.125</x:v>
      </x:c>
      <x:c r="AX47" s="1323"/>
      <x:c r="AY47" s="1323"/>
      <x:c r="AZ47" s="1323"/>
      <x:c r="BA47" s="1532" t="s">
        <x:v>702</x:v>
      </x:c>
      <x:c r="BB47" s="1532" t="s">
        <x:v>116</x:v>
      </x:c>
      <x:c r="BC47" s="1533" t="s">
        <x:v>116</x:v>
      </x:c>
    </x:row>
    <x:row r="48" spans="1:57" ht="14.1" customHeight="1" x14ac:dyDescent="0.2">
      <x:c r="A48" s="2691" t="s">
        <x:v>1538</x:v>
      </x:c>
      <x:c r="B48" s="2692" t="s">
        <x:v>148</x:v>
      </x:c>
      <x:c r="C48" s="2692" t="s">
        <x:v>163</x:v>
      </x:c>
      <x:c r="D48" s="2692" t="s">
        <x:v>145</x:v>
      </x:c>
      <x:c r="E48" s="2693"/>
      <x:c r="F48" s="2694">
        <x:v>7700</x:v>
      </x:c>
      <x:c r="G48" s="2695">
        <x:v>5</x:v>
      </x:c>
      <x:c r="H48" s="2696">
        <x:v>5.375</x:v>
      </x:c>
      <x:c r="I48" s="2694">
        <x:v>3000</x:v>
      </x:c>
      <x:c r="J48" s="2695">
        <x:v>11</x:v>
      </x:c>
      <x:c r="K48" s="2696">
        <x:v>8.125</x:v>
      </x:c>
      <x:c r="L48" s="2697" t="s">
        <x:v>702</x:v>
      </x:c>
      <x:c r="M48" s="2697" t="s">
        <x:v>116</x:v>
      </x:c>
      <x:c r="N48" s="2699" t="s">
        <x:v>1537</x:v>
      </x:c>
      <x:c r="O48" s="2689"/>
      <x:c r="P48" s="2690" t="b">
        <x:f t="shared" si="3"/>
        <x:v>1</x:v>
      </x:c>
      <x:c r="R48" s="245" t="b">
        <x:f t="shared" si="1"/>
        <x:v>0</x:v>
      </x:c>
      <x:c r="AO48" s="238" t="str">
        <x:f t="shared" si="2"/>
        <x:v>24</x:v>
      </x:c>
      <x:c r="AP48" s="945" t="b">
        <x:v>0</x:v>
      </x:c>
      <x:c r="AQ48" s="1322" t="s">
        <x:v>148</x:v>
      </x:c>
      <x:c r="AR48" s="1323" t="s">
        <x:v>163</x:v>
      </x:c>
      <x:c r="AS48" s="1323" t="s">
        <x:v>145</x:v>
      </x:c>
      <x:c r="AT48" s="1323"/>
      <x:c r="AU48" s="1323">
        <x:v>7700</x:v>
      </x:c>
      <x:c r="AV48" s="1323">
        <x:v>5</x:v>
      </x:c>
      <x:c r="AW48" s="1323">
        <x:v>5.375</x:v>
      </x:c>
      <x:c r="AX48" s="1323">
        <x:v>3000</x:v>
      </x:c>
      <x:c r="AY48" s="1323">
        <x:v>11</x:v>
      </x:c>
      <x:c r="AZ48" s="1323">
        <x:v>8.125</x:v>
      </x:c>
      <x:c r="BA48" s="1532" t="s">
        <x:v>702</x:v>
      </x:c>
      <x:c r="BB48" s="1532" t="s">
        <x:v>116</x:v>
      </x:c>
      <x:c r="BC48" s="1533" t="s">
        <x:v>1537</x:v>
      </x:c>
      <x:c r="BD48" s="245">
        <x:v>2</x:v>
      </x:c>
    </x:row>
    <x:row r="49" spans="1:56" ht="14.1" customHeight="1" x14ac:dyDescent="0.2">
      <x:c r="A49" s="2691"/>
      <x:c r="B49" s="2692" t="s">
        <x:v>148</x:v>
      </x:c>
      <x:c r="C49" s="2692" t="s">
        <x:v>163</x:v>
      </x:c>
      <x:c r="D49" s="2692" t="s">
        <x:v>145</x:v>
      </x:c>
      <x:c r="E49" s="2693"/>
      <x:c r="F49" s="2694">
        <x:v>200</x:v>
      </x:c>
      <x:c r="G49" s="2695">
        <x:v>17</x:v>
      </x:c>
      <x:c r="H49" s="2696">
        <x:v>10.875</x:v>
      </x:c>
      <x:c r="I49" s="2694"/>
      <x:c r="J49" s="2695"/>
      <x:c r="K49" s="2696"/>
      <x:c r="L49" s="2697" t="s">
        <x:v>702</x:v>
      </x:c>
      <x:c r="M49" s="2697" t="s">
        <x:v>116</x:v>
      </x:c>
      <x:c r="N49" s="2699" t="s">
        <x:v>116</x:v>
      </x:c>
      <x:c r="O49" s="2689"/>
      <x:c r="P49" s="2690" t="b">
        <x:f t="shared" si="3"/>
        <x:v>1</x:v>
      </x:c>
      <x:c r="R49" s="245" t="b">
        <x:f t="shared" si="1"/>
        <x:v>0</x:v>
      </x:c>
      <x:c r="AO49" s="238" t="str">
        <x:f t="shared" si="2"/>
        <x:v>24</x:v>
      </x:c>
      <x:c r="AP49" s="945" t="b">
        <x:v>0</x:v>
      </x:c>
      <x:c r="AQ49" s="1322" t="s">
        <x:v>148</x:v>
      </x:c>
      <x:c r="AR49" s="1323" t="s">
        <x:v>163</x:v>
      </x:c>
      <x:c r="AS49" s="1323" t="s">
        <x:v>145</x:v>
      </x:c>
      <x:c r="AT49" s="1323"/>
      <x:c r="AU49" s="1323">
        <x:v>200</x:v>
      </x:c>
      <x:c r="AV49" s="1323">
        <x:v>17</x:v>
      </x:c>
      <x:c r="AW49" s="1323">
        <x:v>10.875</x:v>
      </x:c>
      <x:c r="AX49" s="1323"/>
      <x:c r="AY49" s="1323"/>
      <x:c r="AZ49" s="1323"/>
      <x:c r="BA49" s="1532" t="s">
        <x:v>702</x:v>
      </x:c>
      <x:c r="BB49" s="1532" t="s">
        <x:v>116</x:v>
      </x:c>
      <x:c r="BC49" s="1533" t="s">
        <x:v>116</x:v>
      </x:c>
    </x:row>
    <x:row r="50" spans="1:56" ht="14.1" customHeight="1" x14ac:dyDescent="0.2">
      <x:c r="A50" s="2691" t="s">
        <x:v>1539</x:v>
      </x:c>
      <x:c r="B50" s="2692" t="s">
        <x:v>157</x:v>
      </x:c>
      <x:c r="C50" s="2692" t="s">
        <x:v>167</x:v>
      </x:c>
      <x:c r="D50" s="2692" t="s">
        <x:v>145</x:v>
      </x:c>
      <x:c r="E50" s="2693"/>
      <x:c r="F50" s="2694">
        <x:v>20300</x:v>
      </x:c>
      <x:c r="G50" s="2695"/>
      <x:c r="H50" s="2696"/>
      <x:c r="I50" s="2694"/>
      <x:c r="J50" s="2695"/>
      <x:c r="K50" s="2696"/>
      <x:c r="L50" s="2697" t="s">
        <x:v>116</x:v>
      </x:c>
      <x:c r="M50" s="2697" t="s">
        <x:v>116</x:v>
      </x:c>
      <x:c r="N50" s="2699" t="s">
        <x:v>1540</x:v>
      </x:c>
      <x:c r="O50" s="2689"/>
      <x:c r="P50" s="2690" t="b">
        <x:f t="shared" si="3"/>
        <x:v>1</x:v>
      </x:c>
      <x:c r="R50" s="245" t="b">
        <x:f t="shared" si="1"/>
        <x:v>1</x:v>
      </x:c>
      <x:c r="AO50" s="238" t="str">
        <x:f t="shared" si="2"/>
        <x:v>25</x:v>
      </x:c>
      <x:c r="AP50" s="945" t="b">
        <x:v>0</x:v>
      </x:c>
      <x:c r="AQ50" s="1322" t="s">
        <x:v>157</x:v>
      </x:c>
      <x:c r="AR50" s="1323" t="s">
        <x:v>167</x:v>
      </x:c>
      <x:c r="AS50" s="1323" t="s">
        <x:v>145</x:v>
      </x:c>
      <x:c r="AT50" s="1323"/>
      <x:c r="AU50" s="1323">
        <x:v>20300</x:v>
      </x:c>
      <x:c r="AV50" s="1323"/>
      <x:c r="AW50" s="1323"/>
      <x:c r="AX50" s="1323"/>
      <x:c r="AY50" s="1323"/>
      <x:c r="AZ50" s="1323"/>
      <x:c r="BA50" s="1532" t="s">
        <x:v>116</x:v>
      </x:c>
      <x:c r="BB50" s="1532" t="s">
        <x:v>116</x:v>
      </x:c>
      <x:c r="BC50" s="1533" t="s">
        <x:v>1540</x:v>
      </x:c>
      <x:c r="BD50" s="245">
        <x:v>1</x:v>
      </x:c>
    </x:row>
    <x:row r="51" spans="1:56" ht="14.1" customHeight="1" x14ac:dyDescent="0.2">
      <x:c r="A51" s="2691" t="s">
        <x:v>1541</x:v>
      </x:c>
      <x:c r="B51" s="2692" t="s">
        <x:v>154</x:v>
      </x:c>
      <x:c r="C51" s="2692" t="s">
        <x:v>165</x:v>
      </x:c>
      <x:c r="D51" s="2692" t="s">
        <x:v>145</x:v>
      </x:c>
      <x:c r="E51" s="2693"/>
      <x:c r="F51" s="2694">
        <x:v>540</x:v>
      </x:c>
      <x:c r="G51" s="2695"/>
      <x:c r="H51" s="2696"/>
      <x:c r="I51" s="2694"/>
      <x:c r="J51" s="2695"/>
      <x:c r="K51" s="2696"/>
      <x:c r="L51" s="2697" t="s">
        <x:v>116</x:v>
      </x:c>
      <x:c r="M51" s="2697" t="s">
        <x:v>116</x:v>
      </x:c>
      <x:c r="N51" s="2699" t="s">
        <x:v>1542</x:v>
      </x:c>
      <x:c r="O51" s="2689"/>
      <x:c r="P51" s="2690" t="b">
        <x:f t="shared" si="3"/>
        <x:v>1</x:v>
      </x:c>
      <x:c r="R51" s="245" t="b">
        <x:f t="shared" si="1"/>
        <x:v>1</x:v>
      </x:c>
      <x:c r="AO51" s="238" t="str">
        <x:f t="shared" si="2"/>
        <x:v>26</x:v>
      </x:c>
      <x:c r="AP51" s="945" t="b">
        <x:v>0</x:v>
      </x:c>
      <x:c r="AQ51" s="1322" t="s">
        <x:v>154</x:v>
      </x:c>
      <x:c r="AR51" s="1323" t="s">
        <x:v>165</x:v>
      </x:c>
      <x:c r="AS51" s="1323" t="s">
        <x:v>145</x:v>
      </x:c>
      <x:c r="AT51" s="1323"/>
      <x:c r="AU51" s="1323">
        <x:v>540</x:v>
      </x:c>
      <x:c r="AV51" s="1323"/>
      <x:c r="AW51" s="1323"/>
      <x:c r="AX51" s="1323"/>
      <x:c r="AY51" s="1323"/>
      <x:c r="AZ51" s="1323"/>
      <x:c r="BA51" s="1532" t="s">
        <x:v>116</x:v>
      </x:c>
      <x:c r="BB51" s="1532" t="s">
        <x:v>116</x:v>
      </x:c>
      <x:c r="BC51" s="1533" t="s">
        <x:v>1542</x:v>
      </x:c>
      <x:c r="BD51" s="245">
        <x:v>1</x:v>
      </x:c>
    </x:row>
    <x:row r="52" spans="1:56" ht="14.1" customHeight="1" x14ac:dyDescent="0.2">
      <x:c r="A52" s="2691" t="s">
        <x:v>1543</x:v>
      </x:c>
      <x:c r="B52" s="2692" t="s">
        <x:v>154</x:v>
      </x:c>
      <x:c r="C52" s="2692" t="s">
        <x:v>165</x:v>
      </x:c>
      <x:c r="D52" s="2692" t="s">
        <x:v>145</x:v>
      </x:c>
      <x:c r="E52" s="2693"/>
      <x:c r="F52" s="2694">
        <x:v>1100</x:v>
      </x:c>
      <x:c r="G52" s="2695"/>
      <x:c r="H52" s="2696"/>
      <x:c r="I52" s="2694"/>
      <x:c r="J52" s="2695"/>
      <x:c r="K52" s="2696"/>
      <x:c r="L52" s="2697" t="s">
        <x:v>116</x:v>
      </x:c>
      <x:c r="M52" s="2697" t="s">
        <x:v>116</x:v>
      </x:c>
      <x:c r="N52" s="2699" t="s">
        <x:v>1544</x:v>
      </x:c>
      <x:c r="O52" s="2689"/>
      <x:c r="P52" s="2690" t="b">
        <x:f t="shared" si="3"/>
        <x:v>1</x:v>
      </x:c>
      <x:c r="R52" s="245" t="b">
        <x:f t="shared" si="1"/>
        <x:v>1</x:v>
      </x:c>
      <x:c r="AO52" s="238" t="str">
        <x:f t="shared" si="2"/>
        <x:v>27</x:v>
      </x:c>
      <x:c r="AP52" s="945" t="b">
        <x:v>0</x:v>
      </x:c>
      <x:c r="AQ52" s="1322" t="s">
        <x:v>154</x:v>
      </x:c>
      <x:c r="AR52" s="1323" t="s">
        <x:v>165</x:v>
      </x:c>
      <x:c r="AS52" s="1323" t="s">
        <x:v>145</x:v>
      </x:c>
      <x:c r="AT52" s="1323"/>
      <x:c r="AU52" s="1323">
        <x:v>1100</x:v>
      </x:c>
      <x:c r="AV52" s="1323"/>
      <x:c r="AW52" s="1323"/>
      <x:c r="AX52" s="1323"/>
      <x:c r="AY52" s="1323"/>
      <x:c r="AZ52" s="1323"/>
      <x:c r="BA52" s="1532" t="s">
        <x:v>116</x:v>
      </x:c>
      <x:c r="BB52" s="1532" t="s">
        <x:v>116</x:v>
      </x:c>
      <x:c r="BC52" s="1533" t="s">
        <x:v>1544</x:v>
      </x:c>
      <x:c r="BD52" s="245">
        <x:v>1</x:v>
      </x:c>
    </x:row>
    <x:row r="53" spans="1:56" ht="14.1" customHeight="1" x14ac:dyDescent="0.2">
      <x:c r="A53" s="2691"/>
      <x:c r="B53" s="2692"/>
      <x:c r="C53" s="2692"/>
      <x:c r="D53" s="2692"/>
      <x:c r="E53" s="2693"/>
      <x:c r="F53" s="2694"/>
      <x:c r="G53" s="2695"/>
      <x:c r="H53" s="2696"/>
      <x:c r="I53" s="2694"/>
      <x:c r="J53" s="2695"/>
      <x:c r="K53" s="2696"/>
      <x:c r="L53" s="2697"/>
      <x:c r="M53" s="2697"/>
      <x:c r="N53" s="2699" t="s">
        <x:v>116</x:v>
      </x:c>
      <x:c r="O53" s="2689"/>
      <x:c r="P53" s="2690" t="b">
        <x:f t="shared" si="3"/>
        <x:v>1</x:v>
      </x:c>
      <x:c r="R53" s="245" t="b">
        <x:f t="shared" si="1"/>
        <x:v>0</x:v>
      </x:c>
      <x:c r="AO53" s="238" t="str">
        <x:f t="shared" si="2"/>
        <x:v>27</x:v>
      </x:c>
      <x:c r="AP53" s="945" t="b">
        <x:v>0</x:v>
      </x:c>
      <x:c r="AQ53" s="1322"/>
      <x:c r="AR53" s="1323"/>
      <x:c r="AS53" s="1323"/>
      <x:c r="AT53" s="1323"/>
      <x:c r="AU53" s="1323"/>
      <x:c r="AV53" s="1323"/>
      <x:c r="AW53" s="1323"/>
      <x:c r="AX53" s="1323"/>
      <x:c r="AY53" s="1323"/>
      <x:c r="AZ53" s="1323"/>
      <x:c r="BA53" s="1532"/>
      <x:c r="BB53" s="1532"/>
      <x:c r="BC53" s="1533"/>
    </x:row>
    <x:row r="54" spans="1:56" ht="14.1" customHeight="1" x14ac:dyDescent="0.2">
      <x:c r="A54" s="2691"/>
      <x:c r="B54" s="2692"/>
      <x:c r="C54" s="2692"/>
      <x:c r="D54" s="2692"/>
      <x:c r="E54" s="2693"/>
      <x:c r="F54" s="2694"/>
      <x:c r="G54" s="2695"/>
      <x:c r="H54" s="2696"/>
      <x:c r="I54" s="2694"/>
      <x:c r="J54" s="2695"/>
      <x:c r="K54" s="2696"/>
      <x:c r="L54" s="2697"/>
      <x:c r="M54" s="2697"/>
      <x:c r="N54" s="2699" t="s">
        <x:v>116</x:v>
      </x:c>
      <x:c r="O54" s="2689"/>
      <x:c r="P54" s="2690" t="b">
        <x:f t="shared" si="3"/>
        <x:v>1</x:v>
      </x:c>
      <x:c r="R54" s="245" t="b">
        <x:f t="shared" si="1"/>
        <x:v>0</x:v>
      </x:c>
      <x:c r="AO54" s="238" t="str">
        <x:f t="shared" si="2"/>
        <x:v>27</x:v>
      </x:c>
      <x:c r="AP54" s="945" t="b">
        <x:v>0</x:v>
      </x:c>
      <x:c r="AQ54" s="1322"/>
      <x:c r="AR54" s="1323"/>
      <x:c r="AS54" s="1323"/>
      <x:c r="AT54" s="1323"/>
      <x:c r="AU54" s="1323"/>
      <x:c r="AV54" s="1323"/>
      <x:c r="AW54" s="1323"/>
      <x:c r="AX54" s="1323"/>
      <x:c r="AY54" s="1323"/>
      <x:c r="AZ54" s="1323"/>
      <x:c r="BA54" s="1532"/>
      <x:c r="BB54" s="1532"/>
      <x:c r="BC54" s="1533"/>
    </x:row>
    <x:row r="55" spans="1:56" ht="14.1" customHeight="1" x14ac:dyDescent="0.2">
      <x:c r="A55" s="2702"/>
      <x:c r="B55" s="2703"/>
      <x:c r="C55" s="2703"/>
      <x:c r="D55" s="2703"/>
      <x:c r="E55" s="2704"/>
      <x:c r="F55" s="2705"/>
      <x:c r="G55" s="2706"/>
      <x:c r="H55" s="2707"/>
      <x:c r="I55" s="2705"/>
      <x:c r="J55" s="2706"/>
      <x:c r="K55" s="2707"/>
      <x:c r="L55" s="2708"/>
      <x:c r="M55" s="2708"/>
      <x:c r="N55" s="2709"/>
      <x:c r="O55" s="2689"/>
      <x:c r="P55" s="2690" t="b">
        <x:f t="shared" si="3"/>
        <x:v>1</x:v>
      </x:c>
      <x:c r="R55" s="245" t="b">
        <x:f t="shared" si="1"/>
        <x:v>0</x:v>
      </x:c>
      <x:c r="AO55" s="238" t="str">
        <x:f t="shared" si="2"/>
        <x:v>27</x:v>
      </x:c>
      <x:c r="AP55" s="945" t="b">
        <x:v>0</x:v>
      </x:c>
      <x:c r="AQ55" s="1324"/>
      <x:c r="AR55" s="1325"/>
      <x:c r="AS55" s="1325"/>
      <x:c r="AT55" s="1325"/>
      <x:c r="AU55" s="1325"/>
      <x:c r="AV55" s="1325"/>
      <x:c r="AW55" s="1325"/>
      <x:c r="AX55" s="1325"/>
      <x:c r="AY55" s="1325"/>
      <x:c r="AZ55" s="1325"/>
      <x:c r="BA55" s="1534"/>
      <x:c r="BB55" s="1534"/>
      <x:c r="BC55" s="1535"/>
    </x:row>
    <x:row r="56" spans="1:56" ht="15.95" customHeight="1" x14ac:dyDescent="0.2">
      <x:c r="P56" s="245">
        <x:f>COUNTIF(P14:P55,TRUE)+IF(NOT($T$1),1, 0)</x:f>
        <x:v>43</x:v>
      </x:c>
      <x:c r="Q56" s="1028" t="s">
        <x:v>1264</x:v>
      </x:c>
    </x:row>
    <x:row r="57" spans="1:56" ht="15.95" customHeight="1" x14ac:dyDescent="0.2"/>
    <x:row r="58" spans="1:56" ht="15.95" customHeight="1" x14ac:dyDescent="0.2"/>
    <x:row r="59" spans="1:56" ht="15.95" customHeight="1" x14ac:dyDescent="0.2">
      <x:c r="A59" s="633" t="s">
        <x:v>1019</x:v>
      </x:c>
    </x:row>
    <x:row r="60" spans="1:56" ht="15.95" hidden="1" customHeight="1" x14ac:dyDescent="0.2">
      <x:c r="A60" s="892" t="s">
        <x:v>112</x:v>
      </x:c>
    </x:row>
    <x:row r="61" spans="1:56" ht="15.95" hidden="1" customHeight="1" x14ac:dyDescent="0.2">
      <x:c r="A61" s="894" t="s">
        <x:v>1613</x:v>
      </x:c>
    </x:row>
    <x:row r="62" spans="1:56" ht="15.95" hidden="1" customHeight="1" x14ac:dyDescent="0.2"/>
    <x:row r="63" spans="1:56" hidden="1" x14ac:dyDescent="0.2"/>
    <x:row r="64" spans="1:56" hidden="1" x14ac:dyDescent="0.2"/>
    <x:row r="65" spans="1:1" x14ac:dyDescent="0.2">
      <x:c r="A65" s="633" t="s">
        <x:v>1020</x:v>
      </x:c>
    </x:row>
  </x:sheetData>
  <x:sheetProtection algorithmName="SHA-512" hashValue="V7Zg5A33aexuZprfV3jBoYj2jdv3OxpeNx6V27Lkn0y22r/q2kJGVAWtzMJcD724V2a4esADzCnLq9xjtiPT+A==" saltValue="kVYqJCLSYD+IaUW+u96oWQ==" spinCount="100000" sheet="1" objects="1" scenarios="1" selectLockedCells="1"/>
  <x:mergeCells count="18">
    <x:mergeCell ref="I1:K1"/>
    <x:mergeCell ref="I2:K3"/>
    <x:mergeCell ref="I4:K4"/>
    <x:mergeCell ref="A5:J5"/>
    <x:mergeCell ref="B9:H9"/>
    <x:mergeCell ref="K9:N9"/>
    <x:mergeCell ref="B10:H10"/>
    <x:mergeCell ref="I10:J10"/>
    <x:mergeCell ref="K10:L10"/>
    <x:mergeCell ref="A12:E12"/>
    <x:mergeCell ref="F12:H12"/>
    <x:mergeCell ref="I12:K12"/>
    <x:mergeCell ref="L12:L13"/>
    <x:mergeCell ref="M12:M13"/>
    <x:mergeCell ref="N12:N13"/>
    <x:mergeCell ref="AQ12:BC12"/>
    <x:mergeCell ref="G13:H13"/>
    <x:mergeCell ref="J13:K13"/>
  </x:mergeCells>
  <x:conditionalFormatting sqref="F14:F55">
    <x:cfRule type="expression" dxfId="617" priority="4" stopIfTrue="1">
      <x:formula>AND($B14="NU",F14&lt;0)</x:formula>
    </x:cfRule>
  </x:conditionalFormatting>
  <x:conditionalFormatting sqref="B14:B55">
    <x:cfRule type="expression" dxfId="616" priority="5" stopIfTrue="1">
      <x:formula>OR(AND($B14="NU",F14&lt;0),AND($B14="NU",I14&lt;0))</x:formula>
    </x:cfRule>
  </x:conditionalFormatting>
  <x:conditionalFormatting sqref="G14:H55 J14:L55">
    <x:cfRule type="expression" dxfId="615" priority="6" stopIfTrue="1">
      <x:formula>$R14</x:formula>
    </x:cfRule>
  </x:conditionalFormatting>
  <x:conditionalFormatting sqref="I2:K4">
    <x:cfRule type="cellIs" dxfId="614" priority="7" stopIfTrue="1" operator="equal">
      <x:formula>""</x:formula>
    </x:cfRule>
  </x:conditionalFormatting>
  <x:conditionalFormatting sqref="I14:I55">
    <x:cfRule type="expression" dxfId="613" priority="8" stopIfTrue="1">
      <x:formula>OR($R14,$B14="CZ",AND($B14="NU",I14&lt;0))</x:formula>
    </x:cfRule>
  </x:conditionalFormatting>
  <x:conditionalFormatting sqref="A14:A55">
    <x:cfRule type="expression" dxfId="612" priority="3">
      <x:formula>NOT($P14)</x:formula>
    </x:cfRule>
  </x:conditionalFormatting>
  <x:conditionalFormatting sqref="B14:D55">
    <x:cfRule type="expression" dxfId="611" priority="2">
      <x:formula>_xlfn.LET(_xlpm.ThisCellIsEmpty, OR(ISBLANK(B14), B14 = ""),  _xlpm.Load1IsPresent, NOT(OR(ISBLANK($F14), $F14 = "")),  _xlpm.Load2IsPresent, NOT(OR(ISBLANK($I14), $I14 = "")),  _xlpm.highlightRed, AND(_xlpm.ThisCellIsEmpty, OR(_xlpm.Load1IsPresent, _xlpm.Load2IsPresent)),  _xlpm.highlightRed )</x:formula>
    </x:cfRule>
  </x:conditionalFormatting>
  <x:conditionalFormatting sqref="A14:N55">
    <x:cfRule type="expression" dxfId="610" priority="9">
      <x:formula>AND(NOT($P14),$T$1)</x:formula>
    </x:cfRule>
    <x:cfRule type="expression" dxfId="609" priority="10">
      <x:formula>AND($AP14,$S$1="M")</x:formula>
    </x:cfRule>
  </x:conditionalFormatting>
  <x:conditionalFormatting sqref="L14:L55">
    <x:cfRule type="expression" dxfId="608" priority="1" stopIfTrue="1">
      <x:formula>AND(ISBLANK(L14),OR(NOT(ISBLANK(G14)),NOT(ISBLANK(H14)),NOT(ISBLANK(J14)),NOT(ISBLANK(K14))))</x:formula>
    </x:cfRule>
  </x:conditionalFormatting>
  <x:dataValidations count="6">
    <x:dataValidation type="list" allowBlank="1" showErrorMessage="1" errorTitle="Invalid Category" error="You MUST select a Category from the dropdown list provided._x000a__x000a_Also, make sure your Cap Lock is turned on." sqref="C14" xr:uid="{B7054316-5716-48E2-9505-3033EA222CA1}">
      <x:formula1>OFFSET($BF$16,0,MATCH($B14,Type,0)-1,OFFSET($BF$30,0,MATCH($B14,Type,0)-1))</x:formula1>
    </x:dataValidation>
    <x:dataValidation type="list" allowBlank="1" showErrorMessage="1" errorTitle="Invalid Category" error="You MUST select a Category from the dropdown list provided._x000a__x000a_Also, make sure your Cap Lock is turned on." sqref="C15:C55" xr:uid="{410A5057-DC4F-4149-8FFB-78DB9AEE03AD}">
      <x:formula1>OFFSET($BF$16,0,MATCH($B15,Type,0)-1,OFFSET($BF$30,0,MATCH($B15,Type,0)-1,1),1)</x:formula1>
    </x:dataValidation>
    <x:dataValidation type="list" allowBlank="1" showErrorMessage="1" errorTitle="Invalid Position" error="You MUST select a Position from the dropdown list provided._x000a__x000a_Also, make sure your Cap Lock is turned on." sqref="D14:D55" xr:uid="{00C2B4A6-175E-44A6-AD62-CE481B0D4B40}">
      <x:formula1>OFFSET($BW$16,0,OFFSET($BF$14,0,MATCH($B14,Type,0)-1),OFFSET($BW$30,0, OFFSET($BF$14,0,MATCH($B14,Type,0)-1)))</x:formula1>
    </x:dataValidation>
    <x:dataValidation type="list" allowBlank="1" showErrorMessage="1" errorTitle="Invalid Reference Location" error="You MUST select a Reference Location from the dropdown list provided._x000a__x000a_Also, make sure your Cap Lock is turned on." sqref="L14:L55" xr:uid="{7DAFB508-1BC0-4FB6-A510-394E808AD4D2}">
      <x:formula1>IF($CA$14,$CA$16:$CA$21,$CB$16:$CB$19)</x:formula1>
    </x:dataValidation>
    <x:dataValidation type="list" allowBlank="1" showErrorMessage="1" errorTitle="Invalid Type" error="You MUST select a Type from the dropdown list provided._x000a__x000a_Also, make sure your Cap Lock is turned on." sqref="B14:B55" xr:uid="{18297C12-6AC1-4E98-85D6-B6E3B5C24FDA}">
      <x:formula1>$BF$15:$BU$15</x:formula1>
    </x:dataValidation>
    <x:dataValidation allowBlank="1" showInputMessage="1" errorTitle="Invalid Load Case" error="You MUST use a Load Case from the list provided." sqref="M14:M55" xr:uid="{6043485A-6ADE-48E8-A62F-0C45672C23A1}"/>
  </x:dataValidations>
  <x:printOptions horizontalCentered="1"/>
  <x:pageMargins left="0.3" right="0.3" top="0.5" bottom="0.5" header="0" footer="0.25"/>
  <x:pageSetup orientation="portrait" r:id="rId1"/>
  <x:headerFooter alignWithMargins="0">
    <x:oddFooter>&amp;R&amp;7Printed: &amp;D &amp;T&amp;L&amp;7Version: 23.0413
File: &amp;F</x:oddFooter>
  </x:headerFooter>
  <x:drawing r:id="rId2"/>
  <x:legacyDrawing r:id="rId3"/>
</x:worksheet>
</file>

<file path=xl/worksheets/sheet24.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FBED0631-4634-4C0F-A109-929302A3FE55}" mc:Ignorable="x14ac xr xr2 xr3">
  <x:sheetPr codeName="Sheet26">
    <x:tabColor indexed="45"/>
  </x:sheetPr>
  <x:dimension ref="A1:CE65"/>
  <x:sheetViews>
    <x:sheetView showGridLines="0" tabSelected="1" topLeftCell="A17" zoomScaleNormal="100" zoomScaleSheetLayoutView="100" workbookViewId="0">
      <x:selection activeCell="C48" sqref="C48"/>
    </x:sheetView>
  </x:sheetViews>
  <x:sheetFormatPr defaultRowHeight="11.25" x14ac:dyDescent="0.2"/>
  <x:cols>
    <x:col min="1" max="1" width="7.7109375" style="245" customWidth="1"/>
    <x:col min="2" max="4" width="6.7109375" style="245" customWidth="1"/>
    <x:col min="5" max="5" width="6.7109375" style="245" hidden="1" customWidth="1"/>
    <x:col min="6" max="6" width="7.7109375" style="245" customWidth="1"/>
    <x:col min="7" max="7" width="3.7109375" style="245" customWidth="1"/>
    <x:col min="8" max="8" width="5.7109375" style="245" customWidth="1"/>
    <x:col min="9" max="9" width="7.7109375" style="245" customWidth="1"/>
    <x:col min="10" max="10" width="3.7109375" style="245" customWidth="1"/>
    <x:col min="11" max="12" width="5.7109375" style="245" customWidth="1"/>
    <x:col min="13" max="13" width="11.7109375" style="245" customWidth="1"/>
    <x:col min="14" max="14" width="22.7109375" style="245" customWidth="1"/>
    <x:col min="15" max="15" width="7.7109375" style="245" customWidth="1"/>
    <x:col min="16" max="16" width="7.7109375" style="245" hidden="1" customWidth="1"/>
    <x:col min="17" max="40" width="6.7109375" style="245" hidden="1" customWidth="1"/>
    <x:col min="41" max="43" width="9.140625" style="378" hidden="1" customWidth="1"/>
    <x:col min="44" max="56" width="9.140625" style="245" hidden="1" customWidth="1"/>
    <x:col min="57" max="57" width="9.140625" style="1041" hidden="1" customWidth="1"/>
    <x:col min="58" max="82" width="9.140625" style="245" hidden="1" customWidth="1"/>
    <x:col min="83" max="16384" width="9.140625" style="245"/>
  </x:cols>
  <x:sheetData>
    <x:row r="1" spans="1:83" ht="14.45" customHeight="1" thickBot="1" x14ac:dyDescent="0.25">
      <x:c r="A1" s="374"/>
      <x:c r="B1" s="374"/>
      <x:c r="C1" s="374"/>
      <x:c r="D1" s="374"/>
      <x:c r="E1" s="374"/>
      <x:c r="F1" s="374"/>
      <x:c r="G1" s="374"/>
      <x:c r="H1" s="375"/>
      <x:c r="I1" s="1832" t="str">
        <x:f>IF(S1="","",VLOOKUP(S1,'Job Info.'!X:AA,4,FALSE))</x:f>
        <x:v>Master</x:v>
      </x:c>
      <x:c r="J1" s="1832"/>
      <x:c r="K1" s="1832"/>
      <x:c r="L1" s="375"/>
      <x:c r="M1" s="375" t="s">
        <x:v>95</x:v>
      </x:c>
      <x:c r="N1" s="463" t="str">
        <x:f ca="1">'Job Info.'!D12</x:f>
        <x:v>775-428-0600</x:v>
      </x:c>
      <x:c r="O1" s="484" t="s">
        <x:v>722</x:v>
      </x:c>
      <x:c r="P1" s="1008"/>
      <x:c r="S1" s="378" t="str">
        <x:f>'Job Info.'!Q30</x:f>
        <x:v>M</x:v>
      </x:c>
      <x:c r="T1" s="378" t="b">
        <x:f>'Job Info.'!Q32</x:f>
        <x:v>0</x:v>
      </x:c>
      <x:c r="BD1" s="256" t="s">
        <x:v>1262</x:v>
      </x:c>
      <x:c r="BE1" s="1040" t="s">
        <x:v>1699</x:v>
      </x:c>
      <x:c r="CE1" s="485" t="s">
        <x:v>723</x:v>
      </x:c>
    </x:row>
    <x:row r="2" spans="1:83" ht="12.95" customHeight="1" thickTop="1" x14ac:dyDescent="0.2">
      <x:c r="A2" s="374"/>
      <x:c r="B2" s="374"/>
      <x:c r="C2" s="374"/>
      <x:c r="D2" s="374"/>
      <x:c r="E2" s="374"/>
      <x:c r="F2" s="374"/>
      <x:c r="G2" s="374"/>
      <x:c r="H2" s="375"/>
      <x:c r="I2" s="1837" t="str">
        <x:f>IF(S1="","",IF(VLOOKUP(S1,'Job Info.'!X:Z,2,FALSE),"Released for Fabrication",""))</x:f>
        <x:v/>
      </x:c>
      <x:c r="J2" s="1838"/>
      <x:c r="K2" s="1839"/>
      <x:c r="L2" s="375"/>
      <x:c r="M2" s="375" t="s">
        <x:v>96</x:v>
      </x:c>
      <x:c r="N2" s="463" t="str">
        <x:f ca="1">'Job Info.'!D13</x:f>
        <x:v>775-867-2140</x:v>
      </x:c>
      <x:c r="O2" s="1008"/>
      <x:c r="P2" s="1008"/>
      <x:c r="BE2" s="1040" t="s">
        <x:v>1518</x:v>
      </x:c>
    </x:row>
    <x:row r="3" spans="1:83" ht="12.95" customHeight="1" x14ac:dyDescent="0.2">
      <x:c r="A3" s="374"/>
      <x:c r="B3" s="374"/>
      <x:c r="C3" s="374"/>
      <x:c r="D3" s="374"/>
      <x:c r="E3" s="374"/>
      <x:c r="F3" s="374"/>
      <x:c r="G3" s="374"/>
      <x:c r="H3" s="375"/>
      <x:c r="I3" s="1840"/>
      <x:c r="J3" s="1841"/>
      <x:c r="K3" s="1842"/>
      <x:c r="L3" s="375"/>
      <x:c r="M3" s="375" t="s">
        <x:v>98</x:v>
      </x:c>
      <x:c r="N3" s="463" t="str">
        <x:f ca="1">'Job Info.'!D14</x:f>
        <x:v>775-867-2169</x:v>
      </x:c>
      <x:c r="O3" s="1008"/>
      <x:c r="P3" s="1008"/>
      <x:c r="BE3" s="1041" t="s">
        <x:v>1536</x:v>
      </x:c>
    </x:row>
    <x:row r="4" spans="1:83" ht="12.95" customHeight="1" thickBot="1" x14ac:dyDescent="0.25">
      <x:c r="A4" s="374"/>
      <x:c r="B4" s="374"/>
      <x:c r="C4" s="374"/>
      <x:c r="D4" s="374"/>
      <x:c r="E4" s="374"/>
      <x:c r="F4" s="374"/>
      <x:c r="G4" s="374"/>
      <x:c r="H4" s="374"/>
      <x:c r="I4" s="1843" t="str">
        <x:f>IF(S1="","",IF(VLOOKUP(S1,'Job Info.'!X:Z,2,FALSE),VLOOKUP(S1,'Job Info.'!X:Z,3,FALSE),""))</x:f>
        <x:v/>
      </x:c>
      <x:c r="J4" s="1844"/>
      <x:c r="K4" s="1845"/>
      <x:c r="L4" s="375"/>
      <x:c r="M4" s="375" t="s">
        <x:v>97</x:v>
      </x:c>
      <x:c r="N4" s="463" t="str">
        <x:f ca="1">'Job Info.'!D15</x:f>
        <x:v>775-867-2060</x:v>
      </x:c>
      <x:c r="O4" s="1008"/>
      <x:c r="P4" s="1008"/>
      <x:c r="BE4" s="1041" t="s">
        <x:v>1543</x:v>
      </x:c>
    </x:row>
    <x:row r="5" spans="1:83" ht="12.95" customHeight="1" thickTop="1" x14ac:dyDescent="0.2">
      <x:c r="A5" s="1846" t="str">
        <x:f ca="1">'Job Info.'!D11</x:f>
        <x:v>8200 Woolery Way | Fallon, NV 89406 | www.newmill.com</x:v>
      </x:c>
      <x:c r="B5" s="1856"/>
      <x:c r="C5" s="1856"/>
      <x:c r="D5" s="1856"/>
      <x:c r="E5" s="1856"/>
      <x:c r="F5" s="1856"/>
      <x:c r="G5" s="1856"/>
      <x:c r="H5" s="1856"/>
      <x:c r="I5" s="1856"/>
      <x:c r="J5" s="1856"/>
      <x:c r="K5" s="374"/>
      <x:c r="L5" s="374"/>
      <x:c r="M5" s="374"/>
      <x:c r="N5" s="374"/>
      <x:c r="O5" s="1008"/>
      <x:c r="P5" s="1008"/>
      <x:c r="BE5" s="1041" t="s">
        <x:v>1557</x:v>
      </x:c>
    </x:row>
    <x:row r="6" spans="1:83" ht="12.95" customHeight="1" x14ac:dyDescent="0.2">
      <x:c r="A6" s="374"/>
      <x:c r="B6" s="374"/>
      <x:c r="C6" s="374"/>
      <x:c r="D6" s="374"/>
      <x:c r="E6" s="374"/>
      <x:c r="F6" s="374"/>
      <x:c r="G6" s="374"/>
      <x:c r="H6" s="374"/>
      <x:c r="I6" s="374"/>
      <x:c r="J6" s="374"/>
      <x:c r="K6" s="374"/>
      <x:c r="L6" s="374"/>
      <x:c r="M6" s="460" t="s">
        <x:v>20</x:v>
      </x:c>
      <x:c r="N6" s="1048">
        <x:f>IF(ISBLANK('Job Info.'!D8),"",'Job Info.'!D8)</x:f>
        <x:v>45048</x:v>
      </x:c>
      <x:c r="O6" s="1055"/>
      <x:c r="P6" s="503" t="s">
        <x:v>1132</x:v>
      </x:c>
      <x:c r="T6" s="633"/>
      <x:c r="BE6" s="1041" t="s">
        <x:v>1545</x:v>
      </x:c>
    </x:row>
    <x:row r="7" spans="1:83" ht="12.95" customHeight="1" x14ac:dyDescent="0.2">
      <x:c r="A7" s="395" t="s">
        <x:v>1279</x:v>
      </x:c>
      <x:c r="B7" s="374"/>
      <x:c r="C7" s="374"/>
      <x:c r="D7" s="374"/>
      <x:c r="E7" s="374"/>
      <x:c r="F7" s="374"/>
      <x:c r="G7" s="374"/>
      <x:c r="H7" s="374"/>
      <x:c r="I7" s="374"/>
      <x:c r="J7" s="374"/>
      <x:c r="K7" s="374"/>
      <x:c r="L7" s="374"/>
      <x:c r="M7" s="460" t="s">
        <x:v>21</x:v>
      </x:c>
      <x:c r="N7" s="1175" t="str">
        <x:f>CONCATENATE(P7, " of ",IF(ISBLANK('Job Info.'!D9),"",'Job Info.'!D9))</x:f>
        <x:v>4 of 19</x:v>
      </x:c>
      <x:c r="O7" s="1008"/>
      <x:c r="P7" s="238">
        <x:v>4</x:v>
      </x:c>
      <x:c r="V7" s="630"/>
      <x:c r="BE7" s="1041" t="s">
        <x:v>1551</x:v>
      </x:c>
    </x:row>
    <x:row r="8" spans="1:83" ht="3.95" customHeight="1" x14ac:dyDescent="0.2">
      <x:c r="A8" s="374"/>
      <x:c r="B8" s="374"/>
      <x:c r="C8" s="374"/>
      <x:c r="D8" s="374"/>
      <x:c r="E8" s="374"/>
      <x:c r="F8" s="374"/>
      <x:c r="G8" s="374"/>
      <x:c r="H8" s="374"/>
      <x:c r="I8" s="374"/>
      <x:c r="J8" s="374"/>
      <x:c r="K8" s="374"/>
      <x:c r="L8" s="374"/>
      <x:c r="M8" s="374"/>
      <x:c r="N8" s="374"/>
      <x:c r="O8" s="1008"/>
      <x:c r="P8" s="1008"/>
      <x:c r="BE8" s="1041" t="s">
        <x:v>1559</x:v>
      </x:c>
    </x:row>
    <x:row r="9" spans="1:83" ht="12.6" customHeight="1" x14ac:dyDescent="0.2">
      <x:c r="A9" s="471" t="s">
        <x:v>1</x:v>
      </x:c>
      <x:c r="B9" s="1808" t="str">
        <x:f>IF(ISBLANK('Job Info.'!D3),"",'Job Info.'!D3)</x:f>
        <x:v>MINDEN UPS BLDG 1</x:v>
      </x:c>
      <x:c r="C9" s="1808"/>
      <x:c r="D9" s="1808"/>
      <x:c r="E9" s="1808"/>
      <x:c r="F9" s="1808"/>
      <x:c r="G9" s="1808"/>
      <x:c r="H9" s="1809"/>
      <x:c r="I9" s="469"/>
      <x:c r="J9" s="458" t="s">
        <x:v>2</x:v>
      </x:c>
      <x:c r="K9" s="1808" t="str">
        <x:f>IF(ISBLANK('Job Info.'!D5),"",'Job Info.'!D5)</x:f>
        <x:v>NN22-0071</x:v>
      </x:c>
      <x:c r="L9" s="1858"/>
      <x:c r="M9" s="1858"/>
      <x:c r="N9" s="1859"/>
      <x:c r="O9" s="1056"/>
      <x:c r="P9" s="1056"/>
      <x:c r="V9" s="631"/>
      <x:c r="BE9" s="1041" t="s">
        <x:v>1538</x:v>
      </x:c>
    </x:row>
    <x:row r="10" spans="1:83" ht="12.6" customHeight="1" x14ac:dyDescent="0.2">
      <x:c r="A10" s="471" t="s">
        <x:v>3</x:v>
      </x:c>
      <x:c r="B10" s="1808" t="str">
        <x:f>IF(ISBLANK('Job Info.'!D4),"",'Job Info.'!D4)</x:f>
        <x:v>MINDEN, NV</x:v>
      </x:c>
      <x:c r="C10" s="1808"/>
      <x:c r="D10" s="1808"/>
      <x:c r="E10" s="1808"/>
      <x:c r="F10" s="1808"/>
      <x:c r="G10" s="1808"/>
      <x:c r="H10" s="1809"/>
      <x:c r="I10" s="1857" t="s">
        <x:v>22</x:v>
      </x:c>
      <x:c r="J10" s="1857"/>
      <x:c r="K10" s="1808" t="str">
        <x:f>IF(ISBLANK('Job Info.'!D6),"",'Job Info.'!D6)</x:f>
        <x:v>JMM</x:v>
      </x:c>
      <x:c r="L10" s="1809"/>
      <x:c r="M10" s="471" t="s">
        <x:v>23</x:v>
      </x:c>
      <x:c r="N10" s="661" t="str">
        <x:f>IF(ISBLANK('Job Info.'!D7),"",'Job Info.'!D7)</x:f>
        <x:v>NR</x:v>
      </x:c>
      <x:c r="O10" s="1056"/>
      <x:c r="P10" s="1056"/>
      <x:c r="W10" s="632"/>
      <x:c r="BE10" s="1041" t="s">
        <x:v>1553</x:v>
      </x:c>
    </x:row>
    <x:row r="11" spans="1:83" ht="3.95" customHeight="1" x14ac:dyDescent="0.2">
      <x:c r="A11" s="1086"/>
      <x:c r="B11" s="374"/>
      <x:c r="C11" s="374"/>
      <x:c r="D11" s="374"/>
      <x:c r="E11" s="374"/>
      <x:c r="F11" s="374"/>
      <x:c r="G11" s="374"/>
      <x:c r="H11" s="374"/>
      <x:c r="I11" s="374"/>
      <x:c r="J11" s="374"/>
      <x:c r="K11" s="374"/>
      <x:c r="L11" s="374"/>
      <x:c r="M11" s="374"/>
      <x:c r="N11" s="374"/>
      <x:c r="O11" s="1008"/>
      <x:c r="P11" s="1008"/>
      <x:c r="BE11" s="1041" t="s">
        <x:v>1519</x:v>
      </x:c>
    </x:row>
    <x:row r="12" spans="1:83" s="478" customFormat="1" ht="14.1" customHeight="1" x14ac:dyDescent="0.2">
      <x:c r="A12" s="1848" t="s">
        <x:v>77</x:v>
      </x:c>
      <x:c r="B12" s="1849"/>
      <x:c r="C12" s="1849"/>
      <x:c r="D12" s="1849"/>
      <x:c r="E12" s="1850"/>
      <x:c r="F12" s="1848" t="s">
        <x:v>49</x:v>
      </x:c>
      <x:c r="G12" s="1849"/>
      <x:c r="H12" s="1855"/>
      <x:c r="I12" s="1848" t="s">
        <x:v>50</x:v>
      </x:c>
      <x:c r="J12" s="1849"/>
      <x:c r="K12" s="1855"/>
      <x:c r="L12" s="1851" t="s">
        <x:v>51</x:v>
      </x:c>
      <x:c r="M12" s="1864" t="s">
        <x:v>741</x:v>
      </x:c>
      <x:c r="N12" s="1851" t="s">
        <x:v>52</x:v>
      </x:c>
      <x:c r="O12" s="1085"/>
      <x:c r="P12" s="1085"/>
      <x:c r="AO12" s="548" t="s">
        <x:v>973</x:v>
      </x:c>
      <x:c r="AP12" s="944" t="s">
        <x:v>170</x:v>
      </x:c>
      <x:c r="AQ12" s="1860" t="s">
        <x:v>1208</x:v>
      </x:c>
      <x:c r="AR12" s="1861"/>
      <x:c r="AS12" s="1861"/>
      <x:c r="AT12" s="1861"/>
      <x:c r="AU12" s="1861"/>
      <x:c r="AV12" s="1861"/>
      <x:c r="AW12" s="1861"/>
      <x:c r="AX12" s="1861"/>
      <x:c r="AY12" s="1861"/>
      <x:c r="AZ12" s="1862"/>
      <x:c r="BA12" s="1862"/>
      <x:c r="BB12" s="1862"/>
      <x:c r="BC12" s="1863"/>
      <x:c r="BE12" s="1530" t="s">
        <x:v>1554</x:v>
      </x:c>
    </x:row>
    <x:row r="13" spans="1:83" s="478" customFormat="1" ht="14.1" customHeight="1" x14ac:dyDescent="0.2">
      <x:c r="A13" s="1049" t="s">
        <x:v>46</x:v>
      </x:c>
      <x:c r="B13" s="1050" t="s">
        <x:v>17</x:v>
      </x:c>
      <x:c r="C13" s="1050" t="s">
        <x:v>45</x:v>
      </x:c>
      <x:c r="D13" s="1050" t="s">
        <x:v>78</x:v>
      </x:c>
      <x:c r="E13" s="1326" t="s">
        <x:v>44</x:v>
      </x:c>
      <x:c r="F13" s="1049" t="s">
        <x:v>47</x:v>
      </x:c>
      <x:c r="G13" s="1853" t="s">
        <x:v>48</x:v>
      </x:c>
      <x:c r="H13" s="1854"/>
      <x:c r="I13" s="1049" t="s">
        <x:v>47</x:v>
      </x:c>
      <x:c r="J13" s="1853" t="s">
        <x:v>48</x:v>
      </x:c>
      <x:c r="K13" s="1854"/>
      <x:c r="L13" s="1852"/>
      <x:c r="M13" s="1865"/>
      <x:c r="N13" s="1866"/>
      <x:c r="O13" s="1085"/>
      <x:c r="P13" s="1529" t="s">
        <x:v>1261</x:v>
      </x:c>
      <x:c r="Q13" s="1340"/>
      <x:c r="R13" s="1527" t="s">
        <x:v>1260</x:v>
      </x:c>
      <x:c r="AQ13" s="1341" t="s">
        <x:v>1209</x:v>
      </x:c>
      <x:c r="AR13" s="1342" t="s">
        <x:v>1210</x:v>
      </x:c>
      <x:c r="AS13" s="1342" t="s">
        <x:v>1211</x:v>
      </x:c>
      <x:c r="AT13" s="1342" t="s">
        <x:v>1236</x:v>
      </x:c>
      <x:c r="AU13" s="1342" t="s">
        <x:v>1212</x:v>
      </x:c>
      <x:c r="AV13" s="1342" t="s">
        <x:v>1232</x:v>
      </x:c>
      <x:c r="AW13" s="1342" t="s">
        <x:v>1233</x:v>
      </x:c>
      <x:c r="AX13" s="1342" t="s">
        <x:v>1213</x:v>
      </x:c>
      <x:c r="AY13" s="1342" t="s">
        <x:v>1234</x:v>
      </x:c>
      <x:c r="AZ13" s="1342" t="s">
        <x:v>1235</x:v>
      </x:c>
      <x:c r="BA13" s="1342" t="s">
        <x:v>1214</x:v>
      </x:c>
      <x:c r="BB13" s="1342" t="s">
        <x:v>1215</x:v>
      </x:c>
      <x:c r="BC13" s="1343" t="s">
        <x:v>1216</x:v>
      </x:c>
      <x:c r="BD13" s="1340" t="s">
        <x:v>1237</x:v>
      </x:c>
      <x:c r="BE13" s="1530" t="s">
        <x:v>1394</x:v>
      </x:c>
    </x:row>
    <x:row r="14" spans="1:83" ht="14.1" customHeight="1" x14ac:dyDescent="0.2">
      <x:c r="A14" s="2680" t="s">
        <x:v>1545</x:v>
      </x:c>
      <x:c r="B14" s="2681" t="s">
        <x:v>154</x:v>
      </x:c>
      <x:c r="C14" s="2681" t="s">
        <x:v>165</x:v>
      </x:c>
      <x:c r="D14" s="2681" t="s">
        <x:v>145</x:v>
      </x:c>
      <x:c r="E14" s="2682"/>
      <x:c r="F14" s="2683">
        <x:v>2000</x:v>
      </x:c>
      <x:c r="G14" s="2684"/>
      <x:c r="H14" s="2685"/>
      <x:c r="I14" s="2683"/>
      <x:c r="J14" s="2684"/>
      <x:c r="K14" s="2685"/>
      <x:c r="L14" s="2686" t="s">
        <x:v>116</x:v>
      </x:c>
      <x:c r="M14" s="2687" t="s">
        <x:v>116</x:v>
      </x:c>
      <x:c r="N14" s="2688" t="s">
        <x:v>1546</x:v>
      </x:c>
      <x:c r="O14" s="2689"/>
      <x:c r="P14" s="2690" t="b">
        <x:f t="shared" ref="P14:P16" si="0">IF(ISERROR(VLOOKUP(AO14,BE:BE,1,FALSE)),FALSE,IF(AO14&lt;&gt;"",VLOOKUP(AO14,BE:BE,1,FALSE)=AO14))</x:f>
        <x:v>1</x:v>
      </x:c>
      <x:c r="R14" s="245" t="b">
        <x:f>OR(B14="CP",B14="CA", B14="AX",B14="M",B14="S")</x:f>
        <x:v>1</x:v>
      </x:c>
      <x:c r="AO14" s="238" t="str">
        <x:f>IF(ISBLANK(A14),"",SUBSTITUTE(A14,"*",""))</x:f>
        <x:v>28</x:v>
      </x:c>
      <x:c r="AP14" s="945" t="b">
        <x:v>0</x:v>
      </x:c>
      <x:c r="AQ14" s="1322" t="s">
        <x:v>154</x:v>
      </x:c>
      <x:c r="AR14" s="1323" t="s">
        <x:v>165</x:v>
      </x:c>
      <x:c r="AS14" s="1323" t="s">
        <x:v>145</x:v>
      </x:c>
      <x:c r="AT14" s="1323"/>
      <x:c r="AU14" s="1323">
        <x:v>2000</x:v>
      </x:c>
      <x:c r="AV14" s="1323"/>
      <x:c r="AW14" s="1323"/>
      <x:c r="AX14" s="1323"/>
      <x:c r="AY14" s="1323"/>
      <x:c r="AZ14" s="1323"/>
      <x:c r="BA14" s="1532" t="s">
        <x:v>116</x:v>
      </x:c>
      <x:c r="BB14" s="1532" t="s">
        <x:v>116</x:v>
      </x:c>
      <x:c r="BC14" s="1533" t="s">
        <x:v>1546</x:v>
      </x:c>
      <x:c r="BD14" s="245">
        <x:v>1</x:v>
      </x:c>
      <x:c r="BE14" s="1041" t="s">
        <x:v>1520</x:v>
      </x:c>
      <x:c r="BF14" s="378">
        <x:v>1</x:v>
      </x:c>
      <x:c r="BG14" s="378">
        <x:v>0</x:v>
      </x:c>
      <x:c r="BH14" s="378">
        <x:v>0</x:v>
      </x:c>
      <x:c r="BI14" s="378">
        <x:v>1</x:v>
      </x:c>
      <x:c r="BJ14" s="378">
        <x:v>0</x:v>
      </x:c>
      <x:c r="BK14" s="378">
        <x:v>0</x:v>
      </x:c>
      <x:c r="BL14" s="378">
        <x:v>0</x:v>
      </x:c>
      <x:c r="BM14" s="378">
        <x:v>0</x:v>
      </x:c>
      <x:c r="BN14" s="378">
        <x:v>0</x:v>
      </x:c>
      <x:c r="BO14" s="378">
        <x:v>0</x:v>
      </x:c>
      <x:c r="BP14" s="378">
        <x:v>0</x:v>
      </x:c>
      <x:c r="BQ14" s="378">
        <x:v>0</x:v>
      </x:c>
      <x:c r="BR14" s="378">
        <x:v>2</x:v>
      </x:c>
      <x:c r="BS14" s="378">
        <x:v>3</x:v>
      </x:c>
      <x:c r="BT14" s="378">
        <x:v>0</x:v>
      </x:c>
      <x:c r="BU14" s="378">
        <x:v>0</x:v>
      </x:c>
      <x:c r="BV14" s="378">
        <x:v>0</x:v>
      </x:c>
      <x:c r="CA14" s="245" t="b">
        <x:v>1</x:v>
      </x:c>
    </x:row>
    <x:row r="15" spans="1:83" ht="14.1" customHeight="1" x14ac:dyDescent="0.2">
      <x:c r="A15" s="2691" t="s">
        <x:v>1547</x:v>
      </x:c>
      <x:c r="B15" s="2692" t="s">
        <x:v>154</x:v>
      </x:c>
      <x:c r="C15" s="2692" t="s">
        <x:v>167</x:v>
      </x:c>
      <x:c r="D15" s="2692" t="s">
        <x:v>145</x:v>
      </x:c>
      <x:c r="E15" s="2693"/>
      <x:c r="F15" s="2694">
        <x:v>5400</x:v>
      </x:c>
      <x:c r="G15" s="2695"/>
      <x:c r="H15" s="2696"/>
      <x:c r="I15" s="2694"/>
      <x:c r="J15" s="2695"/>
      <x:c r="K15" s="2696"/>
      <x:c r="L15" s="2697" t="s">
        <x:v>116</x:v>
      </x:c>
      <x:c r="M15" s="2698" t="s">
        <x:v>116</x:v>
      </x:c>
      <x:c r="N15" s="2699" t="s">
        <x:v>1548</x:v>
      </x:c>
      <x:c r="O15" s="2689"/>
      <x:c r="P15" s="2690" t="b">
        <x:f t="shared" si="0"/>
        <x:v>1</x:v>
      </x:c>
      <x:c r="R15" s="245" t="b">
        <x:f t="shared" ref="R15:R55" si="1">OR(B15="CP",B15="CA", B15="AX",B15="M",B15="S")</x:f>
        <x:v>1</x:v>
      </x:c>
      <x:c r="AO15" s="238" t="str">
        <x:f t="shared" ref="AO15:AO55" si="2">IF(ISBLANK(A15),AO14,SUBSTITUTE(A15,"*",""))</x:f>
        <x:v>29</x:v>
      </x:c>
      <x:c r="AP15" s="945" t="b">
        <x:v>0</x:v>
      </x:c>
      <x:c r="AQ15" s="1322" t="s">
        <x:v>154</x:v>
      </x:c>
      <x:c r="AR15" s="1323" t="s">
        <x:v>167</x:v>
      </x:c>
      <x:c r="AS15" s="1323" t="s">
        <x:v>145</x:v>
      </x:c>
      <x:c r="AT15" s="1323"/>
      <x:c r="AU15" s="1323">
        <x:v>5400</x:v>
      </x:c>
      <x:c r="AV15" s="1323"/>
      <x:c r="AW15" s="1323"/>
      <x:c r="AX15" s="1323"/>
      <x:c r="AY15" s="1323"/>
      <x:c r="AZ15" s="1323"/>
      <x:c r="BA15" s="1532" t="s">
        <x:v>116</x:v>
      </x:c>
      <x:c r="BB15" s="1532" t="s">
        <x:v>116</x:v>
      </x:c>
      <x:c r="BC15" s="1533" t="s">
        <x:v>1548</x:v>
      </x:c>
      <x:c r="BD15" s="245">
        <x:v>4</x:v>
      </x:c>
      <x:c r="BE15" s="1041" t="s">
        <x:v>1521</x:v>
      </x:c>
      <x:c r="BF15" s="552" t="s">
        <x:v>151</x:v>
      </x:c>
      <x:c r="BG15" s="552" t="s">
        <x:v>144</x:v>
      </x:c>
      <x:c r="BH15" s="552" t="s">
        <x:v>152</x:v>
      </x:c>
      <x:c r="BI15" s="552" t="s">
        <x:v>148</x:v>
      </x:c>
      <x:c r="BJ15" s="552" t="s">
        <x:v>153</x:v>
      </x:c>
      <x:c r="BK15" s="552" t="s">
        <x:v>154</x:v>
      </x:c>
      <x:c r="BL15" s="552" t="s">
        <x:v>155</x:v>
      </x:c>
      <x:c r="BM15" s="552" t="s">
        <x:v>146</x:v>
      </x:c>
      <x:c r="BN15" s="552" t="s">
        <x:v>156</x:v>
      </x:c>
      <x:c r="BO15" s="1619" t="s">
        <x:v>1391</x:v>
      </x:c>
      <x:c r="BP15" s="1619" t="s">
        <x:v>1390</x:v>
      </x:c>
      <x:c r="BQ15" s="552" t="s">
        <x:v>157</x:v>
      </x:c>
      <x:c r="BR15" s="552" t="s">
        <x:v>118</x:v>
      </x:c>
      <x:c r="BS15" s="552" t="s">
        <x:v>158</x:v>
      </x:c>
      <x:c r="BT15" s="1621" t="s">
        <x:v>32</x:v>
      </x:c>
      <x:c r="BU15" s="1621" t="s">
        <x:v>1293</x:v>
      </x:c>
      <x:c r="BV15" s="238"/>
      <x:c r="BW15" s="378">
        <x:v>0</x:v>
      </x:c>
      <x:c r="BX15" s="378">
        <x:v>1</x:v>
      </x:c>
      <x:c r="BY15" s="378">
        <x:v>2</x:v>
      </x:c>
      <x:c r="BZ15" s="378">
        <x:v>3</x:v>
      </x:c>
      <x:c r="CA15" s="378"/>
      <x:c r="CB15" s="378"/>
    </x:row>
    <x:row r="16" spans="1:83" ht="14.1" customHeight="1" x14ac:dyDescent="0.2">
      <x:c r="A16" s="2691"/>
      <x:c r="B16" s="2692" t="s">
        <x:v>154</x:v>
      </x:c>
      <x:c r="C16" s="2692" t="s">
        <x:v>167</x:v>
      </x:c>
      <x:c r="D16" s="2692" t="s">
        <x:v>145</x:v>
      </x:c>
      <x:c r="E16" s="2693"/>
      <x:c r="F16" s="2694">
        <x:v>-5400</x:v>
      </x:c>
      <x:c r="G16" s="2695"/>
      <x:c r="H16" s="2696"/>
      <x:c r="I16" s="2694"/>
      <x:c r="J16" s="2695"/>
      <x:c r="K16" s="2696"/>
      <x:c r="L16" s="2697" t="s">
        <x:v>116</x:v>
      </x:c>
      <x:c r="M16" s="2698" t="s">
        <x:v>808</x:v>
      </x:c>
      <x:c r="N16" s="2699" t="s">
        <x:v>116</x:v>
      </x:c>
      <x:c r="O16" s="2689"/>
      <x:c r="P16" s="2690" t="b">
        <x:f t="shared" si="0"/>
        <x:v>1</x:v>
      </x:c>
      <x:c r="R16" s="245" t="b">
        <x:f t="shared" si="1"/>
        <x:v>1</x:v>
      </x:c>
      <x:c r="AO16" s="238" t="str">
        <x:f t="shared" si="2"/>
        <x:v>29</x:v>
      </x:c>
      <x:c r="AP16" s="945" t="b">
        <x:v>0</x:v>
      </x:c>
      <x:c r="AQ16" s="1322" t="s">
        <x:v>154</x:v>
      </x:c>
      <x:c r="AR16" s="1323" t="s">
        <x:v>167</x:v>
      </x:c>
      <x:c r="AS16" s="1323" t="s">
        <x:v>145</x:v>
      </x:c>
      <x:c r="AT16" s="1323"/>
      <x:c r="AU16" s="1323">
        <x:v>-5400</x:v>
      </x:c>
      <x:c r="AV16" s="1323"/>
      <x:c r="AW16" s="1323"/>
      <x:c r="AX16" s="1323"/>
      <x:c r="AY16" s="1323"/>
      <x:c r="AZ16" s="1323"/>
      <x:c r="BA16" s="1532" t="s">
        <x:v>116</x:v>
      </x:c>
      <x:c r="BB16" s="1532" t="s">
        <x:v>808</x:v>
      </x:c>
      <x:c r="BC16" s="1533" t="s">
        <x:v>116</x:v>
      </x:c>
      <x:c r="BE16" s="1041" t="s">
        <x:v>1555</x:v>
      </x:c>
      <x:c r="BF16" s="552" t="s">
        <x:v>147</x:v>
      </x:c>
      <x:c r="BG16" s="552" t="s">
        <x:v>142</x:v>
      </x:c>
      <x:c r="BH16" s="552" t="s">
        <x:v>142</x:v>
      </x:c>
      <x:c r="BI16" s="552" t="s">
        <x:v>147</x:v>
      </x:c>
      <x:c r="BJ16" s="552" t="s">
        <x:v>147</x:v>
      </x:c>
      <x:c r="BK16" s="552" t="s">
        <x:v>147</x:v>
      </x:c>
      <x:c r="BL16" s="552" t="s">
        <x:v>147</x:v>
      </x:c>
      <x:c r="BM16" s="552" t="s">
        <x:v>147</x:v>
      </x:c>
      <x:c r="BN16" s="552" t="s">
        <x:v>147</x:v>
      </x:c>
      <x:c r="BO16" s="1619" t="s">
        <x:v>147</x:v>
      </x:c>
      <x:c r="BP16" s="1619" t="s">
        <x:v>147</x:v>
      </x:c>
      <x:c r="BQ16" s="552" t="s">
        <x:v>147</x:v>
      </x:c>
      <x:c r="BR16" s="552" t="s">
        <x:v>147</x:v>
      </x:c>
      <x:c r="BS16" s="552" t="s">
        <x:v>147</x:v>
      </x:c>
      <x:c r="BT16" s="552" t="s">
        <x:v>147</x:v>
      </x:c>
      <x:c r="BU16" s="1621" t="s">
        <x:v>163</x:v>
      </x:c>
      <x:c r="BV16" s="238"/>
      <x:c r="BW16" s="238" t="s">
        <x:v>145</x:v>
      </x:c>
      <x:c r="BX16" s="238" t="s">
        <x:v>145</x:v>
      </x:c>
      <x:c r="BY16" s="238" t="s">
        <x:v>168</x:v>
      </x:c>
      <x:c r="BZ16" s="238" t="s">
        <x:v>145</x:v>
      </x:c>
      <x:c r="CA16" s="238" t="s">
        <x:v>699</x:v>
      </x:c>
      <x:c r="CB16" s="238" t="s">
        <x:v>699</x:v>
      </x:c>
      <x:c r="CC16" s="449" t="s">
        <x:v>742</x:v>
      </x:c>
    </x:row>
    <x:row r="17" spans="1:81" ht="14.1" customHeight="1" x14ac:dyDescent="0.2">
      <x:c r="A17" s="2691"/>
      <x:c r="B17" s="2692" t="s">
        <x:v>151</x:v>
      </x:c>
      <x:c r="C17" s="2692" t="s">
        <x:v>167</x:v>
      </x:c>
      <x:c r="D17" s="2692" t="s">
        <x:v>145</x:v>
      </x:c>
      <x:c r="E17" s="2693"/>
      <x:c r="F17" s="2694">
        <x:v>210</x:v>
      </x:c>
      <x:c r="G17" s="2695"/>
      <x:c r="H17" s="2696"/>
      <x:c r="I17" s="2694"/>
      <x:c r="J17" s="2695"/>
      <x:c r="K17" s="2696"/>
      <x:c r="L17" s="2697" t="s">
        <x:v>116</x:v>
      </x:c>
      <x:c r="M17" s="2698" t="s">
        <x:v>116</x:v>
      </x:c>
      <x:c r="N17" s="2699" t="s">
        <x:v>116</x:v>
      </x:c>
      <x:c r="O17" s="2689"/>
      <x:c r="P17" s="2690" t="b">
        <x:f>IF(ISERROR(VLOOKUP(AO17,BE:BE,1,FALSE)),FALSE,IF(AO17&lt;&gt;"",VLOOKUP(AO17,BE:BE,1,FALSE)=AO17))</x:f>
        <x:v>1</x:v>
      </x:c>
      <x:c r="R17" s="245" t="b">
        <x:f t="shared" si="1"/>
        <x:v>0</x:v>
      </x:c>
      <x:c r="AO17" s="238" t="str">
        <x:f t="shared" si="2"/>
        <x:v>29</x:v>
      </x:c>
      <x:c r="AP17" s="945" t="b">
        <x:v>0</x:v>
      </x:c>
      <x:c r="AQ17" s="1322" t="s">
        <x:v>151</x:v>
      </x:c>
      <x:c r="AR17" s="1323" t="s">
        <x:v>167</x:v>
      </x:c>
      <x:c r="AS17" s="1323" t="s">
        <x:v>145</x:v>
      </x:c>
      <x:c r="AT17" s="1323"/>
      <x:c r="AU17" s="1323">
        <x:v>210</x:v>
      </x:c>
      <x:c r="AV17" s="1323"/>
      <x:c r="AW17" s="1323"/>
      <x:c r="AX17" s="1323"/>
      <x:c r="AY17" s="1323"/>
      <x:c r="AZ17" s="1323"/>
      <x:c r="BA17" s="1532" t="s">
        <x:v>116</x:v>
      </x:c>
      <x:c r="BB17" s="1532" t="s">
        <x:v>116</x:v>
      </x:c>
      <x:c r="BC17" s="1533" t="s">
        <x:v>116</x:v>
      </x:c>
      <x:c r="BE17" s="1041" t="s">
        <x:v>943</x:v>
      </x:c>
      <x:c r="BF17" s="552" t="s">
        <x:v>162</x:v>
      </x:c>
      <x:c r="BG17" s="552" t="s">
        <x:v>167</x:v>
      </x:c>
      <x:c r="BH17" s="552" t="s">
        <x:v>167</x:v>
      </x:c>
      <x:c r="BI17" s="552" t="s">
        <x:v>162</x:v>
      </x:c>
      <x:c r="BJ17" s="552" t="s">
        <x:v>162</x:v>
      </x:c>
      <x:c r="BK17" s="552" t="s">
        <x:v>162</x:v>
      </x:c>
      <x:c r="BL17" s="552" t="s">
        <x:v>162</x:v>
      </x:c>
      <x:c r="BM17" s="552" t="s">
        <x:v>162</x:v>
      </x:c>
      <x:c r="BN17" s="552" t="s">
        <x:v>162</x:v>
      </x:c>
      <x:c r="BO17" s="1619" t="s">
        <x:v>162</x:v>
      </x:c>
      <x:c r="BP17" s="1619" t="s">
        <x:v>162</x:v>
      </x:c>
      <x:c r="BQ17" s="552" t="s">
        <x:v>162</x:v>
      </x:c>
      <x:c r="BR17" s="552" t="s">
        <x:v>162</x:v>
      </x:c>
      <x:c r="BS17" s="552" t="s">
        <x:v>162</x:v>
      </x:c>
      <x:c r="BT17" s="552" t="s">
        <x:v>162</x:v>
      </x:c>
      <x:c r="BU17" s="238"/>
      <x:c r="BV17" s="238"/>
      <x:c r="BW17" s="238" t="s">
        <x:v>159</x:v>
      </x:c>
      <x:c r="BX17" s="238" t="s">
        <x:v>159</x:v>
      </x:c>
      <x:c r="BY17" s="238" t="s">
        <x:v>169</x:v>
      </x:c>
      <x:c r="BZ17" s="238"/>
      <x:c r="CA17" s="238" t="s">
        <x:v>700</x:v>
      </x:c>
      <x:c r="CB17" s="238" t="s">
        <x:v>701</x:v>
      </x:c>
      <x:c r="CC17" s="449" t="s">
        <x:v>743</x:v>
      </x:c>
    </x:row>
    <x:row r="18" spans="1:81" ht="14.1" customHeight="1" x14ac:dyDescent="0.2">
      <x:c r="A18" s="2691"/>
      <x:c r="B18" s="2692" t="s">
        <x:v>151</x:v>
      </x:c>
      <x:c r="C18" s="2692" t="s">
        <x:v>167</x:v>
      </x:c>
      <x:c r="D18" s="2692" t="s">
        <x:v>145</x:v>
      </x:c>
      <x:c r="E18" s="2693"/>
      <x:c r="F18" s="2694">
        <x:v>-210</x:v>
      </x:c>
      <x:c r="G18" s="2695"/>
      <x:c r="H18" s="2696"/>
      <x:c r="I18" s="2694"/>
      <x:c r="J18" s="2695"/>
      <x:c r="K18" s="2696"/>
      <x:c r="L18" s="2697" t="s">
        <x:v>116</x:v>
      </x:c>
      <x:c r="M18" s="2698" t="s">
        <x:v>808</x:v>
      </x:c>
      <x:c r="N18" s="2699" t="s">
        <x:v>116</x:v>
      </x:c>
      <x:c r="O18" s="2689"/>
      <x:c r="P18" s="2690" t="b">
        <x:f t="shared" ref="P18:P55" si="3">IF(ISERROR(VLOOKUP(AO18,BE:BE,1,FALSE)),FALSE,IF(AO18&lt;&gt;"",VLOOKUP(AO18,BE:BE,1,FALSE)=AO18))</x:f>
        <x:v>1</x:v>
      </x:c>
      <x:c r="R18" s="245" t="b">
        <x:f t="shared" si="1"/>
        <x:v>0</x:v>
      </x:c>
      <x:c r="AO18" s="238" t="str">
        <x:f t="shared" si="2"/>
        <x:v>29</x:v>
      </x:c>
      <x:c r="AP18" s="945" t="b">
        <x:v>0</x:v>
      </x:c>
      <x:c r="AQ18" s="1322" t="s">
        <x:v>151</x:v>
      </x:c>
      <x:c r="AR18" s="1323" t="s">
        <x:v>167</x:v>
      </x:c>
      <x:c r="AS18" s="1323" t="s">
        <x:v>145</x:v>
      </x:c>
      <x:c r="AT18" s="1323"/>
      <x:c r="AU18" s="1323">
        <x:v>-210</x:v>
      </x:c>
      <x:c r="AV18" s="1323"/>
      <x:c r="AW18" s="1323"/>
      <x:c r="AX18" s="1323"/>
      <x:c r="AY18" s="1323"/>
      <x:c r="AZ18" s="1323"/>
      <x:c r="BA18" s="1532" t="s">
        <x:v>116</x:v>
      </x:c>
      <x:c r="BB18" s="1532" t="s">
        <x:v>808</x:v>
      </x:c>
      <x:c r="BC18" s="1533" t="s">
        <x:v>116</x:v>
      </x:c>
      <x:c r="BE18" s="1041" t="s">
        <x:v>944</x:v>
      </x:c>
      <x:c r="BF18" s="552" t="s">
        <x:v>163</x:v>
      </x:c>
      <x:c r="BG18" s="238"/>
      <x:c r="BH18" s="238"/>
      <x:c r="BI18" s="552" t="s">
        <x:v>163</x:v>
      </x:c>
      <x:c r="BJ18" s="552" t="s">
        <x:v>163</x:v>
      </x:c>
      <x:c r="BK18" s="552" t="s">
        <x:v>163</x:v>
      </x:c>
      <x:c r="BL18" s="552" t="s">
        <x:v>163</x:v>
      </x:c>
      <x:c r="BM18" s="552" t="s">
        <x:v>163</x:v>
      </x:c>
      <x:c r="BN18" s="552" t="s">
        <x:v>163</x:v>
      </x:c>
      <x:c r="BO18" s="1619" t="s">
        <x:v>163</x:v>
      </x:c>
      <x:c r="BP18" s="1619" t="s">
        <x:v>163</x:v>
      </x:c>
      <x:c r="BQ18" s="552" t="s">
        <x:v>163</x:v>
      </x:c>
      <x:c r="BR18" s="552" t="s">
        <x:v>163</x:v>
      </x:c>
      <x:c r="BS18" s="552" t="s">
        <x:v>163</x:v>
      </x:c>
      <x:c r="BT18" s="552" t="s">
        <x:v>163</x:v>
      </x:c>
      <x:c r="BU18" s="238"/>
      <x:c r="BV18" s="238"/>
      <x:c r="BW18" s="238"/>
      <x:c r="BX18" s="238" t="s">
        <x:v>160</x:v>
      </x:c>
      <x:c r="BY18" s="238" t="s">
        <x:v>143</x:v>
      </x:c>
      <x:c r="BZ18" s="238"/>
      <x:c r="CA18" s="238" t="s">
        <x:v>701</x:v>
      </x:c>
      <x:c r="CB18" s="238" t="s">
        <x:v>703</x:v>
      </x:c>
      <x:c r="CC18" s="449" t="s">
        <x:v>744</x:v>
      </x:c>
    </x:row>
    <x:row r="19" spans="1:81" ht="14.1" customHeight="1" x14ac:dyDescent="0.2">
      <x:c r="A19" s="2691" t="s">
        <x:v>1549</x:v>
      </x:c>
      <x:c r="B19" s="2692" t="s">
        <x:v>154</x:v>
      </x:c>
      <x:c r="C19" s="2692" t="s">
        <x:v>167</x:v>
      </x:c>
      <x:c r="D19" s="2692" t="s">
        <x:v>145</x:v>
      </x:c>
      <x:c r="E19" s="2693"/>
      <x:c r="F19" s="2694">
        <x:v>14500</x:v>
      </x:c>
      <x:c r="G19" s="2695"/>
      <x:c r="H19" s="2696"/>
      <x:c r="I19" s="2694"/>
      <x:c r="J19" s="2695"/>
      <x:c r="K19" s="2696"/>
      <x:c r="L19" s="2697" t="s">
        <x:v>116</x:v>
      </x:c>
      <x:c r="M19" s="2698" t="s">
        <x:v>116</x:v>
      </x:c>
      <x:c r="N19" s="2699" t="s">
        <x:v>1548</x:v>
      </x:c>
      <x:c r="O19" s="2689"/>
      <x:c r="P19" s="2690" t="b">
        <x:f t="shared" si="3"/>
        <x:v>1</x:v>
      </x:c>
      <x:c r="R19" s="245" t="b">
        <x:f t="shared" si="1"/>
        <x:v>1</x:v>
      </x:c>
      <x:c r="AO19" s="238" t="str">
        <x:f t="shared" si="2"/>
        <x:v>30</x:v>
      </x:c>
      <x:c r="AP19" s="945" t="b">
        <x:v>0</x:v>
      </x:c>
      <x:c r="AQ19" s="1322" t="s">
        <x:v>154</x:v>
      </x:c>
      <x:c r="AR19" s="1323" t="s">
        <x:v>167</x:v>
      </x:c>
      <x:c r="AS19" s="1323" t="s">
        <x:v>145</x:v>
      </x:c>
      <x:c r="AT19" s="1323"/>
      <x:c r="AU19" s="1323">
        <x:v>14500</x:v>
      </x:c>
      <x:c r="AV19" s="1323"/>
      <x:c r="AW19" s="1323"/>
      <x:c r="AX19" s="1323"/>
      <x:c r="AY19" s="1323"/>
      <x:c r="AZ19" s="1323"/>
      <x:c r="BA19" s="1532" t="s">
        <x:v>116</x:v>
      </x:c>
      <x:c r="BB19" s="1532" t="s">
        <x:v>116</x:v>
      </x:c>
      <x:c r="BC19" s="1533" t="s">
        <x:v>1548</x:v>
      </x:c>
      <x:c r="BD19" s="245">
        <x:v>4</x:v>
      </x:c>
      <x:c r="BE19" s="1041" t="s">
        <x:v>1539</x:v>
      </x:c>
      <x:c r="BF19" s="552" t="s">
        <x:v>142</x:v>
      </x:c>
      <x:c r="BG19" s="238"/>
      <x:c r="BH19" s="238"/>
      <x:c r="BI19" s="552" t="s">
        <x:v>142</x:v>
      </x:c>
      <x:c r="BJ19" s="552" t="s">
        <x:v>142</x:v>
      </x:c>
      <x:c r="BK19" s="552" t="s">
        <x:v>142</x:v>
      </x:c>
      <x:c r="BL19" s="552" t="s">
        <x:v>142</x:v>
      </x:c>
      <x:c r="BM19" s="552" t="s">
        <x:v>142</x:v>
      </x:c>
      <x:c r="BN19" s="552" t="s">
        <x:v>142</x:v>
      </x:c>
      <x:c r="BO19" s="1619" t="s">
        <x:v>142</x:v>
      </x:c>
      <x:c r="BP19" s="1619" t="s">
        <x:v>142</x:v>
      </x:c>
      <x:c r="BQ19" s="552" t="s">
        <x:v>142</x:v>
      </x:c>
      <x:c r="BR19" s="552" t="s">
        <x:v>142</x:v>
      </x:c>
      <x:c r="BS19" s="552" t="s">
        <x:v>165</x:v>
      </x:c>
      <x:c r="BT19" s="552" t="s">
        <x:v>142</x:v>
      </x:c>
      <x:c r="BU19" s="238"/>
      <x:c r="BV19" s="238"/>
      <x:c r="BW19" s="238"/>
      <x:c r="BX19" s="238" t="s">
        <x:v>161</x:v>
      </x:c>
      <x:c r="BY19" s="238"/>
      <x:c r="BZ19" s="464"/>
      <x:c r="CA19" s="238" t="s">
        <x:v>702</x:v>
      </x:c>
      <x:c r="CB19" s="238" t="s">
        <x:v>704</x:v>
      </x:c>
      <x:c r="CC19" s="449" t="s">
        <x:v>745</x:v>
      </x:c>
    </x:row>
    <x:row r="20" spans="1:81" ht="14.1" customHeight="1" x14ac:dyDescent="0.2">
      <x:c r="A20" s="2691"/>
      <x:c r="B20" s="2692" t="s">
        <x:v>154</x:v>
      </x:c>
      <x:c r="C20" s="2692" t="s">
        <x:v>167</x:v>
      </x:c>
      <x:c r="D20" s="2692" t="s">
        <x:v>145</x:v>
      </x:c>
      <x:c r="E20" s="2693"/>
      <x:c r="F20" s="2694">
        <x:v>-14500</x:v>
      </x:c>
      <x:c r="G20" s="2695"/>
      <x:c r="H20" s="2696"/>
      <x:c r="I20" s="2694"/>
      <x:c r="J20" s="2695"/>
      <x:c r="K20" s="2696"/>
      <x:c r="L20" s="2697" t="s">
        <x:v>116</x:v>
      </x:c>
      <x:c r="M20" s="2698" t="s">
        <x:v>808</x:v>
      </x:c>
      <x:c r="N20" s="2700" t="s">
        <x:v>116</x:v>
      </x:c>
      <x:c r="O20" s="2701"/>
      <x:c r="P20" s="2690" t="b">
        <x:f t="shared" si="3"/>
        <x:v>1</x:v>
      </x:c>
      <x:c r="R20" s="245" t="b">
        <x:f t="shared" si="1"/>
        <x:v>1</x:v>
      </x:c>
      <x:c r="AO20" s="238" t="str">
        <x:f t="shared" si="2"/>
        <x:v>30</x:v>
      </x:c>
      <x:c r="AP20" s="945" t="b">
        <x:v>0</x:v>
      </x:c>
      <x:c r="AQ20" s="1322" t="s">
        <x:v>154</x:v>
      </x:c>
      <x:c r="AR20" s="1323" t="s">
        <x:v>167</x:v>
      </x:c>
      <x:c r="AS20" s="1323" t="s">
        <x:v>145</x:v>
      </x:c>
      <x:c r="AT20" s="1323"/>
      <x:c r="AU20" s="1323">
        <x:v>-14500</x:v>
      </x:c>
      <x:c r="AV20" s="1323"/>
      <x:c r="AW20" s="1323"/>
      <x:c r="AX20" s="1323"/>
      <x:c r="AY20" s="1323"/>
      <x:c r="AZ20" s="1323"/>
      <x:c r="BA20" s="1532" t="s">
        <x:v>116</x:v>
      </x:c>
      <x:c r="BB20" s="1532" t="s">
        <x:v>808</x:v>
      </x:c>
      <x:c r="BC20" s="1533" t="s">
        <x:v>116</x:v>
      </x:c>
      <x:c r="BE20" s="1041" t="s">
        <x:v>1523</x:v>
      </x:c>
      <x:c r="BF20" s="552" t="s">
        <x:v>164</x:v>
      </x:c>
      <x:c r="BG20" s="238"/>
      <x:c r="BH20" s="238"/>
      <x:c r="BI20" s="552" t="s">
        <x:v>165</x:v>
      </x:c>
      <x:c r="BJ20" s="552" t="s">
        <x:v>165</x:v>
      </x:c>
      <x:c r="BK20" s="552" t="s">
        <x:v>165</x:v>
      </x:c>
      <x:c r="BL20" s="552" t="s">
        <x:v>165</x:v>
      </x:c>
      <x:c r="BM20" s="552" t="s">
        <x:v>165</x:v>
      </x:c>
      <x:c r="BN20" s="552" t="s">
        <x:v>165</x:v>
      </x:c>
      <x:c r="BO20" s="1619" t="s">
        <x:v>164</x:v>
      </x:c>
      <x:c r="BP20" s="1619" t="s">
        <x:v>164</x:v>
      </x:c>
      <x:c r="BQ20" s="552" t="s">
        <x:v>165</x:v>
      </x:c>
      <x:c r="BR20" s="552" t="s">
        <x:v>165</x:v>
      </x:c>
      <x:c r="BS20" s="238"/>
      <x:c r="BT20" s="1619" t="s">
        <x:v>164</x:v>
      </x:c>
      <x:c r="BU20" s="238"/>
      <x:c r="BV20" s="238"/>
      <x:c r="BW20" s="378"/>
      <x:c r="BX20" s="378"/>
      <x:c r="BY20" s="378"/>
      <x:c r="CA20" s="238" t="s">
        <x:v>703</x:v>
      </x:c>
      <x:c r="CB20" s="238"/>
      <x:c r="CC20" s="449"/>
    </x:row>
    <x:row r="21" spans="1:81" ht="14.1" customHeight="1" x14ac:dyDescent="0.2">
      <x:c r="A21" s="2691"/>
      <x:c r="B21" s="2692" t="s">
        <x:v>151</x:v>
      </x:c>
      <x:c r="C21" s="2692" t="s">
        <x:v>167</x:v>
      </x:c>
      <x:c r="D21" s="2692" t="s">
        <x:v>145</x:v>
      </x:c>
      <x:c r="E21" s="2693"/>
      <x:c r="F21" s="2694">
        <x:v>563</x:v>
      </x:c>
      <x:c r="G21" s="2695"/>
      <x:c r="H21" s="2696"/>
      <x:c r="I21" s="2694"/>
      <x:c r="J21" s="2695"/>
      <x:c r="K21" s="2696"/>
      <x:c r="L21" s="2697" t="s">
        <x:v>116</x:v>
      </x:c>
      <x:c r="M21" s="2698" t="s">
        <x:v>116</x:v>
      </x:c>
      <x:c r="N21" s="2700" t="s">
        <x:v>116</x:v>
      </x:c>
      <x:c r="O21" s="2701"/>
      <x:c r="P21" s="2690" t="b">
        <x:f t="shared" si="3"/>
        <x:v>1</x:v>
      </x:c>
      <x:c r="R21" s="245" t="b">
        <x:f t="shared" si="1"/>
        <x:v>0</x:v>
      </x:c>
      <x:c r="AO21" s="238" t="str">
        <x:f t="shared" si="2"/>
        <x:v>30</x:v>
      </x:c>
      <x:c r="AP21" s="945" t="b">
        <x:v>0</x:v>
      </x:c>
      <x:c r="AQ21" s="1322" t="s">
        <x:v>151</x:v>
      </x:c>
      <x:c r="AR21" s="1323" t="s">
        <x:v>167</x:v>
      </x:c>
      <x:c r="AS21" s="1323" t="s">
        <x:v>145</x:v>
      </x:c>
      <x:c r="AT21" s="1323"/>
      <x:c r="AU21" s="1323">
        <x:v>563</x:v>
      </x:c>
      <x:c r="AV21" s="1323"/>
      <x:c r="AW21" s="1323"/>
      <x:c r="AX21" s="1323"/>
      <x:c r="AY21" s="1323"/>
      <x:c r="AZ21" s="1323"/>
      <x:c r="BA21" s="1532" t="s">
        <x:v>116</x:v>
      </x:c>
      <x:c r="BB21" s="1532" t="s">
        <x:v>116</x:v>
      </x:c>
      <x:c r="BC21" s="1533" t="s">
        <x:v>116</x:v>
      </x:c>
      <x:c r="BE21" s="1041" t="s">
        <x:v>808</x:v>
      </x:c>
      <x:c r="BF21" s="552" t="s">
        <x:v>165</x:v>
      </x:c>
      <x:c r="BG21" s="238"/>
      <x:c r="BH21" s="238"/>
      <x:c r="BI21" s="552" t="s">
        <x:v>167</x:v>
      </x:c>
      <x:c r="BJ21" s="552" t="s">
        <x:v>167</x:v>
      </x:c>
      <x:c r="BK21" s="552" t="s">
        <x:v>167</x:v>
      </x:c>
      <x:c r="BL21" s="552" t="s">
        <x:v>167</x:v>
      </x:c>
      <x:c r="BM21" s="552" t="s">
        <x:v>167</x:v>
      </x:c>
      <x:c r="BN21" s="552" t="s">
        <x:v>167</x:v>
      </x:c>
      <x:c r="BO21" s="1619" t="s">
        <x:v>165</x:v>
      </x:c>
      <x:c r="BP21" s="1619" t="s">
        <x:v>165</x:v>
      </x:c>
      <x:c r="BQ21" s="552" t="s">
        <x:v>167</x:v>
      </x:c>
      <x:c r="BR21" s="552" t="s">
        <x:v>167</x:v>
      </x:c>
      <x:c r="BS21" s="238"/>
      <x:c r="BT21" s="552" t="s">
        <x:v>165</x:v>
      </x:c>
      <x:c r="BU21" s="238"/>
      <x:c r="BV21" s="238"/>
      <x:c r="BW21" s="378"/>
      <x:c r="BX21" s="378"/>
      <x:c r="BY21" s="378"/>
      <x:c r="CA21" s="238" t="s">
        <x:v>704</x:v>
      </x:c>
      <x:c r="CB21" s="238"/>
      <x:c r="CC21" s="449"/>
    </x:row>
    <x:row r="22" spans="1:81" ht="14.1" customHeight="1" x14ac:dyDescent="0.2">
      <x:c r="A22" s="2691"/>
      <x:c r="B22" s="2692" t="s">
        <x:v>151</x:v>
      </x:c>
      <x:c r="C22" s="2692" t="s">
        <x:v>167</x:v>
      </x:c>
      <x:c r="D22" s="2692" t="s">
        <x:v>145</x:v>
      </x:c>
      <x:c r="E22" s="2693"/>
      <x:c r="F22" s="2694">
        <x:v>-563</x:v>
      </x:c>
      <x:c r="G22" s="2695"/>
      <x:c r="H22" s="2696"/>
      <x:c r="I22" s="2694"/>
      <x:c r="J22" s="2695"/>
      <x:c r="K22" s="2696"/>
      <x:c r="L22" s="2697" t="s">
        <x:v>116</x:v>
      </x:c>
      <x:c r="M22" s="2698" t="s">
        <x:v>808</x:v>
      </x:c>
      <x:c r="N22" s="2700" t="s">
        <x:v>116</x:v>
      </x:c>
      <x:c r="O22" s="2701"/>
      <x:c r="P22" s="2690" t="b">
        <x:f t="shared" si="3"/>
        <x:v>1</x:v>
      </x:c>
      <x:c r="R22" s="245" t="b">
        <x:f t="shared" si="1"/>
        <x:v>0</x:v>
      </x:c>
      <x:c r="AO22" s="238" t="str">
        <x:f t="shared" si="2"/>
        <x:v>30</x:v>
      </x:c>
      <x:c r="AP22" s="945" t="b">
        <x:v>0</x:v>
      </x:c>
      <x:c r="AQ22" s="1322" t="s">
        <x:v>151</x:v>
      </x:c>
      <x:c r="AR22" s="1323" t="s">
        <x:v>167</x:v>
      </x:c>
      <x:c r="AS22" s="1323" t="s">
        <x:v>145</x:v>
      </x:c>
      <x:c r="AT22" s="1323"/>
      <x:c r="AU22" s="1323">
        <x:v>-563</x:v>
      </x:c>
      <x:c r="AV22" s="1323"/>
      <x:c r="AW22" s="1323"/>
      <x:c r="AX22" s="1323"/>
      <x:c r="AY22" s="1323"/>
      <x:c r="AZ22" s="1323"/>
      <x:c r="BA22" s="1532" t="s">
        <x:v>116</x:v>
      </x:c>
      <x:c r="BB22" s="1532" t="s">
        <x:v>808</x:v>
      </x:c>
      <x:c r="BC22" s="1533" t="s">
        <x:v>116</x:v>
      </x:c>
      <x:c r="BE22" s="1041" t="s">
        <x:v>1524</x:v>
      </x:c>
      <x:c r="BF22" s="552" t="s">
        <x:v>167</x:v>
      </x:c>
      <x:c r="BG22" s="238"/>
      <x:c r="BH22" s="238"/>
      <x:c r="BI22" s="552" t="s">
        <x:v>166</x:v>
      </x:c>
      <x:c r="BJ22" s="552" t="s">
        <x:v>166</x:v>
      </x:c>
      <x:c r="BK22" s="552" t="s">
        <x:v>166</x:v>
      </x:c>
      <x:c r="BL22" s="552" t="s">
        <x:v>166</x:v>
      </x:c>
      <x:c r="BM22" s="552" t="s">
        <x:v>166</x:v>
      </x:c>
      <x:c r="BN22" s="552" t="s">
        <x:v>166</x:v>
      </x:c>
      <x:c r="BO22" s="1619" t="s">
        <x:v>167</x:v>
      </x:c>
      <x:c r="BP22" s="1619" t="s">
        <x:v>167</x:v>
      </x:c>
      <x:c r="BQ22" s="552" t="s">
        <x:v>166</x:v>
      </x:c>
      <x:c r="BR22" s="552" t="s">
        <x:v>166</x:v>
      </x:c>
      <x:c r="BS22" s="238"/>
      <x:c r="BT22" s="552" t="s">
        <x:v>167</x:v>
      </x:c>
      <x:c r="BU22" s="238"/>
      <x:c r="BV22" s="238"/>
      <x:c r="BW22" s="378"/>
      <x:c r="BX22" s="378"/>
      <x:c r="BY22" s="378"/>
      <x:c r="CA22" s="238"/>
      <x:c r="CB22" s="238"/>
      <x:c r="CC22" s="449"/>
    </x:row>
    <x:row r="23" spans="1:81" ht="14.1" customHeight="1" x14ac:dyDescent="0.2">
      <x:c r="A23" s="2691" t="s">
        <x:v>1550</x:v>
      </x:c>
      <x:c r="B23" s="2692" t="s">
        <x:v>154</x:v>
      </x:c>
      <x:c r="C23" s="2692" t="s">
        <x:v>167</x:v>
      </x:c>
      <x:c r="D23" s="2692" t="s">
        <x:v>145</x:v>
      </x:c>
      <x:c r="E23" s="2693"/>
      <x:c r="F23" s="2694">
        <x:v>10400</x:v>
      </x:c>
      <x:c r="G23" s="2695"/>
      <x:c r="H23" s="2696"/>
      <x:c r="I23" s="2694"/>
      <x:c r="J23" s="2695"/>
      <x:c r="K23" s="2696"/>
      <x:c r="L23" s="2697" t="s">
        <x:v>116</x:v>
      </x:c>
      <x:c r="M23" s="2698" t="s">
        <x:v>116</x:v>
      </x:c>
      <x:c r="N23" s="2700" t="s">
        <x:v>1548</x:v>
      </x:c>
      <x:c r="O23" s="2701"/>
      <x:c r="P23" s="2690" t="b">
        <x:f t="shared" si="3"/>
        <x:v>1</x:v>
      </x:c>
      <x:c r="R23" s="245" t="b">
        <x:f t="shared" si="1"/>
        <x:v>1</x:v>
      </x:c>
      <x:c r="AO23" s="238" t="str">
        <x:f t="shared" si="2"/>
        <x:v>31</x:v>
      </x:c>
      <x:c r="AP23" s="945" t="b">
        <x:v>0</x:v>
      </x:c>
      <x:c r="AQ23" s="1322" t="s">
        <x:v>154</x:v>
      </x:c>
      <x:c r="AR23" s="1323" t="s">
        <x:v>167</x:v>
      </x:c>
      <x:c r="AS23" s="1323" t="s">
        <x:v>145</x:v>
      </x:c>
      <x:c r="AT23" s="1323"/>
      <x:c r="AU23" s="1323">
        <x:v>10400</x:v>
      </x:c>
      <x:c r="AV23" s="1323"/>
      <x:c r="AW23" s="1323"/>
      <x:c r="AX23" s="1323"/>
      <x:c r="AY23" s="1323"/>
      <x:c r="AZ23" s="1323"/>
      <x:c r="BA23" s="1532" t="s">
        <x:v>116</x:v>
      </x:c>
      <x:c r="BB23" s="1532" t="s">
        <x:v>116</x:v>
      </x:c>
      <x:c r="BC23" s="1533" t="s">
        <x:v>1548</x:v>
      </x:c>
      <x:c r="BD23" s="245">
        <x:v>4</x:v>
      </x:c>
      <x:c r="BE23" s="1041" t="s">
        <x:v>1541</x:v>
      </x:c>
      <x:c r="BF23" s="552" t="s">
        <x:v>166</x:v>
      </x:c>
      <x:c r="BG23" s="483"/>
      <x:c r="BH23" s="483"/>
      <x:c r="BI23" s="483"/>
      <x:c r="BJ23" s="483"/>
      <x:c r="BK23" s="483"/>
      <x:c r="BL23" s="483"/>
      <x:c r="BM23" s="483"/>
      <x:c r="BN23" s="483"/>
      <x:c r="BO23" s="1619" t="s">
        <x:v>166</x:v>
      </x:c>
      <x:c r="BP23" s="1619" t="s">
        <x:v>166</x:v>
      </x:c>
      <x:c r="BQ23" s="483"/>
      <x:c r="BR23" s="483"/>
      <x:c r="BS23" s="483"/>
      <x:c r="BT23" s="552" t="s">
        <x:v>166</x:v>
      </x:c>
      <x:c r="BU23" s="483"/>
      <x:c r="BV23" s="483"/>
      <x:c r="BW23" s="378"/>
      <x:c r="BX23" s="378"/>
      <x:c r="BY23" s="378"/>
      <x:c r="CA23" s="238"/>
      <x:c r="CB23" s="238"/>
      <x:c r="CC23" s="449"/>
    </x:row>
    <x:row r="24" spans="1:81" ht="14.1" customHeight="1" x14ac:dyDescent="0.2">
      <x:c r="A24" s="2691"/>
      <x:c r="B24" s="2692" t="s">
        <x:v>154</x:v>
      </x:c>
      <x:c r="C24" s="2692" t="s">
        <x:v>167</x:v>
      </x:c>
      <x:c r="D24" s="2692" t="s">
        <x:v>145</x:v>
      </x:c>
      <x:c r="E24" s="2693"/>
      <x:c r="F24" s="2694">
        <x:v>-10400</x:v>
      </x:c>
      <x:c r="G24" s="2695"/>
      <x:c r="H24" s="2696"/>
      <x:c r="I24" s="2694"/>
      <x:c r="J24" s="2695"/>
      <x:c r="K24" s="2696"/>
      <x:c r="L24" s="2697" t="s">
        <x:v>116</x:v>
      </x:c>
      <x:c r="M24" s="2698" t="s">
        <x:v>808</x:v>
      </x:c>
      <x:c r="N24" s="2700" t="s">
        <x:v>116</x:v>
      </x:c>
      <x:c r="O24" s="2701"/>
      <x:c r="P24" s="2690" t="b">
        <x:f t="shared" si="3"/>
        <x:v>1</x:v>
      </x:c>
      <x:c r="R24" s="245" t="b">
        <x:f t="shared" si="1"/>
        <x:v>1</x:v>
      </x:c>
      <x:c r="AO24" s="238" t="str">
        <x:f t="shared" si="2"/>
        <x:v>31</x:v>
      </x:c>
      <x:c r="AP24" s="945" t="b">
        <x:v>0</x:v>
      </x:c>
      <x:c r="AQ24" s="1322" t="s">
        <x:v>154</x:v>
      </x:c>
      <x:c r="AR24" s="1323" t="s">
        <x:v>167</x:v>
      </x:c>
      <x:c r="AS24" s="1323" t="s">
        <x:v>145</x:v>
      </x:c>
      <x:c r="AT24" s="1323"/>
      <x:c r="AU24" s="1323">
        <x:v>-10400</x:v>
      </x:c>
      <x:c r="AV24" s="1323"/>
      <x:c r="AW24" s="1323"/>
      <x:c r="AX24" s="1323"/>
      <x:c r="AY24" s="1323"/>
      <x:c r="AZ24" s="1323"/>
      <x:c r="BA24" s="1532" t="s">
        <x:v>116</x:v>
      </x:c>
      <x:c r="BB24" s="1532" t="s">
        <x:v>808</x:v>
      </x:c>
      <x:c r="BC24" s="1533" t="s">
        <x:v>116</x:v>
      </x:c>
      <x:c r="BE24" s="1041" t="s">
        <x:v>1525</x:v>
      </x:c>
      <x:c r="BF24" s="483"/>
      <x:c r="BG24" s="483"/>
      <x:c r="BH24" s="483"/>
      <x:c r="BI24" s="483"/>
      <x:c r="BJ24" s="483"/>
      <x:c r="BK24" s="483"/>
      <x:c r="BL24" s="483"/>
      <x:c r="BM24" s="483"/>
      <x:c r="BN24" s="483"/>
      <x:c r="BO24" s="1619" t="s">
        <x:v>144</x:v>
      </x:c>
      <x:c r="BP24" s="1619" t="s">
        <x:v>144</x:v>
      </x:c>
      <x:c r="BQ24" s="483"/>
      <x:c r="BR24" s="483"/>
      <x:c r="BS24" s="483"/>
      <x:c r="BT24" s="1620" t="s">
        <x:v>144</x:v>
      </x:c>
      <x:c r="BU24" s="483"/>
      <x:c r="BV24" s="483"/>
      <x:c r="BW24" s="378"/>
      <x:c r="BX24" s="378"/>
      <x:c r="BY24" s="378"/>
      <x:c r="CA24" s="238"/>
      <x:c r="CB24" s="238"/>
      <x:c r="CC24" s="449"/>
    </x:row>
    <x:row r="25" spans="1:81" ht="14.1" customHeight="1" x14ac:dyDescent="0.2">
      <x:c r="A25" s="2691"/>
      <x:c r="B25" s="2692" t="s">
        <x:v>151</x:v>
      </x:c>
      <x:c r="C25" s="2692" t="s">
        <x:v>167</x:v>
      </x:c>
      <x:c r="D25" s="2692" t="s">
        <x:v>145</x:v>
      </x:c>
      <x:c r="E25" s="2693"/>
      <x:c r="F25" s="2694">
        <x:v>285</x:v>
      </x:c>
      <x:c r="G25" s="2695"/>
      <x:c r="H25" s="2696"/>
      <x:c r="I25" s="2694"/>
      <x:c r="J25" s="2695"/>
      <x:c r="K25" s="2696"/>
      <x:c r="L25" s="2697" t="s">
        <x:v>116</x:v>
      </x:c>
      <x:c r="M25" s="2698" t="s">
        <x:v>116</x:v>
      </x:c>
      <x:c r="N25" s="2700" t="s">
        <x:v>116</x:v>
      </x:c>
      <x:c r="O25" s="2701"/>
      <x:c r="P25" s="2690" t="b">
        <x:f t="shared" si="3"/>
        <x:v>1</x:v>
      </x:c>
      <x:c r="R25" s="245" t="b">
        <x:f t="shared" si="1"/>
        <x:v>0</x:v>
      </x:c>
      <x:c r="AO25" s="238" t="str">
        <x:f t="shared" si="2"/>
        <x:v>31</x:v>
      </x:c>
      <x:c r="AP25" s="945" t="b">
        <x:v>0</x:v>
      </x:c>
      <x:c r="AQ25" s="1322" t="s">
        <x:v>151</x:v>
      </x:c>
      <x:c r="AR25" s="1323" t="s">
        <x:v>167</x:v>
      </x:c>
      <x:c r="AS25" s="1323" t="s">
        <x:v>145</x:v>
      </x:c>
      <x:c r="AT25" s="1323"/>
      <x:c r="AU25" s="1323">
        <x:v>285</x:v>
      </x:c>
      <x:c r="AV25" s="1323"/>
      <x:c r="AW25" s="1323"/>
      <x:c r="AX25" s="1323"/>
      <x:c r="AY25" s="1323"/>
      <x:c r="AZ25" s="1323"/>
      <x:c r="BA25" s="1532" t="s">
        <x:v>116</x:v>
      </x:c>
      <x:c r="BB25" s="1532" t="s">
        <x:v>116</x:v>
      </x:c>
      <x:c r="BC25" s="1533" t="s">
        <x:v>116</x:v>
      </x:c>
      <x:c r="BE25" s="1041" t="s">
        <x:v>1534</x:v>
      </x:c>
      <x:c r="BF25" s="238"/>
      <x:c r="BG25" s="238"/>
      <x:c r="BH25" s="238"/>
      <x:c r="BI25" s="238"/>
      <x:c r="BJ25" s="238"/>
      <x:c r="BK25" s="238"/>
      <x:c r="BL25" s="238"/>
      <x:c r="BM25" s="238"/>
      <x:c r="BN25" s="238"/>
      <x:c r="BO25" s="238"/>
      <x:c r="BP25" s="238"/>
      <x:c r="BQ25" s="238"/>
      <x:c r="BR25" s="238"/>
      <x:c r="BS25" s="238"/>
      <x:c r="BT25" s="1620" t="s">
        <x:v>152</x:v>
      </x:c>
      <x:c r="BU25" s="238"/>
      <x:c r="BV25" s="238"/>
      <x:c r="BW25" s="378"/>
      <x:c r="BX25" s="378"/>
      <x:c r="BY25" s="378"/>
    </x:row>
    <x:row r="26" spans="1:81" ht="14.1" customHeight="1" x14ac:dyDescent="0.2">
      <x:c r="A26" s="2691"/>
      <x:c r="B26" s="2692" t="s">
        <x:v>151</x:v>
      </x:c>
      <x:c r="C26" s="2692" t="s">
        <x:v>167</x:v>
      </x:c>
      <x:c r="D26" s="2692" t="s">
        <x:v>145</x:v>
      </x:c>
      <x:c r="E26" s="2693"/>
      <x:c r="F26" s="2694">
        <x:v>-285</x:v>
      </x:c>
      <x:c r="G26" s="2695"/>
      <x:c r="H26" s="2696"/>
      <x:c r="I26" s="2694"/>
      <x:c r="J26" s="2695"/>
      <x:c r="K26" s="2696"/>
      <x:c r="L26" s="2697" t="s">
        <x:v>116</x:v>
      </x:c>
      <x:c r="M26" s="2698" t="s">
        <x:v>808</x:v>
      </x:c>
      <x:c r="N26" s="2700" t="s">
        <x:v>116</x:v>
      </x:c>
      <x:c r="O26" s="2701"/>
      <x:c r="P26" s="2690" t="b">
        <x:f t="shared" si="3"/>
        <x:v>1</x:v>
      </x:c>
      <x:c r="R26" s="245" t="b">
        <x:f t="shared" si="1"/>
        <x:v>0</x:v>
      </x:c>
      <x:c r="AO26" s="238" t="str">
        <x:f t="shared" si="2"/>
        <x:v>31</x:v>
      </x:c>
      <x:c r="AP26" s="945" t="b">
        <x:v>0</x:v>
      </x:c>
      <x:c r="AQ26" s="1322" t="s">
        <x:v>151</x:v>
      </x:c>
      <x:c r="AR26" s="1323" t="s">
        <x:v>167</x:v>
      </x:c>
      <x:c r="AS26" s="1323" t="s">
        <x:v>145</x:v>
      </x:c>
      <x:c r="AT26" s="1323"/>
      <x:c r="AU26" s="1323">
        <x:v>-285</x:v>
      </x:c>
      <x:c r="AV26" s="1323"/>
      <x:c r="AW26" s="1323"/>
      <x:c r="AX26" s="1323"/>
      <x:c r="AY26" s="1323"/>
      <x:c r="AZ26" s="1323"/>
      <x:c r="BA26" s="1532" t="s">
        <x:v>116</x:v>
      </x:c>
      <x:c r="BB26" s="1532" t="s">
        <x:v>808</x:v>
      </x:c>
      <x:c r="BC26" s="1533" t="s">
        <x:v>116</x:v>
      </x:c>
      <x:c r="BE26" s="1041" t="s">
        <x:v>1560</x:v>
      </x:c>
      <x:c r="BF26" s="238"/>
      <x:c r="BG26" s="238"/>
      <x:c r="BH26" s="238"/>
      <x:c r="BI26" s="238"/>
      <x:c r="BJ26" s="238"/>
      <x:c r="BK26" s="238"/>
      <x:c r="BL26" s="238"/>
      <x:c r="BM26" s="238"/>
      <x:c r="BN26" s="238"/>
      <x:c r="BO26" s="238"/>
      <x:c r="BP26" s="238"/>
      <x:c r="BQ26" s="238"/>
      <x:c r="BR26" s="238"/>
      <x:c r="BS26" s="238"/>
      <x:c r="BT26" s="238"/>
      <x:c r="BU26" s="238"/>
      <x:c r="BV26" s="238"/>
      <x:c r="BW26" s="378"/>
      <x:c r="BX26" s="378"/>
      <x:c r="BY26" s="378"/>
    </x:row>
    <x:row r="27" spans="1:81" ht="14.1" customHeight="1" x14ac:dyDescent="0.2">
      <x:c r="A27" s="2691" t="s">
        <x:v>1551</x:v>
      </x:c>
      <x:c r="B27" s="2692" t="s">
        <x:v>148</x:v>
      </x:c>
      <x:c r="C27" s="2692" t="s">
        <x:v>167</x:v>
      </x:c>
      <x:c r="D27" s="2692" t="s">
        <x:v>145</x:v>
      </x:c>
      <x:c r="E27" s="2693"/>
      <x:c r="F27" s="2694">
        <x:v>10800</x:v>
      </x:c>
      <x:c r="G27" s="2695">
        <x:v>6</x:v>
      </x:c>
      <x:c r="H27" s="2696">
        <x:v>2.375</x:v>
      </x:c>
      <x:c r="I27" s="2694"/>
      <x:c r="J27" s="2695"/>
      <x:c r="K27" s="2696"/>
      <x:c r="L27" s="2697" t="s">
        <x:v>702</x:v>
      </x:c>
      <x:c r="M27" s="2698" t="s">
        <x:v>116</x:v>
      </x:c>
      <x:c r="N27" s="2700" t="s">
        <x:v>1552</x:v>
      </x:c>
      <x:c r="O27" s="2701"/>
      <x:c r="P27" s="2690" t="b">
        <x:f t="shared" si="3"/>
        <x:v>1</x:v>
      </x:c>
      <x:c r="R27" s="245" t="b">
        <x:f t="shared" si="1"/>
        <x:v>0</x:v>
      </x:c>
      <x:c r="AO27" s="238" t="str">
        <x:f t="shared" si="2"/>
        <x:v>32</x:v>
      </x:c>
      <x:c r="AP27" s="945" t="b">
        <x:v>0</x:v>
      </x:c>
      <x:c r="AQ27" s="1322" t="s">
        <x:v>148</x:v>
      </x:c>
      <x:c r="AR27" s="1323" t="s">
        <x:v>167</x:v>
      </x:c>
      <x:c r="AS27" s="1323" t="s">
        <x:v>145</x:v>
      </x:c>
      <x:c r="AT27" s="1323"/>
      <x:c r="AU27" s="1323">
        <x:v>10800</x:v>
      </x:c>
      <x:c r="AV27" s="1323">
        <x:v>6</x:v>
      </x:c>
      <x:c r="AW27" s="1323">
        <x:v>2.375</x:v>
      </x:c>
      <x:c r="AX27" s="1323"/>
      <x:c r="AY27" s="1323"/>
      <x:c r="AZ27" s="1323"/>
      <x:c r="BA27" s="1532" t="s">
        <x:v>702</x:v>
      </x:c>
      <x:c r="BB27" s="1532" t="s">
        <x:v>116</x:v>
      </x:c>
      <x:c r="BC27" s="1533" t="s">
        <x:v>1552</x:v>
      </x:c>
      <x:c r="BD27" s="245">
        <x:v>2</x:v>
      </x:c>
      <x:c r="BE27" s="1041" t="s">
        <x:v>1547</x:v>
      </x:c>
      <x:c r="BF27" s="238"/>
      <x:c r="BG27" s="238"/>
      <x:c r="BH27" s="238"/>
      <x:c r="BI27" s="238"/>
      <x:c r="BJ27" s="238"/>
      <x:c r="BK27" s="238"/>
      <x:c r="BL27" s="238"/>
      <x:c r="BM27" s="238"/>
      <x:c r="BN27" s="238"/>
      <x:c r="BO27" s="238"/>
      <x:c r="BP27" s="238"/>
      <x:c r="BQ27" s="238"/>
      <x:c r="BR27" s="238"/>
      <x:c r="BS27" s="238"/>
      <x:c r="BT27" s="238"/>
      <x:c r="BU27" s="238"/>
      <x:c r="BV27" s="238"/>
      <x:c r="BW27" s="378"/>
      <x:c r="BX27" s="378"/>
      <x:c r="BY27" s="378"/>
    </x:row>
    <x:row r="28" spans="1:81" ht="14.1" customHeight="1" x14ac:dyDescent="0.2">
      <x:c r="A28" s="2691"/>
      <x:c r="B28" s="2692" t="s">
        <x:v>148</x:v>
      </x:c>
      <x:c r="C28" s="2692" t="s">
        <x:v>167</x:v>
      </x:c>
      <x:c r="D28" s="2692" t="s">
        <x:v>145</x:v>
      </x:c>
      <x:c r="E28" s="2693"/>
      <x:c r="F28" s="2694">
        <x:v>-10800</x:v>
      </x:c>
      <x:c r="G28" s="2695">
        <x:v>6</x:v>
      </x:c>
      <x:c r="H28" s="2696">
        <x:v>2.375</x:v>
      </x:c>
      <x:c r="I28" s="2694"/>
      <x:c r="J28" s="2695"/>
      <x:c r="K28" s="2696"/>
      <x:c r="L28" s="2697" t="s">
        <x:v>702</x:v>
      </x:c>
      <x:c r="M28" s="2698" t="s">
        <x:v>808</x:v>
      </x:c>
      <x:c r="N28" s="2699" t="s">
        <x:v>116</x:v>
      </x:c>
      <x:c r="O28" s="2689"/>
      <x:c r="P28" s="2690" t="b">
        <x:f t="shared" si="3"/>
        <x:v>1</x:v>
      </x:c>
      <x:c r="R28" s="245" t="b">
        <x:f t="shared" si="1"/>
        <x:v>0</x:v>
      </x:c>
      <x:c r="AO28" s="238" t="str">
        <x:f t="shared" si="2"/>
        <x:v>32</x:v>
      </x:c>
      <x:c r="AP28" s="945" t="b">
        <x:v>0</x:v>
      </x:c>
      <x:c r="AQ28" s="1322" t="s">
        <x:v>148</x:v>
      </x:c>
      <x:c r="AR28" s="1323" t="s">
        <x:v>167</x:v>
      </x:c>
      <x:c r="AS28" s="1323" t="s">
        <x:v>145</x:v>
      </x:c>
      <x:c r="AT28" s="1323"/>
      <x:c r="AU28" s="1323">
        <x:v>-10800</x:v>
      </x:c>
      <x:c r="AV28" s="1323">
        <x:v>6</x:v>
      </x:c>
      <x:c r="AW28" s="1323">
        <x:v>2.375</x:v>
      </x:c>
      <x:c r="AX28" s="1323"/>
      <x:c r="AY28" s="1323"/>
      <x:c r="AZ28" s="1323"/>
      <x:c r="BA28" s="1532" t="s">
        <x:v>702</x:v>
      </x:c>
      <x:c r="BB28" s="1532" t="s">
        <x:v>808</x:v>
      </x:c>
      <x:c r="BC28" s="1533" t="s">
        <x:v>116</x:v>
      </x:c>
      <x:c r="BE28" s="1041" t="s">
        <x:v>1526</x:v>
      </x:c>
      <x:c r="BF28" s="238"/>
      <x:c r="BG28" s="238"/>
      <x:c r="BH28" s="238"/>
      <x:c r="BI28" s="238"/>
      <x:c r="BJ28" s="238"/>
      <x:c r="BK28" s="238"/>
      <x:c r="BL28" s="238"/>
      <x:c r="BM28" s="238"/>
      <x:c r="BN28" s="238"/>
      <x:c r="BO28" s="238"/>
      <x:c r="BP28" s="238"/>
      <x:c r="BQ28" s="238"/>
      <x:c r="BR28" s="238"/>
      <x:c r="BS28" s="238"/>
      <x:c r="BT28" s="238"/>
      <x:c r="BU28" s="238"/>
      <x:c r="BV28" s="238"/>
      <x:c r="BW28" s="378"/>
      <x:c r="BX28" s="378"/>
      <x:c r="BY28" s="378"/>
    </x:row>
    <x:row r="29" spans="1:81" ht="14.1" customHeight="1" x14ac:dyDescent="0.2">
      <x:c r="A29" s="2691" t="s">
        <x:v>1553</x:v>
      </x:c>
      <x:c r="B29" s="2692" t="s">
        <x:v>148</x:v>
      </x:c>
      <x:c r="C29" s="2692" t="s">
        <x:v>167</x:v>
      </x:c>
      <x:c r="D29" s="2692" t="s">
        <x:v>145</x:v>
      </x:c>
      <x:c r="E29" s="2693"/>
      <x:c r="F29" s="2694">
        <x:v>19900</x:v>
      </x:c>
      <x:c r="G29" s="2695">
        <x:v>6</x:v>
      </x:c>
      <x:c r="H29" s="2696">
        <x:v>2.375</x:v>
      </x:c>
      <x:c r="I29" s="2694"/>
      <x:c r="J29" s="2695"/>
      <x:c r="K29" s="2696"/>
      <x:c r="L29" s="2697" t="s">
        <x:v>702</x:v>
      </x:c>
      <x:c r="M29" s="2698" t="s">
        <x:v>116</x:v>
      </x:c>
      <x:c r="N29" s="2699" t="s">
        <x:v>1552</x:v>
      </x:c>
      <x:c r="O29" s="2689"/>
      <x:c r="P29" s="2690" t="b">
        <x:f t="shared" si="3"/>
        <x:v>1</x:v>
      </x:c>
      <x:c r="R29" s="245" t="b">
        <x:f t="shared" si="1"/>
        <x:v>0</x:v>
      </x:c>
      <x:c r="AO29" s="238" t="str">
        <x:f t="shared" si="2"/>
        <x:v>33</x:v>
      </x:c>
      <x:c r="AP29" s="945" t="b">
        <x:v>0</x:v>
      </x:c>
      <x:c r="AQ29" s="1322" t="s">
        <x:v>148</x:v>
      </x:c>
      <x:c r="AR29" s="1323" t="s">
        <x:v>167</x:v>
      </x:c>
      <x:c r="AS29" s="1323" t="s">
        <x:v>145</x:v>
      </x:c>
      <x:c r="AT29" s="1323"/>
      <x:c r="AU29" s="1323">
        <x:v>19900</x:v>
      </x:c>
      <x:c r="AV29" s="1323">
        <x:v>6</x:v>
      </x:c>
      <x:c r="AW29" s="1323">
        <x:v>2.375</x:v>
      </x:c>
      <x:c r="AX29" s="1323"/>
      <x:c r="AY29" s="1323"/>
      <x:c r="AZ29" s="1323"/>
      <x:c r="BA29" s="1532" t="s">
        <x:v>702</x:v>
      </x:c>
      <x:c r="BB29" s="1532" t="s">
        <x:v>116</x:v>
      </x:c>
      <x:c r="BC29" s="1533" t="s">
        <x:v>1552</x:v>
      </x:c>
      <x:c r="BD29" s="245">
        <x:v>2</x:v>
      </x:c>
      <x:c r="BE29" s="1041" t="s">
        <x:v>1527</x:v>
      </x:c>
      <x:c r="BF29" s="238"/>
      <x:c r="BG29" s="238"/>
      <x:c r="BH29" s="238"/>
      <x:c r="BI29" s="238"/>
      <x:c r="BJ29" s="238"/>
      <x:c r="BK29" s="238"/>
      <x:c r="BL29" s="238"/>
      <x:c r="BM29" s="238"/>
      <x:c r="BN29" s="238"/>
      <x:c r="BO29" s="238"/>
      <x:c r="BP29" s="238"/>
      <x:c r="BQ29" s="238"/>
      <x:c r="BR29" s="238"/>
      <x:c r="BS29" s="238"/>
      <x:c r="BT29" s="238"/>
      <x:c r="BU29" s="238"/>
      <x:c r="BV29" s="238"/>
      <x:c r="BW29" s="378"/>
      <x:c r="BX29" s="378"/>
      <x:c r="BY29" s="378"/>
    </x:row>
    <x:row r="30" spans="1:81" ht="14.1" customHeight="1" x14ac:dyDescent="0.2">
      <x:c r="A30" s="2691"/>
      <x:c r="B30" s="2692" t="s">
        <x:v>148</x:v>
      </x:c>
      <x:c r="C30" s="2692" t="s">
        <x:v>167</x:v>
      </x:c>
      <x:c r="D30" s="2692" t="s">
        <x:v>145</x:v>
      </x:c>
      <x:c r="E30" s="2693"/>
      <x:c r="F30" s="2694">
        <x:v>-19900</x:v>
      </x:c>
      <x:c r="G30" s="2695">
        <x:v>6</x:v>
      </x:c>
      <x:c r="H30" s="2696">
        <x:v>2.375</x:v>
      </x:c>
      <x:c r="I30" s="2694"/>
      <x:c r="J30" s="2695"/>
      <x:c r="K30" s="2696"/>
      <x:c r="L30" s="2697" t="s">
        <x:v>702</x:v>
      </x:c>
      <x:c r="M30" s="2698" t="s">
        <x:v>808</x:v>
      </x:c>
      <x:c r="N30" s="2699" t="s">
        <x:v>116</x:v>
      </x:c>
      <x:c r="O30" s="2689"/>
      <x:c r="P30" s="2690" t="b">
        <x:f t="shared" si="3"/>
        <x:v>1</x:v>
      </x:c>
      <x:c r="R30" s="245" t="b">
        <x:f t="shared" si="1"/>
        <x:v>0</x:v>
      </x:c>
      <x:c r="AO30" s="238" t="str">
        <x:f t="shared" si="2"/>
        <x:v>33</x:v>
      </x:c>
      <x:c r="AP30" s="945" t="b">
        <x:v>0</x:v>
      </x:c>
      <x:c r="AQ30" s="1322" t="s">
        <x:v>148</x:v>
      </x:c>
      <x:c r="AR30" s="1323" t="s">
        <x:v>167</x:v>
      </x:c>
      <x:c r="AS30" s="1323" t="s">
        <x:v>145</x:v>
      </x:c>
      <x:c r="AT30" s="1323"/>
      <x:c r="AU30" s="1323">
        <x:v>-19900</x:v>
      </x:c>
      <x:c r="AV30" s="1323">
        <x:v>6</x:v>
      </x:c>
      <x:c r="AW30" s="1323">
        <x:v>2.375</x:v>
      </x:c>
      <x:c r="AX30" s="1323"/>
      <x:c r="AY30" s="1323"/>
      <x:c r="AZ30" s="1323"/>
      <x:c r="BA30" s="1532" t="s">
        <x:v>702</x:v>
      </x:c>
      <x:c r="BB30" s="1532" t="s">
        <x:v>808</x:v>
      </x:c>
      <x:c r="BC30" s="1533" t="s">
        <x:v>116</x:v>
      </x:c>
      <x:c r="BE30" s="1041" t="s">
        <x:v>1528</x:v>
      </x:c>
      <x:c r="BF30" s="580">
        <x:f t="shared" ref="BF30:CC30" si="4">COUNTA(BF16:BF29)</x:f>
        <x:v>8</x:v>
      </x:c>
      <x:c r="BG30" s="580">
        <x:f t="shared" si="4"/>
        <x:v>2</x:v>
      </x:c>
      <x:c r="BH30" s="580">
        <x:f t="shared" si="4"/>
        <x:v>2</x:v>
      </x:c>
      <x:c r="BI30" s="580">
        <x:f t="shared" si="4"/>
        <x:v>7</x:v>
      </x:c>
      <x:c r="BJ30" s="580">
        <x:f t="shared" si="4"/>
        <x:v>7</x:v>
      </x:c>
      <x:c r="BK30" s="580">
        <x:f t="shared" si="4"/>
        <x:v>7</x:v>
      </x:c>
      <x:c r="BL30" s="580">
        <x:f t="shared" si="4"/>
        <x:v>7</x:v>
      </x:c>
      <x:c r="BM30" s="580">
        <x:f t="shared" si="4"/>
        <x:v>7</x:v>
      </x:c>
      <x:c r="BN30" s="580">
        <x:f t="shared" si="4"/>
        <x:v>7</x:v>
      </x:c>
      <x:c r="BO30" s="580">
        <x:f t="shared" si="4"/>
        <x:v>9</x:v>
      </x:c>
      <x:c r="BP30" s="580">
        <x:f t="shared" si="4"/>
        <x:v>9</x:v>
      </x:c>
      <x:c r="BQ30" s="580">
        <x:f t="shared" si="4"/>
        <x:v>7</x:v>
      </x:c>
      <x:c r="BR30" s="580">
        <x:f t="shared" si="4"/>
        <x:v>7</x:v>
      </x:c>
      <x:c r="BS30" s="580">
        <x:f t="shared" si="4"/>
        <x:v>4</x:v>
      </x:c>
      <x:c r="BT30" s="580">
        <x:f t="shared" si="4"/>
        <x:v>10</x:v>
      </x:c>
      <x:c r="BU30" s="580">
        <x:f t="shared" si="4"/>
        <x:v>1</x:v>
      </x:c>
      <x:c r="BV30" s="580">
        <x:f t="shared" si="4"/>
        <x:v>0</x:v>
      </x:c>
      <x:c r="BW30" s="580">
        <x:f t="shared" si="4"/>
        <x:v>2</x:v>
      </x:c>
      <x:c r="BX30" s="580">
        <x:f t="shared" si="4"/>
        <x:v>4</x:v>
      </x:c>
      <x:c r="BY30" s="580">
        <x:f t="shared" si="4"/>
        <x:v>3</x:v>
      </x:c>
      <x:c r="BZ30" s="580">
        <x:f t="shared" si="4"/>
        <x:v>1</x:v>
      </x:c>
      <x:c r="CA30" s="580">
        <x:f t="shared" si="4"/>
        <x:v>6</x:v>
      </x:c>
      <x:c r="CB30" s="580">
        <x:f t="shared" si="4"/>
        <x:v>4</x:v>
      </x:c>
      <x:c r="CC30" s="580">
        <x:f t="shared" si="4"/>
        <x:v>4</x:v>
      </x:c>
    </x:row>
    <x:row r="31" spans="1:81" ht="14.1" customHeight="1" x14ac:dyDescent="0.2">
      <x:c r="A31" s="2691" t="s">
        <x:v>1554</x:v>
      </x:c>
      <x:c r="B31" s="2692" t="s">
        <x:v>148</x:v>
      </x:c>
      <x:c r="C31" s="2692" t="s">
        <x:v>167</x:v>
      </x:c>
      <x:c r="D31" s="2692" t="s">
        <x:v>145</x:v>
      </x:c>
      <x:c r="E31" s="2693"/>
      <x:c r="F31" s="2694">
        <x:v>15800</x:v>
      </x:c>
      <x:c r="G31" s="2695">
        <x:v>6</x:v>
      </x:c>
      <x:c r="H31" s="2696">
        <x:v>2.375</x:v>
      </x:c>
      <x:c r="I31" s="2694"/>
      <x:c r="J31" s="2695"/>
      <x:c r="K31" s="2696"/>
      <x:c r="L31" s="2697" t="s">
        <x:v>702</x:v>
      </x:c>
      <x:c r="M31" s="2697" t="s">
        <x:v>116</x:v>
      </x:c>
      <x:c r="N31" s="2699" t="s">
        <x:v>1552</x:v>
      </x:c>
      <x:c r="O31" s="2689"/>
      <x:c r="P31" s="2690" t="b">
        <x:f t="shared" si="3"/>
        <x:v>1</x:v>
      </x:c>
      <x:c r="R31" s="245" t="b">
        <x:f t="shared" si="1"/>
        <x:v>0</x:v>
      </x:c>
      <x:c r="AO31" s="238" t="str">
        <x:f t="shared" si="2"/>
        <x:v>34</x:v>
      </x:c>
      <x:c r="AP31" s="945" t="b">
        <x:v>0</x:v>
      </x:c>
      <x:c r="AQ31" s="1322" t="s">
        <x:v>148</x:v>
      </x:c>
      <x:c r="AR31" s="1323" t="s">
        <x:v>167</x:v>
      </x:c>
      <x:c r="AS31" s="1323" t="s">
        <x:v>145</x:v>
      </x:c>
      <x:c r="AT31" s="1323"/>
      <x:c r="AU31" s="1323">
        <x:v>15800</x:v>
      </x:c>
      <x:c r="AV31" s="1323">
        <x:v>6</x:v>
      </x:c>
      <x:c r="AW31" s="1323">
        <x:v>2.375</x:v>
      </x:c>
      <x:c r="AX31" s="1323"/>
      <x:c r="AY31" s="1323"/>
      <x:c r="AZ31" s="1323"/>
      <x:c r="BA31" s="1532" t="s">
        <x:v>702</x:v>
      </x:c>
      <x:c r="BB31" s="1532" t="s">
        <x:v>116</x:v>
      </x:c>
      <x:c r="BC31" s="1533" t="s">
        <x:v>1552</x:v>
      </x:c>
      <x:c r="BD31" s="245">
        <x:v>2</x:v>
      </x:c>
      <x:c r="BE31" s="1041" t="s">
        <x:v>1529</x:v>
      </x:c>
    </x:row>
    <x:row r="32" spans="1:81" ht="14.1" customHeight="1" x14ac:dyDescent="0.2">
      <x:c r="A32" s="2691"/>
      <x:c r="B32" s="2692" t="s">
        <x:v>148</x:v>
      </x:c>
      <x:c r="C32" s="2692" t="s">
        <x:v>167</x:v>
      </x:c>
      <x:c r="D32" s="2692" t="s">
        <x:v>145</x:v>
      </x:c>
      <x:c r="E32" s="2693"/>
      <x:c r="F32" s="2694">
        <x:v>-15800</x:v>
      </x:c>
      <x:c r="G32" s="2695">
        <x:v>6</x:v>
      </x:c>
      <x:c r="H32" s="2696">
        <x:v>2.375</x:v>
      </x:c>
      <x:c r="I32" s="2694"/>
      <x:c r="J32" s="2695"/>
      <x:c r="K32" s="2696"/>
      <x:c r="L32" s="2697" t="s">
        <x:v>702</x:v>
      </x:c>
      <x:c r="M32" s="2697" t="s">
        <x:v>808</x:v>
      </x:c>
      <x:c r="N32" s="2699" t="s">
        <x:v>116</x:v>
      </x:c>
      <x:c r="O32" s="2689"/>
      <x:c r="P32" s="2690" t="b">
        <x:f t="shared" si="3"/>
        <x:v>1</x:v>
      </x:c>
      <x:c r="R32" s="245" t="b">
        <x:f t="shared" si="1"/>
        <x:v>0</x:v>
      </x:c>
      <x:c r="AO32" s="238" t="str">
        <x:f t="shared" si="2"/>
        <x:v>34</x:v>
      </x:c>
      <x:c r="AP32" s="945" t="b">
        <x:v>0</x:v>
      </x:c>
      <x:c r="AQ32" s="1322" t="s">
        <x:v>148</x:v>
      </x:c>
      <x:c r="AR32" s="1323" t="s">
        <x:v>167</x:v>
      </x:c>
      <x:c r="AS32" s="1323" t="s">
        <x:v>145</x:v>
      </x:c>
      <x:c r="AT32" s="1323"/>
      <x:c r="AU32" s="1323">
        <x:v>-15800</x:v>
      </x:c>
      <x:c r="AV32" s="1323">
        <x:v>6</x:v>
      </x:c>
      <x:c r="AW32" s="1323">
        <x:v>2.375</x:v>
      </x:c>
      <x:c r="AX32" s="1323"/>
      <x:c r="AY32" s="1323"/>
      <x:c r="AZ32" s="1323"/>
      <x:c r="BA32" s="1532" t="s">
        <x:v>702</x:v>
      </x:c>
      <x:c r="BB32" s="1532" t="s">
        <x:v>808</x:v>
      </x:c>
      <x:c r="BC32" s="1533" t="s">
        <x:v>116</x:v>
      </x:c>
      <x:c r="BE32" s="1041" t="s">
        <x:v>1397</x:v>
      </x:c>
    </x:row>
    <x:row r="33" spans="1:57" ht="14.1" customHeight="1" x14ac:dyDescent="0.2">
      <x:c r="A33" s="2691" t="s">
        <x:v>1555</x:v>
      </x:c>
      <x:c r="B33" s="2692" t="s">
        <x:v>154</x:v>
      </x:c>
      <x:c r="C33" s="2692" t="s">
        <x:v>167</x:v>
      </x:c>
      <x:c r="D33" s="2692" t="s">
        <x:v>145</x:v>
      </x:c>
      <x:c r="E33" s="2693"/>
      <x:c r="F33" s="2694">
        <x:v>1059</x:v>
      </x:c>
      <x:c r="G33" s="2695"/>
      <x:c r="H33" s="2696"/>
      <x:c r="I33" s="2694"/>
      <x:c r="J33" s="2695"/>
      <x:c r="K33" s="2696"/>
      <x:c r="L33" s="2697" t="s">
        <x:v>116</x:v>
      </x:c>
      <x:c r="M33" s="2697" t="s">
        <x:v>116</x:v>
      </x:c>
      <x:c r="N33" s="2699" t="s">
        <x:v>1556</x:v>
      </x:c>
      <x:c r="O33" s="2689"/>
      <x:c r="P33" s="2690" t="b">
        <x:f t="shared" si="3"/>
        <x:v>1</x:v>
      </x:c>
      <x:c r="R33" s="245" t="b">
        <x:f t="shared" si="1"/>
        <x:v>1</x:v>
      </x:c>
      <x:c r="AO33" s="238" t="str">
        <x:f t="shared" si="2"/>
        <x:v>35</x:v>
      </x:c>
      <x:c r="AP33" s="945" t="b">
        <x:v>0</x:v>
      </x:c>
      <x:c r="AQ33" s="1322" t="s">
        <x:v>154</x:v>
      </x:c>
      <x:c r="AR33" s="1323" t="s">
        <x:v>167</x:v>
      </x:c>
      <x:c r="AS33" s="1323" t="s">
        <x:v>145</x:v>
      </x:c>
      <x:c r="AT33" s="1323"/>
      <x:c r="AU33" s="1323">
        <x:v>1059</x:v>
      </x:c>
      <x:c r="AV33" s="1323"/>
      <x:c r="AW33" s="1323"/>
      <x:c r="AX33" s="1323"/>
      <x:c r="AY33" s="1323"/>
      <x:c r="AZ33" s="1323"/>
      <x:c r="BA33" s="1532" t="s">
        <x:v>116</x:v>
      </x:c>
      <x:c r="BB33" s="1532" t="s">
        <x:v>116</x:v>
      </x:c>
      <x:c r="BC33" s="1533" t="s">
        <x:v>1556</x:v>
      </x:c>
      <x:c r="BD33" s="245">
        <x:v>6</x:v>
      </x:c>
      <x:c r="BE33" s="1041" t="s">
        <x:v>1530</x:v>
      </x:c>
    </x:row>
    <x:row r="34" spans="1:57" ht="14.1" customHeight="1" x14ac:dyDescent="0.2">
      <x:c r="A34" s="2691"/>
      <x:c r="B34" s="2692" t="s">
        <x:v>154</x:v>
      </x:c>
      <x:c r="C34" s="2692" t="s">
        <x:v>167</x:v>
      </x:c>
      <x:c r="D34" s="2692" t="s">
        <x:v>145</x:v>
      </x:c>
      <x:c r="E34" s="2693"/>
      <x:c r="F34" s="2694">
        <x:v>-1059</x:v>
      </x:c>
      <x:c r="G34" s="2695"/>
      <x:c r="H34" s="2696"/>
      <x:c r="I34" s="2694"/>
      <x:c r="J34" s="2695"/>
      <x:c r="K34" s="2696"/>
      <x:c r="L34" s="2697" t="s">
        <x:v>116</x:v>
      </x:c>
      <x:c r="M34" s="2697" t="s">
        <x:v>808</x:v>
      </x:c>
      <x:c r="N34" s="2699" t="s">
        <x:v>116</x:v>
      </x:c>
      <x:c r="O34" s="2689"/>
      <x:c r="P34" s="2690" t="b">
        <x:f t="shared" si="3"/>
        <x:v>1</x:v>
      </x:c>
      <x:c r="R34" s="245" t="b">
        <x:f t="shared" si="1"/>
        <x:v>1</x:v>
      </x:c>
      <x:c r="AO34" s="238" t="str">
        <x:f t="shared" si="2"/>
        <x:v>35</x:v>
      </x:c>
      <x:c r="AP34" s="945" t="b">
        <x:v>0</x:v>
      </x:c>
      <x:c r="AQ34" s="1322" t="s">
        <x:v>154</x:v>
      </x:c>
      <x:c r="AR34" s="1323" t="s">
        <x:v>167</x:v>
      </x:c>
      <x:c r="AS34" s="1323" t="s">
        <x:v>145</x:v>
      </x:c>
      <x:c r="AT34" s="1323"/>
      <x:c r="AU34" s="1323">
        <x:v>-1059</x:v>
      </x:c>
      <x:c r="AV34" s="1323"/>
      <x:c r="AW34" s="1323"/>
      <x:c r="AX34" s="1323"/>
      <x:c r="AY34" s="1323"/>
      <x:c r="AZ34" s="1323"/>
      <x:c r="BA34" s="1532" t="s">
        <x:v>116</x:v>
      </x:c>
      <x:c r="BB34" s="1532" t="s">
        <x:v>808</x:v>
      </x:c>
      <x:c r="BC34" s="1533" t="s">
        <x:v>116</x:v>
      </x:c>
      <x:c r="BE34" s="1041" t="s">
        <x:v>1531</x:v>
      </x:c>
    </x:row>
    <x:row r="35" spans="1:57" ht="14.1" customHeight="1" x14ac:dyDescent="0.2">
      <x:c r="A35" s="2691"/>
      <x:c r="B35" s="2692" t="s">
        <x:v>151</x:v>
      </x:c>
      <x:c r="C35" s="2692" t="s">
        <x:v>167</x:v>
      </x:c>
      <x:c r="D35" s="2692" t="s">
        <x:v>145</x:v>
      </x:c>
      <x:c r="E35" s="2693"/>
      <x:c r="F35" s="2694">
        <x:v>8</x:v>
      </x:c>
      <x:c r="G35" s="2695"/>
      <x:c r="H35" s="2696"/>
      <x:c r="I35" s="2694"/>
      <x:c r="J35" s="2695"/>
      <x:c r="K35" s="2696"/>
      <x:c r="L35" s="2697" t="s">
        <x:v>116</x:v>
      </x:c>
      <x:c r="M35" s="2697" t="s">
        <x:v>116</x:v>
      </x:c>
      <x:c r="N35" s="2699" t="s">
        <x:v>116</x:v>
      </x:c>
      <x:c r="O35" s="2689"/>
      <x:c r="P35" s="2690" t="b">
        <x:f t="shared" si="3"/>
        <x:v>1</x:v>
      </x:c>
      <x:c r="R35" s="245" t="b">
        <x:f t="shared" si="1"/>
        <x:v>0</x:v>
      </x:c>
      <x:c r="AO35" s="238" t="str">
        <x:f t="shared" si="2"/>
        <x:v>35</x:v>
      </x:c>
      <x:c r="AP35" s="945" t="b">
        <x:v>0</x:v>
      </x:c>
      <x:c r="AQ35" s="1322" t="s">
        <x:v>151</x:v>
      </x:c>
      <x:c r="AR35" s="1323" t="s">
        <x:v>167</x:v>
      </x:c>
      <x:c r="AS35" s="1323" t="s">
        <x:v>145</x:v>
      </x:c>
      <x:c r="AT35" s="1323"/>
      <x:c r="AU35" s="1323">
        <x:v>8</x:v>
      </x:c>
      <x:c r="AV35" s="1323"/>
      <x:c r="AW35" s="1323"/>
      <x:c r="AX35" s="1323"/>
      <x:c r="AY35" s="1323"/>
      <x:c r="AZ35" s="1323"/>
      <x:c r="BA35" s="1532" t="s">
        <x:v>116</x:v>
      </x:c>
      <x:c r="BB35" s="1532" t="s">
        <x:v>116</x:v>
      </x:c>
      <x:c r="BC35" s="1533" t="s">
        <x:v>116</x:v>
      </x:c>
      <x:c r="BE35" s="1041" t="s">
        <x:v>1532</x:v>
      </x:c>
    </x:row>
    <x:row r="36" spans="1:57" ht="14.1" customHeight="1" x14ac:dyDescent="0.2">
      <x:c r="A36" s="2691"/>
      <x:c r="B36" s="2692" t="s">
        <x:v>151</x:v>
      </x:c>
      <x:c r="C36" s="2692" t="s">
        <x:v>167</x:v>
      </x:c>
      <x:c r="D36" s="2692" t="s">
        <x:v>145</x:v>
      </x:c>
      <x:c r="E36" s="2693"/>
      <x:c r="F36" s="2694">
        <x:v>-8</x:v>
      </x:c>
      <x:c r="G36" s="2695"/>
      <x:c r="H36" s="2696"/>
      <x:c r="I36" s="2694"/>
      <x:c r="J36" s="2695"/>
      <x:c r="K36" s="2696"/>
      <x:c r="L36" s="2697" t="s">
        <x:v>116</x:v>
      </x:c>
      <x:c r="M36" s="2697" t="s">
        <x:v>808</x:v>
      </x:c>
      <x:c r="N36" s="2699" t="s">
        <x:v>116</x:v>
      </x:c>
      <x:c r="O36" s="2689"/>
      <x:c r="P36" s="2690" t="b">
        <x:f t="shared" si="3"/>
        <x:v>1</x:v>
      </x:c>
      <x:c r="R36" s="245" t="b">
        <x:f t="shared" si="1"/>
        <x:v>0</x:v>
      </x:c>
      <x:c r="AO36" s="238" t="str">
        <x:f t="shared" si="2"/>
        <x:v>35</x:v>
      </x:c>
      <x:c r="AP36" s="945" t="b">
        <x:v>0</x:v>
      </x:c>
      <x:c r="AQ36" s="1322" t="s">
        <x:v>151</x:v>
      </x:c>
      <x:c r="AR36" s="1323" t="s">
        <x:v>167</x:v>
      </x:c>
      <x:c r="AS36" s="1323" t="s">
        <x:v>145</x:v>
      </x:c>
      <x:c r="AT36" s="1323"/>
      <x:c r="AU36" s="1323">
        <x:v>-8</x:v>
      </x:c>
      <x:c r="AV36" s="1323"/>
      <x:c r="AW36" s="1323"/>
      <x:c r="AX36" s="1323"/>
      <x:c r="AY36" s="1323"/>
      <x:c r="AZ36" s="1323"/>
      <x:c r="BA36" s="1532" t="s">
        <x:v>116</x:v>
      </x:c>
      <x:c r="BB36" s="1532" t="s">
        <x:v>808</x:v>
      </x:c>
      <x:c r="BC36" s="1533" t="s">
        <x:v>116</x:v>
      </x:c>
      <x:c r="BE36" s="1041" t="s">
        <x:v>1533</x:v>
      </x:c>
    </x:row>
    <x:row r="37" spans="1:57" ht="14.1" customHeight="1" x14ac:dyDescent="0.2">
      <x:c r="A37" s="2691"/>
      <x:c r="B37" s="2692" t="s">
        <x:v>157</x:v>
      </x:c>
      <x:c r="C37" s="2692" t="s">
        <x:v>167</x:v>
      </x:c>
      <x:c r="D37" s="2692" t="s">
        <x:v>145</x:v>
      </x:c>
      <x:c r="E37" s="2693"/>
      <x:c r="F37" s="2694">
        <x:v>1568</x:v>
      </x:c>
      <x:c r="G37" s="2695"/>
      <x:c r="H37" s="2696"/>
      <x:c r="I37" s="2694"/>
      <x:c r="J37" s="2695"/>
      <x:c r="K37" s="2696"/>
      <x:c r="L37" s="2697" t="s">
        <x:v>116</x:v>
      </x:c>
      <x:c r="M37" s="2697" t="s">
        <x:v>116</x:v>
      </x:c>
      <x:c r="N37" s="2699" t="s">
        <x:v>116</x:v>
      </x:c>
      <x:c r="O37" s="2689"/>
      <x:c r="P37" s="2690" t="b">
        <x:f t="shared" si="3"/>
        <x:v>1</x:v>
      </x:c>
      <x:c r="R37" s="245" t="b">
        <x:f t="shared" si="1"/>
        <x:v>1</x:v>
      </x:c>
      <x:c r="AO37" s="238" t="str">
        <x:f t="shared" si="2"/>
        <x:v>35</x:v>
      </x:c>
      <x:c r="AP37" s="945" t="b">
        <x:v>0</x:v>
      </x:c>
      <x:c r="AQ37" s="1322" t="s">
        <x:v>157</x:v>
      </x:c>
      <x:c r="AR37" s="1323" t="s">
        <x:v>167</x:v>
      </x:c>
      <x:c r="AS37" s="1323" t="s">
        <x:v>145</x:v>
      </x:c>
      <x:c r="AT37" s="1323"/>
      <x:c r="AU37" s="1323">
        <x:v>1568</x:v>
      </x:c>
      <x:c r="AV37" s="1323"/>
      <x:c r="AW37" s="1323"/>
      <x:c r="AX37" s="1323"/>
      <x:c r="AY37" s="1323"/>
      <x:c r="AZ37" s="1323"/>
      <x:c r="BA37" s="1532" t="s">
        <x:v>116</x:v>
      </x:c>
      <x:c r="BB37" s="1532" t="s">
        <x:v>116</x:v>
      </x:c>
      <x:c r="BC37" s="1533" t="s">
        <x:v>116</x:v>
      </x:c>
      <x:c r="BE37" s="1041" t="s">
        <x:v>1562</x:v>
      </x:c>
    </x:row>
    <x:row r="38" spans="1:57" ht="14.1" customHeight="1" x14ac:dyDescent="0.2">
      <x:c r="A38" s="2691"/>
      <x:c r="B38" s="2692" t="s">
        <x:v>151</x:v>
      </x:c>
      <x:c r="C38" s="2692" t="s">
        <x:v>165</x:v>
      </x:c>
      <x:c r="D38" s="2692" t="s">
        <x:v>145</x:v>
      </x:c>
      <x:c r="E38" s="2693"/>
      <x:c r="F38" s="2694">
        <x:v>24</x:v>
      </x:c>
      <x:c r="G38" s="2695"/>
      <x:c r="H38" s="2696"/>
      <x:c r="I38" s="2694"/>
      <x:c r="J38" s="2695"/>
      <x:c r="K38" s="2696"/>
      <x:c r="L38" s="2697" t="s">
        <x:v>116</x:v>
      </x:c>
      <x:c r="M38" s="2697" t="s">
        <x:v>116</x:v>
      </x:c>
      <x:c r="N38" s="2699" t="s">
        <x:v>116</x:v>
      </x:c>
      <x:c r="O38" s="2689"/>
      <x:c r="P38" s="2690" t="b">
        <x:f t="shared" si="3"/>
        <x:v>1</x:v>
      </x:c>
      <x:c r="R38" s="245" t="b">
        <x:f t="shared" si="1"/>
        <x:v>0</x:v>
      </x:c>
      <x:c r="AO38" s="238" t="str">
        <x:f t="shared" si="2"/>
        <x:v>35</x:v>
      </x:c>
      <x:c r="AP38" s="945" t="b">
        <x:v>0</x:v>
      </x:c>
      <x:c r="AQ38" s="1322" t="s">
        <x:v>151</x:v>
      </x:c>
      <x:c r="AR38" s="1323" t="s">
        <x:v>165</x:v>
      </x:c>
      <x:c r="AS38" s="1323" t="s">
        <x:v>145</x:v>
      </x:c>
      <x:c r="AT38" s="1323"/>
      <x:c r="AU38" s="1323">
        <x:v>24</x:v>
      </x:c>
      <x:c r="AV38" s="1323"/>
      <x:c r="AW38" s="1323"/>
      <x:c r="AX38" s="1323"/>
      <x:c r="AY38" s="1323"/>
      <x:c r="AZ38" s="1323"/>
      <x:c r="BA38" s="1532" t="s">
        <x:v>116</x:v>
      </x:c>
      <x:c r="BB38" s="1532" t="s">
        <x:v>116</x:v>
      </x:c>
      <x:c r="BC38" s="1533" t="s">
        <x:v>116</x:v>
      </x:c>
      <x:c r="BE38" s="1041" t="s">
        <x:v>1549</x:v>
      </x:c>
    </x:row>
    <x:row r="39" spans="1:57" ht="14.1" customHeight="1" x14ac:dyDescent="0.2">
      <x:c r="A39" s="2691" t="s">
        <x:v>1557</x:v>
      </x:c>
      <x:c r="B39" s="2692" t="s">
        <x:v>154</x:v>
      </x:c>
      <x:c r="C39" s="2692" t="s">
        <x:v>167</x:v>
      </x:c>
      <x:c r="D39" s="2692" t="s">
        <x:v>145</x:v>
      </x:c>
      <x:c r="E39" s="2693"/>
      <x:c r="F39" s="2694">
        <x:v>1592</x:v>
      </x:c>
      <x:c r="G39" s="2695"/>
      <x:c r="H39" s="2696"/>
      <x:c r="I39" s="2694"/>
      <x:c r="J39" s="2695"/>
      <x:c r="K39" s="2696"/>
      <x:c r="L39" s="2697" t="s">
        <x:v>116</x:v>
      </x:c>
      <x:c r="M39" s="2697" t="s">
        <x:v>116</x:v>
      </x:c>
      <x:c r="N39" s="2699" t="s">
        <x:v>1558</x:v>
      </x:c>
      <x:c r="O39" s="2689"/>
      <x:c r="P39" s="2690" t="b">
        <x:f t="shared" si="3"/>
        <x:v>1</x:v>
      </x:c>
      <x:c r="R39" s="245" t="b">
        <x:f t="shared" si="1"/>
        <x:v>1</x:v>
      </x:c>
      <x:c r="AO39" s="238" t="str">
        <x:f t="shared" si="2"/>
        <x:v>36</x:v>
      </x:c>
      <x:c r="AP39" s="945" t="b">
        <x:v>0</x:v>
      </x:c>
      <x:c r="AQ39" s="1322" t="s">
        <x:v>154</x:v>
      </x:c>
      <x:c r="AR39" s="1323" t="s">
        <x:v>167</x:v>
      </x:c>
      <x:c r="AS39" s="1323" t="s">
        <x:v>145</x:v>
      </x:c>
      <x:c r="AT39" s="1323"/>
      <x:c r="AU39" s="1323">
        <x:v>1592</x:v>
      </x:c>
      <x:c r="AV39" s="1323"/>
      <x:c r="AW39" s="1323"/>
      <x:c r="AX39" s="1323"/>
      <x:c r="AY39" s="1323"/>
      <x:c r="AZ39" s="1323"/>
      <x:c r="BA39" s="1532" t="s">
        <x:v>116</x:v>
      </x:c>
      <x:c r="BB39" s="1532" t="s">
        <x:v>116</x:v>
      </x:c>
      <x:c r="BC39" s="1533" t="s">
        <x:v>1558</x:v>
      </x:c>
      <x:c r="BD39" s="245">
        <x:v>3</x:v>
      </x:c>
      <x:c r="BE39" s="1041" t="s">
        <x:v>1550</x:v>
      </x:c>
    </x:row>
    <x:row r="40" spans="1:57" ht="14.1" customHeight="1" x14ac:dyDescent="0.2">
      <x:c r="A40" s="2691"/>
      <x:c r="B40" s="2692" t="s">
        <x:v>154</x:v>
      </x:c>
      <x:c r="C40" s="2692" t="s">
        <x:v>167</x:v>
      </x:c>
      <x:c r="D40" s="2692" t="s">
        <x:v>145</x:v>
      </x:c>
      <x:c r="E40" s="2693"/>
      <x:c r="F40" s="2694">
        <x:v>-1592</x:v>
      </x:c>
      <x:c r="G40" s="2695"/>
      <x:c r="H40" s="2696"/>
      <x:c r="I40" s="2694"/>
      <x:c r="J40" s="2695"/>
      <x:c r="K40" s="2696"/>
      <x:c r="L40" s="2697" t="s">
        <x:v>116</x:v>
      </x:c>
      <x:c r="M40" s="2697" t="s">
        <x:v>808</x:v>
      </x:c>
      <x:c r="N40" s="2699" t="s">
        <x:v>116</x:v>
      </x:c>
      <x:c r="O40" s="2689"/>
      <x:c r="P40" s="2690" t="b">
        <x:f t="shared" si="3"/>
        <x:v>1</x:v>
      </x:c>
      <x:c r="R40" s="245" t="b">
        <x:f t="shared" si="1"/>
        <x:v>1</x:v>
      </x:c>
      <x:c r="AO40" s="238" t="str">
        <x:f t="shared" si="2"/>
        <x:v>36</x:v>
      </x:c>
      <x:c r="AP40" s="945" t="b">
        <x:v>0</x:v>
      </x:c>
      <x:c r="AQ40" s="1322" t="s">
        <x:v>154</x:v>
      </x:c>
      <x:c r="AR40" s="1323" t="s">
        <x:v>167</x:v>
      </x:c>
      <x:c r="AS40" s="1323" t="s">
        <x:v>145</x:v>
      </x:c>
      <x:c r="AT40" s="1323"/>
      <x:c r="AU40" s="1323">
        <x:v>-1592</x:v>
      </x:c>
      <x:c r="AV40" s="1323"/>
      <x:c r="AW40" s="1323"/>
      <x:c r="AX40" s="1323"/>
      <x:c r="AY40" s="1323"/>
      <x:c r="AZ40" s="1323"/>
      <x:c r="BA40" s="1532" t="s">
        <x:v>116</x:v>
      </x:c>
      <x:c r="BB40" s="1532" t="s">
        <x:v>808</x:v>
      </x:c>
      <x:c r="BC40" s="1533" t="s">
        <x:v>116</x:v>
      </x:c>
      <x:c r="BE40" s="1041" t="s">
        <x:v>1535</x:v>
      </x:c>
    </x:row>
    <x:row r="41" spans="1:57" ht="14.1" customHeight="1" x14ac:dyDescent="0.2">
      <x:c r="A41" s="2691"/>
      <x:c r="B41" s="2692" t="s">
        <x:v>154</x:v>
      </x:c>
      <x:c r="C41" s="2692" t="s">
        <x:v>165</x:v>
      </x:c>
      <x:c r="D41" s="2692" t="s">
        <x:v>145</x:v>
      </x:c>
      <x:c r="E41" s="2693"/>
      <x:c r="F41" s="2694">
        <x:v>1320</x:v>
      </x:c>
      <x:c r="G41" s="2695"/>
      <x:c r="H41" s="2696"/>
      <x:c r="I41" s="2694"/>
      <x:c r="J41" s="2695"/>
      <x:c r="K41" s="2696"/>
      <x:c r="L41" s="2697" t="s">
        <x:v>116</x:v>
      </x:c>
      <x:c r="M41" s="2697" t="s">
        <x:v>116</x:v>
      </x:c>
      <x:c r="N41" s="2699" t="s">
        <x:v>116</x:v>
      </x:c>
      <x:c r="O41" s="2689"/>
      <x:c r="P41" s="2690" t="b">
        <x:f t="shared" si="3"/>
        <x:v>1</x:v>
      </x:c>
      <x:c r="R41" s="245" t="b">
        <x:f t="shared" si="1"/>
        <x:v>1</x:v>
      </x:c>
      <x:c r="AO41" s="238" t="str">
        <x:f t="shared" si="2"/>
        <x:v>36</x:v>
      </x:c>
      <x:c r="AP41" s="945" t="b">
        <x:v>0</x:v>
      </x:c>
      <x:c r="AQ41" s="1322" t="s">
        <x:v>154</x:v>
      </x:c>
      <x:c r="AR41" s="1323" t="s">
        <x:v>165</x:v>
      </x:c>
      <x:c r="AS41" s="1323" t="s">
        <x:v>145</x:v>
      </x:c>
      <x:c r="AT41" s="1323"/>
      <x:c r="AU41" s="1323">
        <x:v>1320</x:v>
      </x:c>
      <x:c r="AV41" s="1323"/>
      <x:c r="AW41" s="1323"/>
      <x:c r="AX41" s="1323"/>
      <x:c r="AY41" s="1323"/>
      <x:c r="AZ41" s="1323"/>
      <x:c r="BA41" s="1532" t="s">
        <x:v>116</x:v>
      </x:c>
      <x:c r="BB41" s="1532" t="s">
        <x:v>116</x:v>
      </x:c>
      <x:c r="BC41" s="1533" t="s">
        <x:v>116</x:v>
      </x:c>
      <x:c r="BE41" s="1041" t="s">
        <x:v>1563</x:v>
      </x:c>
    </x:row>
    <x:row r="42" spans="1:57" ht="14.1" customHeight="1" x14ac:dyDescent="0.2">
      <x:c r="A42" s="2691" t="s">
        <x:v>1559</x:v>
      </x:c>
      <x:c r="B42" s="2692" t="s">
        <x:v>154</x:v>
      </x:c>
      <x:c r="C42" s="2692" t="s">
        <x:v>167</x:v>
      </x:c>
      <x:c r="D42" s="2692" t="s">
        <x:v>145</x:v>
      </x:c>
      <x:c r="E42" s="2693"/>
      <x:c r="F42" s="2694">
        <x:v>1592</x:v>
      </x:c>
      <x:c r="G42" s="2695"/>
      <x:c r="H42" s="2696"/>
      <x:c r="I42" s="2694"/>
      <x:c r="J42" s="2695"/>
      <x:c r="K42" s="2696"/>
      <x:c r="L42" s="2697" t="s">
        <x:v>116</x:v>
      </x:c>
      <x:c r="M42" s="2697" t="s">
        <x:v>116</x:v>
      </x:c>
      <x:c r="N42" s="2699" t="s">
        <x:v>1558</x:v>
      </x:c>
      <x:c r="O42" s="2689"/>
      <x:c r="P42" s="2690" t="b">
        <x:f t="shared" si="3"/>
        <x:v>1</x:v>
      </x:c>
      <x:c r="R42" s="245" t="b">
        <x:f t="shared" si="1"/>
        <x:v>1</x:v>
      </x:c>
      <x:c r="AO42" s="238" t="str">
        <x:f t="shared" si="2"/>
        <x:v>37</x:v>
      </x:c>
      <x:c r="AP42" s="945" t="b">
        <x:v>0</x:v>
      </x:c>
      <x:c r="AQ42" s="1322" t="s">
        <x:v>154</x:v>
      </x:c>
      <x:c r="AR42" s="1323" t="s">
        <x:v>167</x:v>
      </x:c>
      <x:c r="AS42" s="1323" t="s">
        <x:v>145</x:v>
      </x:c>
      <x:c r="AT42" s="1323"/>
      <x:c r="AU42" s="1323">
        <x:v>1592</x:v>
      </x:c>
      <x:c r="AV42" s="1323"/>
      <x:c r="AW42" s="1323"/>
      <x:c r="AX42" s="1323"/>
      <x:c r="AY42" s="1323"/>
      <x:c r="AZ42" s="1323"/>
      <x:c r="BA42" s="1532" t="s">
        <x:v>116</x:v>
      </x:c>
      <x:c r="BB42" s="1532" t="s">
        <x:v>116</x:v>
      </x:c>
      <x:c r="BC42" s="1533" t="s">
        <x:v>1558</x:v>
      </x:c>
      <x:c r="BD42" s="245">
        <x:v>3</x:v>
      </x:c>
    </x:row>
    <x:row r="43" spans="1:57" ht="14.1" customHeight="1" x14ac:dyDescent="0.2">
      <x:c r="A43" s="2691"/>
      <x:c r="B43" s="2692" t="s">
        <x:v>154</x:v>
      </x:c>
      <x:c r="C43" s="2692" t="s">
        <x:v>167</x:v>
      </x:c>
      <x:c r="D43" s="2692" t="s">
        <x:v>145</x:v>
      </x:c>
      <x:c r="E43" s="2693"/>
      <x:c r="F43" s="2694">
        <x:v>-1592</x:v>
      </x:c>
      <x:c r="G43" s="2695"/>
      <x:c r="H43" s="2696"/>
      <x:c r="I43" s="2694"/>
      <x:c r="J43" s="2695"/>
      <x:c r="K43" s="2696"/>
      <x:c r="L43" s="2697" t="s">
        <x:v>116</x:v>
      </x:c>
      <x:c r="M43" s="2697" t="s">
        <x:v>808</x:v>
      </x:c>
      <x:c r="N43" s="2699" t="s">
        <x:v>116</x:v>
      </x:c>
      <x:c r="O43" s="2689"/>
      <x:c r="P43" s="2690" t="b">
        <x:f t="shared" si="3"/>
        <x:v>1</x:v>
      </x:c>
      <x:c r="R43" s="245" t="b">
        <x:f t="shared" si="1"/>
        <x:v>1</x:v>
      </x:c>
      <x:c r="AO43" s="238" t="str">
        <x:f t="shared" si="2"/>
        <x:v>37</x:v>
      </x:c>
      <x:c r="AP43" s="945" t="b">
        <x:v>0</x:v>
      </x:c>
      <x:c r="AQ43" s="1322" t="s">
        <x:v>154</x:v>
      </x:c>
      <x:c r="AR43" s="1323" t="s">
        <x:v>167</x:v>
      </x:c>
      <x:c r="AS43" s="1323" t="s">
        <x:v>145</x:v>
      </x:c>
      <x:c r="AT43" s="1323"/>
      <x:c r="AU43" s="1323">
        <x:v>-1592</x:v>
      </x:c>
      <x:c r="AV43" s="1323"/>
      <x:c r="AW43" s="1323"/>
      <x:c r="AX43" s="1323"/>
      <x:c r="AY43" s="1323"/>
      <x:c r="AZ43" s="1323"/>
      <x:c r="BA43" s="1532" t="s">
        <x:v>116</x:v>
      </x:c>
      <x:c r="BB43" s="1532" t="s">
        <x:v>808</x:v>
      </x:c>
      <x:c r="BC43" s="1533" t="s">
        <x:v>116</x:v>
      </x:c>
    </x:row>
    <x:row r="44" spans="1:57" ht="14.1" customHeight="1" x14ac:dyDescent="0.2">
      <x:c r="A44" s="2691"/>
      <x:c r="B44" s="2692" t="s">
        <x:v>148</x:v>
      </x:c>
      <x:c r="C44" s="2692" t="s">
        <x:v>165</x:v>
      </x:c>
      <x:c r="D44" s="2692" t="s">
        <x:v>145</x:v>
      </x:c>
      <x:c r="E44" s="2693"/>
      <x:c r="F44" s="2694">
        <x:v>1320</x:v>
      </x:c>
      <x:c r="G44" s="2695">
        <x:v>43</x:v>
      </x:c>
      <x:c r="H44" s="2696">
        <x:v>6.875</x:v>
      </x:c>
      <x:c r="I44" s="2694">
        <x:v>1320</x:v>
      </x:c>
      <x:c r="J44" s="2695">
        <x:v>49</x:v>
      </x:c>
      <x:c r="K44" s="2696">
        <x:v>9.625</x:v>
      </x:c>
      <x:c r="L44" s="2697" t="s">
        <x:v>700</x:v>
      </x:c>
      <x:c r="M44" s="2697" t="s">
        <x:v>116</x:v>
      </x:c>
      <x:c r="N44" s="2699" t="s">
        <x:v>116</x:v>
      </x:c>
      <x:c r="O44" s="2689"/>
      <x:c r="P44" s="2690" t="b">
        <x:f t="shared" si="3"/>
        <x:v>1</x:v>
      </x:c>
      <x:c r="R44" s="245" t="b">
        <x:f t="shared" si="1"/>
        <x:v>0</x:v>
      </x:c>
      <x:c r="AO44" s="238" t="str">
        <x:f t="shared" si="2"/>
        <x:v>37</x:v>
      </x:c>
      <x:c r="AP44" s="945" t="b">
        <x:v>0</x:v>
      </x:c>
      <x:c r="AQ44" s="1322" t="s">
        <x:v>148</x:v>
      </x:c>
      <x:c r="AR44" s="1323" t="s">
        <x:v>165</x:v>
      </x:c>
      <x:c r="AS44" s="1323" t="s">
        <x:v>145</x:v>
      </x:c>
      <x:c r="AT44" s="1323"/>
      <x:c r="AU44" s="1323">
        <x:v>1320</x:v>
      </x:c>
      <x:c r="AV44" s="1323">
        <x:v>43</x:v>
      </x:c>
      <x:c r="AW44" s="1323">
        <x:v>6.875</x:v>
      </x:c>
      <x:c r="AX44" s="1323">
        <x:v>1320</x:v>
      </x:c>
      <x:c r="AY44" s="1323">
        <x:v>49</x:v>
      </x:c>
      <x:c r="AZ44" s="1323">
        <x:v>9.625</x:v>
      </x:c>
      <x:c r="BA44" s="1532" t="s">
        <x:v>700</x:v>
      </x:c>
      <x:c r="BB44" s="1532" t="s">
        <x:v>116</x:v>
      </x:c>
      <x:c r="BC44" s="1533" t="s">
        <x:v>116</x:v>
      </x:c>
    </x:row>
    <x:row r="45" spans="1:57" ht="14.1" customHeight="1" x14ac:dyDescent="0.2">
      <x:c r="A45" s="2691" t="s">
        <x:v>1560</x:v>
      </x:c>
      <x:c r="B45" s="2692" t="s">
        <x:v>146</x:v>
      </x:c>
      <x:c r="C45" s="2692" t="s">
        <x:v>167</x:v>
      </x:c>
      <x:c r="D45" s="2692" t="s">
        <x:v>145</x:v>
      </x:c>
      <x:c r="E45" s="2693"/>
      <x:c r="F45" s="2694">
        <x:v>3136</x:v>
      </x:c>
      <x:c r="G45" s="2695">
        <x:v>3</x:v>
      </x:c>
      <x:c r="H45" s="2696">
        <x:v>0</x:v>
      </x:c>
      <x:c r="I45" s="2694"/>
      <x:c r="J45" s="2695"/>
      <x:c r="K45" s="2696"/>
      <x:c r="L45" s="2697" t="s">
        <x:v>702</x:v>
      </x:c>
      <x:c r="M45" s="2697" t="s">
        <x:v>116</x:v>
      </x:c>
      <x:c r="N45" s="2699" t="s">
        <x:v>1561</x:v>
      </x:c>
      <x:c r="O45" s="2689"/>
      <x:c r="P45" s="2690" t="b">
        <x:f t="shared" si="3"/>
        <x:v>1</x:v>
      </x:c>
      <x:c r="R45" s="245" t="b">
        <x:f t="shared" si="1"/>
        <x:v>0</x:v>
      </x:c>
      <x:c r="AO45" s="238" t="str">
        <x:f t="shared" si="2"/>
        <x:v>38</x:v>
      </x:c>
      <x:c r="AP45" s="945" t="b">
        <x:v>0</x:v>
      </x:c>
      <x:c r="AQ45" s="1322" t="s">
        <x:v>146</x:v>
      </x:c>
      <x:c r="AR45" s="1323" t="s">
        <x:v>167</x:v>
      </x:c>
      <x:c r="AS45" s="1323" t="s">
        <x:v>145</x:v>
      </x:c>
      <x:c r="AT45" s="1323"/>
      <x:c r="AU45" s="1323">
        <x:v>3136</x:v>
      </x:c>
      <x:c r="AV45" s="1323">
        <x:v>3</x:v>
      </x:c>
      <x:c r="AW45" s="1323">
        <x:v>0</x:v>
      </x:c>
      <x:c r="AX45" s="1323"/>
      <x:c r="AY45" s="1323"/>
      <x:c r="AZ45" s="1323"/>
      <x:c r="BA45" s="1532" t="s">
        <x:v>702</x:v>
      </x:c>
      <x:c r="BB45" s="1532" t="s">
        <x:v>116</x:v>
      </x:c>
      <x:c r="BC45" s="1533" t="s">
        <x:v>1561</x:v>
      </x:c>
      <x:c r="BD45" s="245">
        <x:v>4</x:v>
      </x:c>
    </x:row>
    <x:row r="46" spans="1:57" ht="14.1" customHeight="1" x14ac:dyDescent="0.2">
      <x:c r="A46" s="2691"/>
      <x:c r="B46" s="2692" t="s">
        <x:v>146</x:v>
      </x:c>
      <x:c r="C46" s="2692" t="s">
        <x:v>167</x:v>
      </x:c>
      <x:c r="D46" s="2692" t="s">
        <x:v>145</x:v>
      </x:c>
      <x:c r="E46" s="2693"/>
      <x:c r="F46" s="2694">
        <x:v>-3136</x:v>
      </x:c>
      <x:c r="G46" s="2695">
        <x:v>3</x:v>
      </x:c>
      <x:c r="H46" s="2696">
        <x:v>0</x:v>
      </x:c>
      <x:c r="I46" s="2694"/>
      <x:c r="J46" s="2695"/>
      <x:c r="K46" s="2696"/>
      <x:c r="L46" s="2697" t="s">
        <x:v>702</x:v>
      </x:c>
      <x:c r="M46" s="2697" t="s">
        <x:v>808</x:v>
      </x:c>
      <x:c r="N46" s="2699" t="s">
        <x:v>116</x:v>
      </x:c>
      <x:c r="O46" s="2689"/>
      <x:c r="P46" s="2690" t="b">
        <x:f t="shared" si="3"/>
        <x:v>1</x:v>
      </x:c>
      <x:c r="R46" s="245" t="b">
        <x:f t="shared" si="1"/>
        <x:v>0</x:v>
      </x:c>
      <x:c r="AO46" s="238" t="str">
        <x:f t="shared" si="2"/>
        <x:v>38</x:v>
      </x:c>
      <x:c r="AP46" s="945" t="b">
        <x:v>0</x:v>
      </x:c>
      <x:c r="AQ46" s="1322" t="s">
        <x:v>146</x:v>
      </x:c>
      <x:c r="AR46" s="1323" t="s">
        <x:v>167</x:v>
      </x:c>
      <x:c r="AS46" s="1323" t="s">
        <x:v>145</x:v>
      </x:c>
      <x:c r="AT46" s="1323"/>
      <x:c r="AU46" s="1323">
        <x:v>-3136</x:v>
      </x:c>
      <x:c r="AV46" s="1323">
        <x:v>3</x:v>
      </x:c>
      <x:c r="AW46" s="1323">
        <x:v>0</x:v>
      </x:c>
      <x:c r="AX46" s="1323"/>
      <x:c r="AY46" s="1323"/>
      <x:c r="AZ46" s="1323"/>
      <x:c r="BA46" s="1532" t="s">
        <x:v>702</x:v>
      </x:c>
      <x:c r="BB46" s="1532" t="s">
        <x:v>808</x:v>
      </x:c>
      <x:c r="BC46" s="1533" t="s">
        <x:v>116</x:v>
      </x:c>
    </x:row>
    <x:row r="47" spans="1:57" ht="14.1" customHeight="1" x14ac:dyDescent="0.2">
      <x:c r="A47" s="2691"/>
      <x:c r="B47" s="2692" t="s">
        <x:v>157</x:v>
      </x:c>
      <x:c r="C47" s="2692" t="s">
        <x:v>167</x:v>
      </x:c>
      <x:c r="D47" s="2692" t="s">
        <x:v>145</x:v>
      </x:c>
      <x:c r="E47" s="2693"/>
      <x:c r="F47" s="2694">
        <x:v>1568</x:v>
      </x:c>
      <x:c r="G47" s="2695"/>
      <x:c r="H47" s="2696"/>
      <x:c r="I47" s="2694"/>
      <x:c r="J47" s="2695"/>
      <x:c r="K47" s="2696"/>
      <x:c r="L47" s="2697" t="s">
        <x:v>116</x:v>
      </x:c>
      <x:c r="M47" s="2697" t="s">
        <x:v>116</x:v>
      </x:c>
      <x:c r="N47" s="2699" t="s">
        <x:v>116</x:v>
      </x:c>
      <x:c r="O47" s="2689"/>
      <x:c r="P47" s="2690" t="b">
        <x:f t="shared" si="3"/>
        <x:v>1</x:v>
      </x:c>
      <x:c r="R47" s="245" t="b">
        <x:f t="shared" si="1"/>
        <x:v>1</x:v>
      </x:c>
      <x:c r="AO47" s="238" t="str">
        <x:f t="shared" si="2"/>
        <x:v>38</x:v>
      </x:c>
      <x:c r="AP47" s="945" t="b">
        <x:v>0</x:v>
      </x:c>
      <x:c r="AQ47" s="1322" t="s">
        <x:v>157</x:v>
      </x:c>
      <x:c r="AR47" s="1323" t="s">
        <x:v>167</x:v>
      </x:c>
      <x:c r="AS47" s="1323" t="s">
        <x:v>145</x:v>
      </x:c>
      <x:c r="AT47" s="1323"/>
      <x:c r="AU47" s="1323">
        <x:v>1568</x:v>
      </x:c>
      <x:c r="AV47" s="1323"/>
      <x:c r="AW47" s="1323"/>
      <x:c r="AX47" s="1323"/>
      <x:c r="AY47" s="1323"/>
      <x:c r="AZ47" s="1323"/>
      <x:c r="BA47" s="1532" t="s">
        <x:v>116</x:v>
      </x:c>
      <x:c r="BB47" s="1532" t="s">
        <x:v>116</x:v>
      </x:c>
      <x:c r="BC47" s="1533" t="s">
        <x:v>116</x:v>
      </x:c>
    </x:row>
    <x:row r="48" spans="1:57" ht="14.1" customHeight="1" x14ac:dyDescent="0.2">
      <x:c r="A48" s="2691"/>
      <x:c r="B48" s="2692" t="s">
        <x:v>146</x:v>
      </x:c>
      <x:c r="C48" s="2710" t="s">
        <x:v>165</x:v>
      </x:c>
      <x:c r="D48" s="2692" t="s">
        <x:v>145</x:v>
      </x:c>
      <x:c r="E48" s="2693"/>
      <x:c r="F48" s="2694">
        <x:v>300</x:v>
      </x:c>
      <x:c r="G48" s="2695">
        <x:v>3</x:v>
      </x:c>
      <x:c r="H48" s="2696">
        <x:v>0</x:v>
      </x:c>
      <x:c r="I48" s="2694"/>
      <x:c r="J48" s="2695"/>
      <x:c r="K48" s="2696"/>
      <x:c r="L48" s="2697" t="s">
        <x:v>702</x:v>
      </x:c>
      <x:c r="M48" s="2697" t="s">
        <x:v>116</x:v>
      </x:c>
      <x:c r="N48" s="2699" t="s">
        <x:v>116</x:v>
      </x:c>
      <x:c r="O48" s="2689"/>
      <x:c r="P48" s="2690" t="b">
        <x:f t="shared" si="3"/>
        <x:v>1</x:v>
      </x:c>
      <x:c r="R48" s="245" t="b">
        <x:f t="shared" si="1"/>
        <x:v>0</x:v>
      </x:c>
      <x:c r="AO48" s="238" t="str">
        <x:f t="shared" si="2"/>
        <x:v>38</x:v>
      </x:c>
      <x:c r="AP48" s="945" t="b">
        <x:v>0</x:v>
      </x:c>
      <x:c r="AQ48" s="1322" t="s">
        <x:v>146</x:v>
      </x:c>
      <x:c r="AR48" s="1323" t="s">
        <x:v>167</x:v>
      </x:c>
      <x:c r="AS48" s="1323" t="s">
        <x:v>145</x:v>
      </x:c>
      <x:c r="AT48" s="1323"/>
      <x:c r="AU48" s="1323">
        <x:v>300</x:v>
      </x:c>
      <x:c r="AV48" s="1323">
        <x:v>3</x:v>
      </x:c>
      <x:c r="AW48" s="1323">
        <x:v>0</x:v>
      </x:c>
      <x:c r="AX48" s="1323"/>
      <x:c r="AY48" s="1323"/>
      <x:c r="AZ48" s="1323"/>
      <x:c r="BA48" s="1532" t="s">
        <x:v>702</x:v>
      </x:c>
      <x:c r="BB48" s="1532" t="s">
        <x:v>116</x:v>
      </x:c>
      <x:c r="BC48" s="1533" t="s">
        <x:v>116</x:v>
      </x:c>
    </x:row>
    <x:row r="49" spans="1:56" ht="14.1" customHeight="1" x14ac:dyDescent="0.2">
      <x:c r="A49" s="2691" t="s">
        <x:v>1562</x:v>
      </x:c>
      <x:c r="B49" s="2692" t="s">
        <x:v>146</x:v>
      </x:c>
      <x:c r="C49" s="2692" t="s">
        <x:v>167</x:v>
      </x:c>
      <x:c r="D49" s="2692" t="s">
        <x:v>145</x:v>
      </x:c>
      <x:c r="E49" s="2693"/>
      <x:c r="F49" s="2694">
        <x:v>1568</x:v>
      </x:c>
      <x:c r="G49" s="2695">
        <x:v>18</x:v>
      </x:c>
      <x:c r="H49" s="2696">
        <x:v>0</x:v>
      </x:c>
      <x:c r="I49" s="2694"/>
      <x:c r="J49" s="2695"/>
      <x:c r="K49" s="2696"/>
      <x:c r="L49" s="2697" t="s">
        <x:v>700</x:v>
      </x:c>
      <x:c r="M49" s="2697" t="s">
        <x:v>116</x:v>
      </x:c>
      <x:c r="N49" s="2699" t="s">
        <x:v>1561</x:v>
      </x:c>
      <x:c r="O49" s="2689"/>
      <x:c r="P49" s="2690" t="b">
        <x:f t="shared" si="3"/>
        <x:v>1</x:v>
      </x:c>
      <x:c r="R49" s="245" t="b">
        <x:f t="shared" si="1"/>
        <x:v>0</x:v>
      </x:c>
      <x:c r="AO49" s="238" t="str">
        <x:f t="shared" si="2"/>
        <x:v>39</x:v>
      </x:c>
      <x:c r="AP49" s="945" t="b">
        <x:v>0</x:v>
      </x:c>
      <x:c r="AQ49" s="1322" t="s">
        <x:v>146</x:v>
      </x:c>
      <x:c r="AR49" s="1323" t="s">
        <x:v>167</x:v>
      </x:c>
      <x:c r="AS49" s="1323" t="s">
        <x:v>145</x:v>
      </x:c>
      <x:c r="AT49" s="1323"/>
      <x:c r="AU49" s="1323">
        <x:v>1568</x:v>
      </x:c>
      <x:c r="AV49" s="1323">
        <x:v>18</x:v>
      </x:c>
      <x:c r="AW49" s="1323">
        <x:v>0</x:v>
      </x:c>
      <x:c r="AX49" s="1323"/>
      <x:c r="AY49" s="1323"/>
      <x:c r="AZ49" s="1323"/>
      <x:c r="BA49" s="1532" t="s">
        <x:v>700</x:v>
      </x:c>
      <x:c r="BB49" s="1532" t="s">
        <x:v>116</x:v>
      </x:c>
      <x:c r="BC49" s="1533" t="s">
        <x:v>1561</x:v>
      </x:c>
      <x:c r="BD49" s="245">
        <x:v>4</x:v>
      </x:c>
    </x:row>
    <x:row r="50" spans="1:56" ht="14.1" customHeight="1" x14ac:dyDescent="0.2">
      <x:c r="A50" s="2691"/>
      <x:c r="B50" s="2692" t="s">
        <x:v>146</x:v>
      </x:c>
      <x:c r="C50" s="2692" t="s">
        <x:v>167</x:v>
      </x:c>
      <x:c r="D50" s="2692" t="s">
        <x:v>145</x:v>
      </x:c>
      <x:c r="E50" s="2693"/>
      <x:c r="F50" s="2694">
        <x:v>-1568</x:v>
      </x:c>
      <x:c r="G50" s="2695">
        <x:v>18</x:v>
      </x:c>
      <x:c r="H50" s="2696">
        <x:v>0</x:v>
      </x:c>
      <x:c r="I50" s="2694"/>
      <x:c r="J50" s="2695"/>
      <x:c r="K50" s="2696"/>
      <x:c r="L50" s="2697" t="s">
        <x:v>700</x:v>
      </x:c>
      <x:c r="M50" s="2697" t="s">
        <x:v>808</x:v>
      </x:c>
      <x:c r="N50" s="2699" t="s">
        <x:v>116</x:v>
      </x:c>
      <x:c r="O50" s="2689"/>
      <x:c r="P50" s="2690" t="b">
        <x:f t="shared" si="3"/>
        <x:v>1</x:v>
      </x:c>
      <x:c r="R50" s="245" t="b">
        <x:f t="shared" si="1"/>
        <x:v>0</x:v>
      </x:c>
      <x:c r="AO50" s="238" t="str">
        <x:f t="shared" si="2"/>
        <x:v>39</x:v>
      </x:c>
      <x:c r="AP50" s="945" t="b">
        <x:v>0</x:v>
      </x:c>
      <x:c r="AQ50" s="1322" t="s">
        <x:v>146</x:v>
      </x:c>
      <x:c r="AR50" s="1323" t="s">
        <x:v>167</x:v>
      </x:c>
      <x:c r="AS50" s="1323" t="s">
        <x:v>145</x:v>
      </x:c>
      <x:c r="AT50" s="1323"/>
      <x:c r="AU50" s="1323">
        <x:v>-1568</x:v>
      </x:c>
      <x:c r="AV50" s="1323">
        <x:v>18</x:v>
      </x:c>
      <x:c r="AW50" s="1323">
        <x:v>0</x:v>
      </x:c>
      <x:c r="AX50" s="1323"/>
      <x:c r="AY50" s="1323"/>
      <x:c r="AZ50" s="1323"/>
      <x:c r="BA50" s="1532" t="s">
        <x:v>700</x:v>
      </x:c>
      <x:c r="BB50" s="1532" t="s">
        <x:v>808</x:v>
      </x:c>
      <x:c r="BC50" s="1533" t="s">
        <x:v>116</x:v>
      </x:c>
    </x:row>
    <x:row r="51" spans="1:56" ht="14.1" customHeight="1" x14ac:dyDescent="0.2">
      <x:c r="A51" s="2691"/>
      <x:c r="B51" s="2692" t="s">
        <x:v>157</x:v>
      </x:c>
      <x:c r="C51" s="2692" t="s">
        <x:v>167</x:v>
      </x:c>
      <x:c r="D51" s="2692" t="s">
        <x:v>145</x:v>
      </x:c>
      <x:c r="E51" s="2693"/>
      <x:c r="F51" s="2694">
        <x:v>1568</x:v>
      </x:c>
      <x:c r="G51" s="2695"/>
      <x:c r="H51" s="2696"/>
      <x:c r="I51" s="2694"/>
      <x:c r="J51" s="2695"/>
      <x:c r="K51" s="2696"/>
      <x:c r="L51" s="2697" t="s">
        <x:v>116</x:v>
      </x:c>
      <x:c r="M51" s="2697" t="s">
        <x:v>116</x:v>
      </x:c>
      <x:c r="N51" s="2699" t="s">
        <x:v>116</x:v>
      </x:c>
      <x:c r="O51" s="2689"/>
      <x:c r="P51" s="2690" t="b">
        <x:f t="shared" si="3"/>
        <x:v>1</x:v>
      </x:c>
      <x:c r="R51" s="245" t="b">
        <x:f t="shared" si="1"/>
        <x:v>1</x:v>
      </x:c>
      <x:c r="AO51" s="238" t="str">
        <x:f t="shared" si="2"/>
        <x:v>39</x:v>
      </x:c>
      <x:c r="AP51" s="945" t="b">
        <x:v>0</x:v>
      </x:c>
      <x:c r="AQ51" s="1322" t="s">
        <x:v>157</x:v>
      </x:c>
      <x:c r="AR51" s="1323" t="s">
        <x:v>167</x:v>
      </x:c>
      <x:c r="AS51" s="1323" t="s">
        <x:v>145</x:v>
      </x:c>
      <x:c r="AT51" s="1323"/>
      <x:c r="AU51" s="1323">
        <x:v>1568</x:v>
      </x:c>
      <x:c r="AV51" s="1323"/>
      <x:c r="AW51" s="1323"/>
      <x:c r="AX51" s="1323"/>
      <x:c r="AY51" s="1323"/>
      <x:c r="AZ51" s="1323"/>
      <x:c r="BA51" s="1532" t="s">
        <x:v>116</x:v>
      </x:c>
      <x:c r="BB51" s="1532" t="s">
        <x:v>116</x:v>
      </x:c>
      <x:c r="BC51" s="1533" t="s">
        <x:v>116</x:v>
      </x:c>
    </x:row>
    <x:row r="52" spans="1:56" ht="14.1" customHeight="1" x14ac:dyDescent="0.2">
      <x:c r="A52" s="2691"/>
      <x:c r="B52" s="2692" t="s">
        <x:v>146</x:v>
      </x:c>
      <x:c r="C52" s="2710" t="s">
        <x:v>165</x:v>
      </x:c>
      <x:c r="D52" s="2692" t="s">
        <x:v>145</x:v>
      </x:c>
      <x:c r="E52" s="2693"/>
      <x:c r="F52" s="2694">
        <x:v>150</x:v>
      </x:c>
      <x:c r="G52" s="2695">
        <x:v>18</x:v>
      </x:c>
      <x:c r="H52" s="2696">
        <x:v>0</x:v>
      </x:c>
      <x:c r="I52" s="2694"/>
      <x:c r="J52" s="2695"/>
      <x:c r="K52" s="2696"/>
      <x:c r="L52" s="2697" t="s">
        <x:v>700</x:v>
      </x:c>
      <x:c r="M52" s="2697" t="s">
        <x:v>116</x:v>
      </x:c>
      <x:c r="N52" s="2699" t="s">
        <x:v>116</x:v>
      </x:c>
      <x:c r="O52" s="2689"/>
      <x:c r="P52" s="2690" t="b">
        <x:f t="shared" si="3"/>
        <x:v>1</x:v>
      </x:c>
      <x:c r="R52" s="245" t="b">
        <x:f t="shared" si="1"/>
        <x:v>0</x:v>
      </x:c>
      <x:c r="AO52" s="238" t="str">
        <x:f t="shared" si="2"/>
        <x:v>39</x:v>
      </x:c>
      <x:c r="AP52" s="945" t="b">
        <x:v>0</x:v>
      </x:c>
      <x:c r="AQ52" s="1322" t="s">
        <x:v>146</x:v>
      </x:c>
      <x:c r="AR52" s="1323" t="s">
        <x:v>167</x:v>
      </x:c>
      <x:c r="AS52" s="1323" t="s">
        <x:v>145</x:v>
      </x:c>
      <x:c r="AT52" s="1323"/>
      <x:c r="AU52" s="1323">
        <x:v>150</x:v>
      </x:c>
      <x:c r="AV52" s="1323">
        <x:v>18</x:v>
      </x:c>
      <x:c r="AW52" s="1323">
        <x:v>0</x:v>
      </x:c>
      <x:c r="AX52" s="1323"/>
      <x:c r="AY52" s="1323"/>
      <x:c r="AZ52" s="1323"/>
      <x:c r="BA52" s="1532" t="s">
        <x:v>700</x:v>
      </x:c>
      <x:c r="BB52" s="1532" t="s">
        <x:v>116</x:v>
      </x:c>
      <x:c r="BC52" s="1533" t="s">
        <x:v>116</x:v>
      </x:c>
    </x:row>
    <x:row r="53" spans="1:56" ht="14.1" customHeight="1" x14ac:dyDescent="0.2">
      <x:c r="A53" s="2691"/>
      <x:c r="B53" s="2692"/>
      <x:c r="C53" s="2692"/>
      <x:c r="D53" s="2692"/>
      <x:c r="E53" s="2693"/>
      <x:c r="F53" s="2694"/>
      <x:c r="G53" s="2695"/>
      <x:c r="H53" s="2696"/>
      <x:c r="I53" s="2694"/>
      <x:c r="J53" s="2695"/>
      <x:c r="K53" s="2696"/>
      <x:c r="L53" s="2697"/>
      <x:c r="M53" s="2697"/>
      <x:c r="N53" s="2699" t="s">
        <x:v>116</x:v>
      </x:c>
      <x:c r="O53" s="2689"/>
      <x:c r="P53" s="2690" t="b">
        <x:f t="shared" si="3"/>
        <x:v>1</x:v>
      </x:c>
      <x:c r="R53" s="245" t="b">
        <x:f t="shared" si="1"/>
        <x:v>0</x:v>
      </x:c>
      <x:c r="AO53" s="238" t="str">
        <x:f t="shared" si="2"/>
        <x:v>39</x:v>
      </x:c>
      <x:c r="AP53" s="945" t="b">
        <x:v>0</x:v>
      </x:c>
      <x:c r="AQ53" s="1322"/>
      <x:c r="AR53" s="1323"/>
      <x:c r="AS53" s="1323"/>
      <x:c r="AT53" s="1323"/>
      <x:c r="AU53" s="1323"/>
      <x:c r="AV53" s="1323"/>
      <x:c r="AW53" s="1323"/>
      <x:c r="AX53" s="1323"/>
      <x:c r="AY53" s="1323"/>
      <x:c r="AZ53" s="1323"/>
      <x:c r="BA53" s="1532"/>
      <x:c r="BB53" s="1532"/>
      <x:c r="BC53" s="1533"/>
    </x:row>
    <x:row r="54" spans="1:56" ht="14.1" customHeight="1" x14ac:dyDescent="0.2">
      <x:c r="A54" s="2691"/>
      <x:c r="B54" s="2692"/>
      <x:c r="C54" s="2692"/>
      <x:c r="D54" s="2692"/>
      <x:c r="E54" s="2693"/>
      <x:c r="F54" s="2694"/>
      <x:c r="G54" s="2695"/>
      <x:c r="H54" s="2696"/>
      <x:c r="I54" s="2694"/>
      <x:c r="J54" s="2695"/>
      <x:c r="K54" s="2696"/>
      <x:c r="L54" s="2697"/>
      <x:c r="M54" s="2697"/>
      <x:c r="N54" s="2699" t="s">
        <x:v>116</x:v>
      </x:c>
      <x:c r="O54" s="2689"/>
      <x:c r="P54" s="2690" t="b">
        <x:f t="shared" si="3"/>
        <x:v>1</x:v>
      </x:c>
      <x:c r="R54" s="245" t="b">
        <x:f t="shared" si="1"/>
        <x:v>0</x:v>
      </x:c>
      <x:c r="AO54" s="238" t="str">
        <x:f t="shared" si="2"/>
        <x:v>39</x:v>
      </x:c>
      <x:c r="AP54" s="945" t="b">
        <x:v>0</x:v>
      </x:c>
      <x:c r="AQ54" s="1322"/>
      <x:c r="AR54" s="1323"/>
      <x:c r="AS54" s="1323"/>
      <x:c r="AT54" s="1323"/>
      <x:c r="AU54" s="1323"/>
      <x:c r="AV54" s="1323"/>
      <x:c r="AW54" s="1323"/>
      <x:c r="AX54" s="1323"/>
      <x:c r="AY54" s="1323"/>
      <x:c r="AZ54" s="1323"/>
      <x:c r="BA54" s="1532"/>
      <x:c r="BB54" s="1532"/>
      <x:c r="BC54" s="1533"/>
    </x:row>
    <x:row r="55" spans="1:56" ht="14.1" customHeight="1" x14ac:dyDescent="0.2">
      <x:c r="A55" s="2702"/>
      <x:c r="B55" s="2703"/>
      <x:c r="C55" s="2703"/>
      <x:c r="D55" s="2703"/>
      <x:c r="E55" s="2704"/>
      <x:c r="F55" s="2705"/>
      <x:c r="G55" s="2706"/>
      <x:c r="H55" s="2707"/>
      <x:c r="I55" s="2705"/>
      <x:c r="J55" s="2706"/>
      <x:c r="K55" s="2707"/>
      <x:c r="L55" s="2708"/>
      <x:c r="M55" s="2708"/>
      <x:c r="N55" s="2709"/>
      <x:c r="O55" s="2689"/>
      <x:c r="P55" s="2690" t="b">
        <x:f t="shared" si="3"/>
        <x:v>1</x:v>
      </x:c>
      <x:c r="R55" s="245" t="b">
        <x:f t="shared" si="1"/>
        <x:v>0</x:v>
      </x:c>
      <x:c r="AO55" s="238" t="str">
        <x:f t="shared" si="2"/>
        <x:v>39</x:v>
      </x:c>
      <x:c r="AP55" s="945" t="b">
        <x:v>0</x:v>
      </x:c>
      <x:c r="AQ55" s="1324"/>
      <x:c r="AR55" s="1325"/>
      <x:c r="AS55" s="1325"/>
      <x:c r="AT55" s="1325"/>
      <x:c r="AU55" s="1325"/>
      <x:c r="AV55" s="1325"/>
      <x:c r="AW55" s="1325"/>
      <x:c r="AX55" s="1325"/>
      <x:c r="AY55" s="1325"/>
      <x:c r="AZ55" s="1325"/>
      <x:c r="BA55" s="1534"/>
      <x:c r="BB55" s="1534"/>
      <x:c r="BC55" s="1535"/>
    </x:row>
    <x:row r="56" spans="1:56" ht="15.95" customHeight="1" x14ac:dyDescent="0.2">
      <x:c r="P56" s="245">
        <x:f>COUNTIF(P14:P55,TRUE)+IF(NOT($T$1),1, 0)</x:f>
        <x:v>43</x:v>
      </x:c>
      <x:c r="Q56" s="1028" t="s">
        <x:v>1264</x:v>
      </x:c>
    </x:row>
    <x:row r="57" spans="1:56" ht="15.95" customHeight="1" x14ac:dyDescent="0.2"/>
    <x:row r="58" spans="1:56" ht="15.95" customHeight="1" x14ac:dyDescent="0.2"/>
    <x:row r="59" spans="1:56" ht="15.95" customHeight="1" x14ac:dyDescent="0.2">
      <x:c r="A59" s="633" t="s">
        <x:v>1019</x:v>
      </x:c>
    </x:row>
    <x:row r="60" spans="1:56" ht="15.95" hidden="1" customHeight="1" x14ac:dyDescent="0.2">
      <x:c r="A60" s="892" t="s">
        <x:v>112</x:v>
      </x:c>
    </x:row>
    <x:row r="61" spans="1:56" ht="15.95" hidden="1" customHeight="1" x14ac:dyDescent="0.2">
      <x:c r="A61" s="894" t="s">
        <x:v>1614</x:v>
      </x:c>
    </x:row>
    <x:row r="62" spans="1:56" ht="15.95" hidden="1" customHeight="1" x14ac:dyDescent="0.2"/>
    <x:row r="63" spans="1:56" hidden="1" x14ac:dyDescent="0.2"/>
    <x:row r="64" spans="1:56" hidden="1" x14ac:dyDescent="0.2"/>
    <x:row r="65" spans="1:1" x14ac:dyDescent="0.2">
      <x:c r="A65" s="633" t="s">
        <x:v>1020</x:v>
      </x:c>
    </x:row>
  </x:sheetData>
  <x:sheetProtection algorithmName="SHA-512" hashValue="58ZhqrG2yHg4NXzXaNh6fnwT+12Lw5sTJZcEZHOReqYrlY8MSgq9klfcHE/HycbVqVDi+8h/+9yXcONUpD2XkA==" saltValue="XWxGzFVg6CjpqiGAEGgzKg==" spinCount="100000" sheet="1" objects="1" scenarios="1" selectLockedCells="1"/>
  <x:mergeCells count="18">
    <x:mergeCell ref="I1:K1"/>
    <x:mergeCell ref="I2:K3"/>
    <x:mergeCell ref="I4:K4"/>
    <x:mergeCell ref="A5:J5"/>
    <x:mergeCell ref="B9:H9"/>
    <x:mergeCell ref="K9:N9"/>
    <x:mergeCell ref="B10:H10"/>
    <x:mergeCell ref="I10:J10"/>
    <x:mergeCell ref="K10:L10"/>
    <x:mergeCell ref="A12:E12"/>
    <x:mergeCell ref="F12:H12"/>
    <x:mergeCell ref="I12:K12"/>
    <x:mergeCell ref="L12:L13"/>
    <x:mergeCell ref="M12:M13"/>
    <x:mergeCell ref="N12:N13"/>
    <x:mergeCell ref="AQ12:BC12"/>
    <x:mergeCell ref="G13:H13"/>
    <x:mergeCell ref="J13:K13"/>
  </x:mergeCells>
  <x:conditionalFormatting sqref="F14:F55">
    <x:cfRule type="expression" dxfId="607" priority="4" stopIfTrue="1">
      <x:formula>AND($B14="NU",F14&lt;0)</x:formula>
    </x:cfRule>
  </x:conditionalFormatting>
  <x:conditionalFormatting sqref="B14:B55">
    <x:cfRule type="expression" dxfId="606" priority="5" stopIfTrue="1">
      <x:formula>OR(AND($B14="NU",F14&lt;0),AND($B14="NU",I14&lt;0))</x:formula>
    </x:cfRule>
  </x:conditionalFormatting>
  <x:conditionalFormatting sqref="G14:H55 J14:L55">
    <x:cfRule type="expression" dxfId="605" priority="6" stopIfTrue="1">
      <x:formula>$R14</x:formula>
    </x:cfRule>
  </x:conditionalFormatting>
  <x:conditionalFormatting sqref="I2:K4">
    <x:cfRule type="cellIs" dxfId="604" priority="7" stopIfTrue="1" operator="equal">
      <x:formula>""</x:formula>
    </x:cfRule>
  </x:conditionalFormatting>
  <x:conditionalFormatting sqref="I14:I55">
    <x:cfRule type="expression" dxfId="603" priority="8" stopIfTrue="1">
      <x:formula>OR($R14,$B14="CZ",AND($B14="NU",I14&lt;0))</x:formula>
    </x:cfRule>
  </x:conditionalFormatting>
  <x:conditionalFormatting sqref="A14:A55">
    <x:cfRule type="expression" dxfId="602" priority="3">
      <x:formula>NOT($P14)</x:formula>
    </x:cfRule>
  </x:conditionalFormatting>
  <x:conditionalFormatting sqref="B14:D55">
    <x:cfRule type="expression" dxfId="601" priority="2">
      <x:formula>_xlfn.LET(_xlpm.ThisCellIsEmpty, OR(ISBLANK(B14), B14 = ""),  _xlpm.Load1IsPresent, NOT(OR(ISBLANK($F14), $F14 = "")),  _xlpm.Load2IsPresent, NOT(OR(ISBLANK($I14), $I14 = "")),  _xlpm.highlightRed, AND(_xlpm.ThisCellIsEmpty, OR(_xlpm.Load1IsPresent, _xlpm.Load2IsPresent)),  _xlpm.highlightRed )</x:formula>
    </x:cfRule>
  </x:conditionalFormatting>
  <x:conditionalFormatting sqref="A14:N55">
    <x:cfRule type="expression" dxfId="600" priority="9">
      <x:formula>AND(NOT($P14),$T$1)</x:formula>
    </x:cfRule>
    <x:cfRule type="expression" dxfId="599" priority="10">
      <x:formula>AND($AP14,$S$1="M")</x:formula>
    </x:cfRule>
  </x:conditionalFormatting>
  <x:conditionalFormatting sqref="L14:L55">
    <x:cfRule type="expression" dxfId="598" priority="1" stopIfTrue="1">
      <x:formula>AND(ISBLANK(L14),OR(NOT(ISBLANK(G14)),NOT(ISBLANK(H14)),NOT(ISBLANK(J14)),NOT(ISBLANK(K14))))</x:formula>
    </x:cfRule>
  </x:conditionalFormatting>
  <x:dataValidations count="6">
    <x:dataValidation type="list" allowBlank="1" showErrorMessage="1" errorTitle="Invalid Category" error="You MUST select a Category from the dropdown list provided._x000a__x000a_Also, make sure your Cap Lock is turned on." sqref="C14" xr:uid="{5003AF54-8E76-4953-A9F0-3E4AD2C15D48}">
      <x:formula1>OFFSET($BF$16,0,MATCH($B14,Type,0)-1,OFFSET($BF$30,0,MATCH($B14,Type,0)-1))</x:formula1>
    </x:dataValidation>
    <x:dataValidation type="list" allowBlank="1" showErrorMessage="1" errorTitle="Invalid Category" error="You MUST select a Category from the dropdown list provided._x000a__x000a_Also, make sure your Cap Lock is turned on." sqref="C15:C55" xr:uid="{629F979B-3D48-43F4-B471-958D69586EBD}">
      <x:formula1>OFFSET($BF$16,0,MATCH($B15,Type,0)-1,OFFSET($BF$30,0,MATCH($B15,Type,0)-1,1),1)</x:formula1>
    </x:dataValidation>
    <x:dataValidation type="list" allowBlank="1" showErrorMessage="1" errorTitle="Invalid Position" error="You MUST select a Position from the dropdown list provided._x000a__x000a_Also, make sure your Cap Lock is turned on." sqref="D14:D55" xr:uid="{B8CBEBAB-40A0-4DDA-82C6-8A78BFED0A56}">
      <x:formula1>OFFSET($BW$16,0,OFFSET($BF$14,0,MATCH($B14,Type,0)-1),OFFSET($BW$30,0, OFFSET($BF$14,0,MATCH($B14,Type,0)-1)))</x:formula1>
    </x:dataValidation>
    <x:dataValidation type="list" allowBlank="1" showErrorMessage="1" errorTitle="Invalid Reference Location" error="You MUST select a Reference Location from the dropdown list provided._x000a__x000a_Also, make sure your Cap Lock is turned on." sqref="L14:L55" xr:uid="{C1B4C204-BFCB-4137-AC0B-1E5D1301690B}">
      <x:formula1>IF($CA$14,$CA$16:$CA$21,$CB$16:$CB$19)</x:formula1>
    </x:dataValidation>
    <x:dataValidation type="list" allowBlank="1" showErrorMessage="1" errorTitle="Invalid Type" error="You MUST select a Type from the dropdown list provided._x000a__x000a_Also, make sure your Cap Lock is turned on." sqref="B14:B55" xr:uid="{0B50B0F9-4433-4F37-8EAC-1DD8ABFCDEBE}">
      <x:formula1>$BF$15:$BU$15</x:formula1>
    </x:dataValidation>
    <x:dataValidation allowBlank="1" showInputMessage="1" errorTitle="Invalid Load Case" error="You MUST use a Load Case from the list provided." sqref="M14:M55" xr:uid="{E8FCAE79-83C6-466D-B2DB-C6FD516F334C}"/>
  </x:dataValidations>
  <x:printOptions horizontalCentered="1"/>
  <x:pageMargins left="0.3" right="0.3" top="0.5" bottom="0.5" header="0" footer="0.25"/>
  <x:pageSetup orientation="portrait" r:id="rId1"/>
  <x:headerFooter alignWithMargins="0">
    <x:oddFooter>&amp;R&amp;7Printed: &amp;D &amp;T&amp;L&amp;7Version: 23.0413
File: &amp;F</x:oddFooter>
  </x:headerFooter>
  <x:drawing r:id="rId2"/>
  <x:legacyDrawing r:id="rId3"/>
</x:worksheet>
</file>

<file path=xl/worksheets/sheet25.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49E97869-3327-47C5-BAA2-82E333A3133F}" mc:Ignorable="x14ac xr xr2 xr3">
  <x:sheetPr codeName="Sheet27">
    <x:tabColor indexed="45"/>
  </x:sheetPr>
  <x:dimension ref="A1:CE65"/>
  <x:sheetViews>
    <x:sheetView showGridLines="0" zoomScaleNormal="100" zoomScaleSheetLayoutView="100" workbookViewId="0">
      <x:selection activeCell="D29" sqref="D29"/>
    </x:sheetView>
  </x:sheetViews>
  <x:sheetFormatPr defaultRowHeight="11.25" x14ac:dyDescent="0.2"/>
  <x:cols>
    <x:col min="1" max="1" width="7.7109375" style="245" customWidth="1"/>
    <x:col min="2" max="4" width="6.7109375" style="245" customWidth="1"/>
    <x:col min="5" max="5" width="6.7109375" style="245" hidden="1" customWidth="1"/>
    <x:col min="6" max="6" width="7.7109375" style="245" customWidth="1"/>
    <x:col min="7" max="7" width="3.7109375" style="245" customWidth="1"/>
    <x:col min="8" max="8" width="5.7109375" style="245" customWidth="1"/>
    <x:col min="9" max="9" width="7.7109375" style="245" customWidth="1"/>
    <x:col min="10" max="10" width="3.7109375" style="245" customWidth="1"/>
    <x:col min="11" max="12" width="5.7109375" style="245" customWidth="1"/>
    <x:col min="13" max="13" width="11.7109375" style="245" customWidth="1"/>
    <x:col min="14" max="14" width="22.7109375" style="245" customWidth="1"/>
    <x:col min="15" max="15" width="7.7109375" style="245" customWidth="1"/>
    <x:col min="16" max="16" width="7.7109375" style="245" hidden="1" customWidth="1"/>
    <x:col min="17" max="40" width="6.7109375" style="245" hidden="1" customWidth="1"/>
    <x:col min="41" max="43" width="9.140625" style="378" hidden="1" customWidth="1"/>
    <x:col min="44" max="56" width="9.140625" style="245" hidden="1" customWidth="1"/>
    <x:col min="57" max="57" width="9.140625" style="1041" hidden="1" customWidth="1"/>
    <x:col min="58" max="82" width="9.140625" style="245" hidden="1" customWidth="1"/>
    <x:col min="83" max="16384" width="9.140625" style="245"/>
  </x:cols>
  <x:sheetData>
    <x:row r="1" spans="1:83" ht="14.45" customHeight="1" thickBot="1" x14ac:dyDescent="0.25">
      <x:c r="A1" s="374"/>
      <x:c r="B1" s="374"/>
      <x:c r="C1" s="374"/>
      <x:c r="D1" s="374"/>
      <x:c r="E1" s="374"/>
      <x:c r="F1" s="374"/>
      <x:c r="G1" s="374"/>
      <x:c r="H1" s="375"/>
      <x:c r="I1" s="1832" t="str">
        <x:f>IF(S1="","",VLOOKUP(S1,'Job Info.'!X:AA,4,FALSE))</x:f>
        <x:v>Master</x:v>
      </x:c>
      <x:c r="J1" s="1832"/>
      <x:c r="K1" s="1832"/>
      <x:c r="L1" s="375"/>
      <x:c r="M1" s="375" t="s">
        <x:v>95</x:v>
      </x:c>
      <x:c r="N1" s="463" t="str">
        <x:f ca="1">'Job Info.'!D12</x:f>
        <x:v>775-428-0600</x:v>
      </x:c>
      <x:c r="O1" s="484" t="s">
        <x:v>722</x:v>
      </x:c>
      <x:c r="P1" s="1008"/>
      <x:c r="S1" s="378" t="str">
        <x:f>'Job Info.'!Q30</x:f>
        <x:v>M</x:v>
      </x:c>
      <x:c r="T1" s="378" t="b">
        <x:f>'Job Info.'!Q32</x:f>
        <x:v>0</x:v>
      </x:c>
      <x:c r="BD1" s="256" t="s">
        <x:v>1262</x:v>
      </x:c>
      <x:c r="BE1" s="1040" t="s">
        <x:v>1699</x:v>
      </x:c>
      <x:c r="CE1" s="485" t="s">
        <x:v>723</x:v>
      </x:c>
    </x:row>
    <x:row r="2" spans="1:83" ht="12.95" customHeight="1" thickTop="1" x14ac:dyDescent="0.2">
      <x:c r="A2" s="374"/>
      <x:c r="B2" s="374"/>
      <x:c r="C2" s="374"/>
      <x:c r="D2" s="374"/>
      <x:c r="E2" s="374"/>
      <x:c r="F2" s="374"/>
      <x:c r="G2" s="374"/>
      <x:c r="H2" s="375"/>
      <x:c r="I2" s="1837" t="str">
        <x:f>IF(S1="","",IF(VLOOKUP(S1,'Job Info.'!X:Z,2,FALSE),"Released for Fabrication",""))</x:f>
        <x:v/>
      </x:c>
      <x:c r="J2" s="1838"/>
      <x:c r="K2" s="1839"/>
      <x:c r="L2" s="375"/>
      <x:c r="M2" s="375" t="s">
        <x:v>96</x:v>
      </x:c>
      <x:c r="N2" s="463" t="str">
        <x:f ca="1">'Job Info.'!D13</x:f>
        <x:v>775-867-2140</x:v>
      </x:c>
      <x:c r="O2" s="1008"/>
      <x:c r="P2" s="1008"/>
      <x:c r="BE2" s="1040" t="s">
        <x:v>1518</x:v>
      </x:c>
    </x:row>
    <x:row r="3" spans="1:83" ht="12.95" customHeight="1" x14ac:dyDescent="0.2">
      <x:c r="A3" s="374"/>
      <x:c r="B3" s="374"/>
      <x:c r="C3" s="374"/>
      <x:c r="D3" s="374"/>
      <x:c r="E3" s="374"/>
      <x:c r="F3" s="374"/>
      <x:c r="G3" s="374"/>
      <x:c r="H3" s="375"/>
      <x:c r="I3" s="1840"/>
      <x:c r="J3" s="1841"/>
      <x:c r="K3" s="1842"/>
      <x:c r="L3" s="375"/>
      <x:c r="M3" s="375" t="s">
        <x:v>98</x:v>
      </x:c>
      <x:c r="N3" s="463" t="str">
        <x:f ca="1">'Job Info.'!D14</x:f>
        <x:v>775-867-2169</x:v>
      </x:c>
      <x:c r="O3" s="1008"/>
      <x:c r="P3" s="1008"/>
      <x:c r="BE3" s="1041" t="s">
        <x:v>1536</x:v>
      </x:c>
    </x:row>
    <x:row r="4" spans="1:83" ht="12.95" customHeight="1" thickBot="1" x14ac:dyDescent="0.25">
      <x:c r="A4" s="374"/>
      <x:c r="B4" s="374"/>
      <x:c r="C4" s="374"/>
      <x:c r="D4" s="374"/>
      <x:c r="E4" s="374"/>
      <x:c r="F4" s="374"/>
      <x:c r="G4" s="374"/>
      <x:c r="H4" s="374"/>
      <x:c r="I4" s="1843" t="str">
        <x:f>IF(S1="","",IF(VLOOKUP(S1,'Job Info.'!X:Z,2,FALSE),VLOOKUP(S1,'Job Info.'!X:Z,3,FALSE),""))</x:f>
        <x:v/>
      </x:c>
      <x:c r="J4" s="1844"/>
      <x:c r="K4" s="1845"/>
      <x:c r="L4" s="375"/>
      <x:c r="M4" s="375" t="s">
        <x:v>97</x:v>
      </x:c>
      <x:c r="N4" s="463" t="str">
        <x:f ca="1">'Job Info.'!D15</x:f>
        <x:v>775-867-2060</x:v>
      </x:c>
      <x:c r="O4" s="1008"/>
      <x:c r="P4" s="1008"/>
      <x:c r="BE4" s="1041" t="s">
        <x:v>1543</x:v>
      </x:c>
    </x:row>
    <x:row r="5" spans="1:83" ht="12.95" customHeight="1" thickTop="1" x14ac:dyDescent="0.2">
      <x:c r="A5" s="1846" t="str">
        <x:f ca="1">'Job Info.'!D11</x:f>
        <x:v>8200 Woolery Way | Fallon, NV 89406 | www.newmill.com</x:v>
      </x:c>
      <x:c r="B5" s="1856"/>
      <x:c r="C5" s="1856"/>
      <x:c r="D5" s="1856"/>
      <x:c r="E5" s="1856"/>
      <x:c r="F5" s="1856"/>
      <x:c r="G5" s="1856"/>
      <x:c r="H5" s="1856"/>
      <x:c r="I5" s="1856"/>
      <x:c r="J5" s="1856"/>
      <x:c r="K5" s="374"/>
      <x:c r="L5" s="374"/>
      <x:c r="M5" s="374"/>
      <x:c r="N5" s="374"/>
      <x:c r="O5" s="1008"/>
      <x:c r="P5" s="1008"/>
      <x:c r="BE5" s="1041" t="s">
        <x:v>1557</x:v>
      </x:c>
    </x:row>
    <x:row r="6" spans="1:83" ht="12.95" customHeight="1" x14ac:dyDescent="0.2">
      <x:c r="A6" s="374"/>
      <x:c r="B6" s="374"/>
      <x:c r="C6" s="374"/>
      <x:c r="D6" s="374"/>
      <x:c r="E6" s="374"/>
      <x:c r="F6" s="374"/>
      <x:c r="G6" s="374"/>
      <x:c r="H6" s="374"/>
      <x:c r="I6" s="374"/>
      <x:c r="J6" s="374"/>
      <x:c r="K6" s="374"/>
      <x:c r="L6" s="374"/>
      <x:c r="M6" s="460" t="s">
        <x:v>20</x:v>
      </x:c>
      <x:c r="N6" s="1048">
        <x:f>IF(ISBLANK('Job Info.'!D8),"",'Job Info.'!D8)</x:f>
        <x:v>45048</x:v>
      </x:c>
      <x:c r="O6" s="1055"/>
      <x:c r="P6" s="503" t="s">
        <x:v>1132</x:v>
      </x:c>
      <x:c r="T6" s="633"/>
      <x:c r="BE6" s="1041" t="s">
        <x:v>1545</x:v>
      </x:c>
    </x:row>
    <x:row r="7" spans="1:83" ht="12.95" customHeight="1" x14ac:dyDescent="0.2">
      <x:c r="A7" s="395" t="s">
        <x:v>1279</x:v>
      </x:c>
      <x:c r="B7" s="374"/>
      <x:c r="C7" s="374"/>
      <x:c r="D7" s="374"/>
      <x:c r="E7" s="374"/>
      <x:c r="F7" s="374"/>
      <x:c r="G7" s="374"/>
      <x:c r="H7" s="374"/>
      <x:c r="I7" s="374"/>
      <x:c r="J7" s="374"/>
      <x:c r="K7" s="374"/>
      <x:c r="L7" s="374"/>
      <x:c r="M7" s="460" t="s">
        <x:v>21</x:v>
      </x:c>
      <x:c r="N7" s="1175" t="str">
        <x:f>CONCATENATE(P7, " of ",IF(ISBLANK('Job Info.'!D9),"",'Job Info.'!D9))</x:f>
        <x:v>5 of 19</x:v>
      </x:c>
      <x:c r="O7" s="1008"/>
      <x:c r="P7" s="238">
        <x:v>5</x:v>
      </x:c>
      <x:c r="V7" s="630"/>
      <x:c r="BE7" s="1041" t="s">
        <x:v>1551</x:v>
      </x:c>
    </x:row>
    <x:row r="8" spans="1:83" ht="3.95" customHeight="1" x14ac:dyDescent="0.2">
      <x:c r="A8" s="374"/>
      <x:c r="B8" s="374"/>
      <x:c r="C8" s="374"/>
      <x:c r="D8" s="374"/>
      <x:c r="E8" s="374"/>
      <x:c r="F8" s="374"/>
      <x:c r="G8" s="374"/>
      <x:c r="H8" s="374"/>
      <x:c r="I8" s="374"/>
      <x:c r="J8" s="374"/>
      <x:c r="K8" s="374"/>
      <x:c r="L8" s="374"/>
      <x:c r="M8" s="374"/>
      <x:c r="N8" s="374"/>
      <x:c r="O8" s="1008"/>
      <x:c r="P8" s="1008"/>
      <x:c r="BE8" s="1041" t="s">
        <x:v>1559</x:v>
      </x:c>
    </x:row>
    <x:row r="9" spans="1:83" ht="12.6" customHeight="1" x14ac:dyDescent="0.2">
      <x:c r="A9" s="471" t="s">
        <x:v>1</x:v>
      </x:c>
      <x:c r="B9" s="1808" t="str">
        <x:f>IF(ISBLANK('Job Info.'!D3),"",'Job Info.'!D3)</x:f>
        <x:v>MINDEN UPS BLDG 1</x:v>
      </x:c>
      <x:c r="C9" s="1808"/>
      <x:c r="D9" s="1808"/>
      <x:c r="E9" s="1808"/>
      <x:c r="F9" s="1808"/>
      <x:c r="G9" s="1808"/>
      <x:c r="H9" s="1809"/>
      <x:c r="I9" s="469"/>
      <x:c r="J9" s="458" t="s">
        <x:v>2</x:v>
      </x:c>
      <x:c r="K9" s="1808" t="str">
        <x:f>IF(ISBLANK('Job Info.'!D5),"",'Job Info.'!D5)</x:f>
        <x:v>NN22-0071</x:v>
      </x:c>
      <x:c r="L9" s="1858"/>
      <x:c r="M9" s="1858"/>
      <x:c r="N9" s="1859"/>
      <x:c r="O9" s="1056"/>
      <x:c r="P9" s="1056"/>
      <x:c r="V9" s="631"/>
      <x:c r="BE9" s="1041" t="s">
        <x:v>1538</x:v>
      </x:c>
    </x:row>
    <x:row r="10" spans="1:83" ht="12.6" customHeight="1" x14ac:dyDescent="0.2">
      <x:c r="A10" s="471" t="s">
        <x:v>3</x:v>
      </x:c>
      <x:c r="B10" s="1808" t="str">
        <x:f>IF(ISBLANK('Job Info.'!D4),"",'Job Info.'!D4)</x:f>
        <x:v>MINDEN, NV</x:v>
      </x:c>
      <x:c r="C10" s="1808"/>
      <x:c r="D10" s="1808"/>
      <x:c r="E10" s="1808"/>
      <x:c r="F10" s="1808"/>
      <x:c r="G10" s="1808"/>
      <x:c r="H10" s="1809"/>
      <x:c r="I10" s="1857" t="s">
        <x:v>22</x:v>
      </x:c>
      <x:c r="J10" s="1857"/>
      <x:c r="K10" s="1808" t="str">
        <x:f>IF(ISBLANK('Job Info.'!D6),"",'Job Info.'!D6)</x:f>
        <x:v>JMM</x:v>
      </x:c>
      <x:c r="L10" s="1809"/>
      <x:c r="M10" s="471" t="s">
        <x:v>23</x:v>
      </x:c>
      <x:c r="N10" s="661" t="str">
        <x:f>IF(ISBLANK('Job Info.'!D7),"",'Job Info.'!D7)</x:f>
        <x:v>NR</x:v>
      </x:c>
      <x:c r="O10" s="1056"/>
      <x:c r="P10" s="1056"/>
      <x:c r="W10" s="632"/>
      <x:c r="BE10" s="1041" t="s">
        <x:v>1553</x:v>
      </x:c>
    </x:row>
    <x:row r="11" spans="1:83" ht="3.95" customHeight="1" x14ac:dyDescent="0.2">
      <x:c r="A11" s="1086"/>
      <x:c r="B11" s="374"/>
      <x:c r="C11" s="374"/>
      <x:c r="D11" s="374"/>
      <x:c r="E11" s="374"/>
      <x:c r="F11" s="374"/>
      <x:c r="G11" s="374"/>
      <x:c r="H11" s="374"/>
      <x:c r="I11" s="374"/>
      <x:c r="J11" s="374"/>
      <x:c r="K11" s="374"/>
      <x:c r="L11" s="374"/>
      <x:c r="M11" s="374"/>
      <x:c r="N11" s="374"/>
      <x:c r="O11" s="1008"/>
      <x:c r="P11" s="1008"/>
      <x:c r="BE11" s="1041" t="s">
        <x:v>1519</x:v>
      </x:c>
    </x:row>
    <x:row r="12" spans="1:83" s="478" customFormat="1" ht="14.1" customHeight="1" x14ac:dyDescent="0.2">
      <x:c r="A12" s="1848" t="s">
        <x:v>77</x:v>
      </x:c>
      <x:c r="B12" s="1849"/>
      <x:c r="C12" s="1849"/>
      <x:c r="D12" s="1849"/>
      <x:c r="E12" s="1850"/>
      <x:c r="F12" s="1848" t="s">
        <x:v>49</x:v>
      </x:c>
      <x:c r="G12" s="1849"/>
      <x:c r="H12" s="1855"/>
      <x:c r="I12" s="1848" t="s">
        <x:v>50</x:v>
      </x:c>
      <x:c r="J12" s="1849"/>
      <x:c r="K12" s="1855"/>
      <x:c r="L12" s="1851" t="s">
        <x:v>51</x:v>
      </x:c>
      <x:c r="M12" s="1864" t="s">
        <x:v>741</x:v>
      </x:c>
      <x:c r="N12" s="1851" t="s">
        <x:v>52</x:v>
      </x:c>
      <x:c r="O12" s="1085"/>
      <x:c r="P12" s="1085"/>
      <x:c r="AO12" s="548" t="s">
        <x:v>973</x:v>
      </x:c>
      <x:c r="AP12" s="944" t="s">
        <x:v>170</x:v>
      </x:c>
      <x:c r="AQ12" s="1860" t="s">
        <x:v>1208</x:v>
      </x:c>
      <x:c r="AR12" s="1861"/>
      <x:c r="AS12" s="1861"/>
      <x:c r="AT12" s="1861"/>
      <x:c r="AU12" s="1861"/>
      <x:c r="AV12" s="1861"/>
      <x:c r="AW12" s="1861"/>
      <x:c r="AX12" s="1861"/>
      <x:c r="AY12" s="1861"/>
      <x:c r="AZ12" s="1862"/>
      <x:c r="BA12" s="1862"/>
      <x:c r="BB12" s="1862"/>
      <x:c r="BC12" s="1863"/>
      <x:c r="BE12" s="1530" t="s">
        <x:v>1554</x:v>
      </x:c>
    </x:row>
    <x:row r="13" spans="1:83" s="478" customFormat="1" ht="14.1" customHeight="1" x14ac:dyDescent="0.2">
      <x:c r="A13" s="1049" t="s">
        <x:v>46</x:v>
      </x:c>
      <x:c r="B13" s="1050" t="s">
        <x:v>17</x:v>
      </x:c>
      <x:c r="C13" s="1050" t="s">
        <x:v>45</x:v>
      </x:c>
      <x:c r="D13" s="1050" t="s">
        <x:v>78</x:v>
      </x:c>
      <x:c r="E13" s="1326" t="s">
        <x:v>44</x:v>
      </x:c>
      <x:c r="F13" s="1049" t="s">
        <x:v>47</x:v>
      </x:c>
      <x:c r="G13" s="1853" t="s">
        <x:v>48</x:v>
      </x:c>
      <x:c r="H13" s="1854"/>
      <x:c r="I13" s="1049" t="s">
        <x:v>47</x:v>
      </x:c>
      <x:c r="J13" s="1853" t="s">
        <x:v>48</x:v>
      </x:c>
      <x:c r="K13" s="1854"/>
      <x:c r="L13" s="1852"/>
      <x:c r="M13" s="1865"/>
      <x:c r="N13" s="1866"/>
      <x:c r="O13" s="1085"/>
      <x:c r="P13" s="1529" t="s">
        <x:v>1261</x:v>
      </x:c>
      <x:c r="Q13" s="1340"/>
      <x:c r="R13" s="1527" t="s">
        <x:v>1260</x:v>
      </x:c>
      <x:c r="AQ13" s="1341" t="s">
        <x:v>1209</x:v>
      </x:c>
      <x:c r="AR13" s="1342" t="s">
        <x:v>1210</x:v>
      </x:c>
      <x:c r="AS13" s="1342" t="s">
        <x:v>1211</x:v>
      </x:c>
      <x:c r="AT13" s="1342" t="s">
        <x:v>1236</x:v>
      </x:c>
      <x:c r="AU13" s="1342" t="s">
        <x:v>1212</x:v>
      </x:c>
      <x:c r="AV13" s="1342" t="s">
        <x:v>1232</x:v>
      </x:c>
      <x:c r="AW13" s="1342" t="s">
        <x:v>1233</x:v>
      </x:c>
      <x:c r="AX13" s="1342" t="s">
        <x:v>1213</x:v>
      </x:c>
      <x:c r="AY13" s="1342" t="s">
        <x:v>1234</x:v>
      </x:c>
      <x:c r="AZ13" s="1342" t="s">
        <x:v>1235</x:v>
      </x:c>
      <x:c r="BA13" s="1342" t="s">
        <x:v>1214</x:v>
      </x:c>
      <x:c r="BB13" s="1342" t="s">
        <x:v>1215</x:v>
      </x:c>
      <x:c r="BC13" s="1343" t="s">
        <x:v>1216</x:v>
      </x:c>
      <x:c r="BD13" s="1340" t="s">
        <x:v>1237</x:v>
      </x:c>
      <x:c r="BE13" s="1530" t="s">
        <x:v>1394</x:v>
      </x:c>
    </x:row>
    <x:row r="14" spans="1:83" ht="14.1" customHeight="1" x14ac:dyDescent="0.2">
      <x:c r="A14" s="2680" t="s">
        <x:v>1563</x:v>
      </x:c>
      <x:c r="B14" s="2681" t="s">
        <x:v>146</x:v>
      </x:c>
      <x:c r="C14" s="2681" t="s">
        <x:v>167</x:v>
      </x:c>
      <x:c r="D14" s="2681" t="s">
        <x:v>145</x:v>
      </x:c>
      <x:c r="E14" s="2682"/>
      <x:c r="F14" s="2683">
        <x:v>3136</x:v>
      </x:c>
      <x:c r="G14" s="2684">
        <x:v>3</x:v>
      </x:c>
      <x:c r="H14" s="2685">
        <x:v>0</x:v>
      </x:c>
      <x:c r="I14" s="2683"/>
      <x:c r="J14" s="2684"/>
      <x:c r="K14" s="2685"/>
      <x:c r="L14" s="2686" t="s">
        <x:v>702</x:v>
      </x:c>
      <x:c r="M14" s="2687" t="s">
        <x:v>116</x:v>
      </x:c>
      <x:c r="N14" s="2688" t="s">
        <x:v>1561</x:v>
      </x:c>
      <x:c r="O14" s="2689"/>
      <x:c r="P14" s="2690" t="b">
        <x:f t="shared" ref="P14:P16" si="0">IF(ISERROR(VLOOKUP(AO14,BE:BE,1,FALSE)),FALSE,IF(AO14&lt;&gt;"",VLOOKUP(AO14,BE:BE,1,FALSE)=AO14))</x:f>
        <x:v>1</x:v>
      </x:c>
      <x:c r="R14" s="245" t="b">
        <x:f>OR(B14="CP",B14="CA", B14="AX",B14="M",B14="S")</x:f>
        <x:v>0</x:v>
      </x:c>
      <x:c r="AO14" s="238" t="str">
        <x:f>IF(ISBLANK(A14),"",SUBSTITUTE(A14,"*",""))</x:f>
        <x:v>40</x:v>
      </x:c>
      <x:c r="AP14" s="945" t="b">
        <x:v>0</x:v>
      </x:c>
      <x:c r="AQ14" s="1322" t="s">
        <x:v>146</x:v>
      </x:c>
      <x:c r="AR14" s="1323" t="s">
        <x:v>167</x:v>
      </x:c>
      <x:c r="AS14" s="1323" t="s">
        <x:v>145</x:v>
      </x:c>
      <x:c r="AT14" s="1323"/>
      <x:c r="AU14" s="1323">
        <x:v>3136</x:v>
      </x:c>
      <x:c r="AV14" s="1323">
        <x:v>3</x:v>
      </x:c>
      <x:c r="AW14" s="1323">
        <x:v>0</x:v>
      </x:c>
      <x:c r="AX14" s="1323"/>
      <x:c r="AY14" s="1323"/>
      <x:c r="AZ14" s="1323"/>
      <x:c r="BA14" s="1532" t="s">
        <x:v>702</x:v>
      </x:c>
      <x:c r="BB14" s="1532" t="s">
        <x:v>116</x:v>
      </x:c>
      <x:c r="BC14" s="1533" t="s">
        <x:v>1561</x:v>
      </x:c>
      <x:c r="BD14" s="245">
        <x:v>4</x:v>
      </x:c>
      <x:c r="BE14" s="1041" t="s">
        <x:v>1520</x:v>
      </x:c>
      <x:c r="BF14" s="378">
        <x:v>1</x:v>
      </x:c>
      <x:c r="BG14" s="378">
        <x:v>0</x:v>
      </x:c>
      <x:c r="BH14" s="378">
        <x:v>0</x:v>
      </x:c>
      <x:c r="BI14" s="378">
        <x:v>1</x:v>
      </x:c>
      <x:c r="BJ14" s="378">
        <x:v>0</x:v>
      </x:c>
      <x:c r="BK14" s="378">
        <x:v>0</x:v>
      </x:c>
      <x:c r="BL14" s="378">
        <x:v>0</x:v>
      </x:c>
      <x:c r="BM14" s="378">
        <x:v>0</x:v>
      </x:c>
      <x:c r="BN14" s="378">
        <x:v>0</x:v>
      </x:c>
      <x:c r="BO14" s="378">
        <x:v>0</x:v>
      </x:c>
      <x:c r="BP14" s="378">
        <x:v>0</x:v>
      </x:c>
      <x:c r="BQ14" s="378">
        <x:v>0</x:v>
      </x:c>
      <x:c r="BR14" s="378">
        <x:v>2</x:v>
      </x:c>
      <x:c r="BS14" s="378">
        <x:v>3</x:v>
      </x:c>
      <x:c r="BT14" s="378">
        <x:v>0</x:v>
      </x:c>
      <x:c r="BU14" s="378">
        <x:v>0</x:v>
      </x:c>
      <x:c r="BV14" s="378">
        <x:v>0</x:v>
      </x:c>
      <x:c r="CA14" s="245" t="b">
        <x:v>1</x:v>
      </x:c>
    </x:row>
    <x:row r="15" spans="1:83" ht="14.1" customHeight="1" x14ac:dyDescent="0.2">
      <x:c r="A15" s="2691"/>
      <x:c r="B15" s="2692" t="s">
        <x:v>146</x:v>
      </x:c>
      <x:c r="C15" s="2692" t="s">
        <x:v>167</x:v>
      </x:c>
      <x:c r="D15" s="2692" t="s">
        <x:v>145</x:v>
      </x:c>
      <x:c r="E15" s="2693"/>
      <x:c r="F15" s="2694">
        <x:v>-3136</x:v>
      </x:c>
      <x:c r="G15" s="2695">
        <x:v>3</x:v>
      </x:c>
      <x:c r="H15" s="2696">
        <x:v>0</x:v>
      </x:c>
      <x:c r="I15" s="2694"/>
      <x:c r="J15" s="2695"/>
      <x:c r="K15" s="2696"/>
      <x:c r="L15" s="2697" t="s">
        <x:v>702</x:v>
      </x:c>
      <x:c r="M15" s="2698" t="s">
        <x:v>808</x:v>
      </x:c>
      <x:c r="N15" s="2699" t="s">
        <x:v>116</x:v>
      </x:c>
      <x:c r="O15" s="2689"/>
      <x:c r="P15" s="2690" t="b">
        <x:f t="shared" si="0"/>
        <x:v>1</x:v>
      </x:c>
      <x:c r="R15" s="245" t="b">
        <x:f t="shared" ref="R15:R55" si="1">OR(B15="CP",B15="CA", B15="AX",B15="M",B15="S")</x:f>
        <x:v>0</x:v>
      </x:c>
      <x:c r="AO15" s="238" t="str">
        <x:f t="shared" ref="AO15:AO55" si="2">IF(ISBLANK(A15),AO14,SUBSTITUTE(A15,"*",""))</x:f>
        <x:v>40</x:v>
      </x:c>
      <x:c r="AP15" s="945" t="b">
        <x:v>0</x:v>
      </x:c>
      <x:c r="AQ15" s="1322" t="s">
        <x:v>146</x:v>
      </x:c>
      <x:c r="AR15" s="1323" t="s">
        <x:v>167</x:v>
      </x:c>
      <x:c r="AS15" s="1323" t="s">
        <x:v>145</x:v>
      </x:c>
      <x:c r="AT15" s="1323"/>
      <x:c r="AU15" s="1323">
        <x:v>-3136</x:v>
      </x:c>
      <x:c r="AV15" s="1323">
        <x:v>3</x:v>
      </x:c>
      <x:c r="AW15" s="1323">
        <x:v>0</x:v>
      </x:c>
      <x:c r="AX15" s="1323"/>
      <x:c r="AY15" s="1323"/>
      <x:c r="AZ15" s="1323"/>
      <x:c r="BA15" s="1532" t="s">
        <x:v>702</x:v>
      </x:c>
      <x:c r="BB15" s="1532" t="s">
        <x:v>808</x:v>
      </x:c>
      <x:c r="BC15" s="1533" t="s">
        <x:v>116</x:v>
      </x:c>
      <x:c r="BE15" s="1041" t="s">
        <x:v>1521</x:v>
      </x:c>
      <x:c r="BF15" s="552" t="s">
        <x:v>151</x:v>
      </x:c>
      <x:c r="BG15" s="552" t="s">
        <x:v>144</x:v>
      </x:c>
      <x:c r="BH15" s="552" t="s">
        <x:v>152</x:v>
      </x:c>
      <x:c r="BI15" s="552" t="s">
        <x:v>148</x:v>
      </x:c>
      <x:c r="BJ15" s="552" t="s">
        <x:v>153</x:v>
      </x:c>
      <x:c r="BK15" s="552" t="s">
        <x:v>154</x:v>
      </x:c>
      <x:c r="BL15" s="552" t="s">
        <x:v>155</x:v>
      </x:c>
      <x:c r="BM15" s="552" t="s">
        <x:v>146</x:v>
      </x:c>
      <x:c r="BN15" s="552" t="s">
        <x:v>156</x:v>
      </x:c>
      <x:c r="BO15" s="1619" t="s">
        <x:v>1391</x:v>
      </x:c>
      <x:c r="BP15" s="1619" t="s">
        <x:v>1390</x:v>
      </x:c>
      <x:c r="BQ15" s="552" t="s">
        <x:v>157</x:v>
      </x:c>
      <x:c r="BR15" s="552" t="s">
        <x:v>118</x:v>
      </x:c>
      <x:c r="BS15" s="552" t="s">
        <x:v>158</x:v>
      </x:c>
      <x:c r="BT15" s="1621" t="s">
        <x:v>32</x:v>
      </x:c>
      <x:c r="BU15" s="1621" t="s">
        <x:v>1293</x:v>
      </x:c>
      <x:c r="BV15" s="238"/>
      <x:c r="BW15" s="378">
        <x:v>0</x:v>
      </x:c>
      <x:c r="BX15" s="378">
        <x:v>1</x:v>
      </x:c>
      <x:c r="BY15" s="378">
        <x:v>2</x:v>
      </x:c>
      <x:c r="BZ15" s="378">
        <x:v>3</x:v>
      </x:c>
      <x:c r="CA15" s="378"/>
      <x:c r="CB15" s="378"/>
    </x:row>
    <x:row r="16" spans="1:83" ht="14.1" customHeight="1" x14ac:dyDescent="0.2">
      <x:c r="A16" s="2691"/>
      <x:c r="B16" s="2692" t="s">
        <x:v>157</x:v>
      </x:c>
      <x:c r="C16" s="2692" t="s">
        <x:v>167</x:v>
      </x:c>
      <x:c r="D16" s="2692" t="s">
        <x:v>145</x:v>
      </x:c>
      <x:c r="E16" s="2693"/>
      <x:c r="F16" s="2694">
        <x:v>1568</x:v>
      </x:c>
      <x:c r="G16" s="2695"/>
      <x:c r="H16" s="2696"/>
      <x:c r="I16" s="2694"/>
      <x:c r="J16" s="2695"/>
      <x:c r="K16" s="2696"/>
      <x:c r="L16" s="2697" t="s">
        <x:v>116</x:v>
      </x:c>
      <x:c r="M16" s="2698" t="s">
        <x:v>116</x:v>
      </x:c>
      <x:c r="N16" s="2699" t="s">
        <x:v>116</x:v>
      </x:c>
      <x:c r="O16" s="2689"/>
      <x:c r="P16" s="2690" t="b">
        <x:f t="shared" si="0"/>
        <x:v>1</x:v>
      </x:c>
      <x:c r="R16" s="245" t="b">
        <x:f t="shared" si="1"/>
        <x:v>1</x:v>
      </x:c>
      <x:c r="AO16" s="238" t="str">
        <x:f t="shared" si="2"/>
        <x:v>40</x:v>
      </x:c>
      <x:c r="AP16" s="945" t="b">
        <x:v>0</x:v>
      </x:c>
      <x:c r="AQ16" s="1322" t="s">
        <x:v>157</x:v>
      </x:c>
      <x:c r="AR16" s="1323" t="s">
        <x:v>167</x:v>
      </x:c>
      <x:c r="AS16" s="1323" t="s">
        <x:v>145</x:v>
      </x:c>
      <x:c r="AT16" s="1323"/>
      <x:c r="AU16" s="1323">
        <x:v>1568</x:v>
      </x:c>
      <x:c r="AV16" s="1323"/>
      <x:c r="AW16" s="1323"/>
      <x:c r="AX16" s="1323"/>
      <x:c r="AY16" s="1323"/>
      <x:c r="AZ16" s="1323"/>
      <x:c r="BA16" s="1532" t="s">
        <x:v>116</x:v>
      </x:c>
      <x:c r="BB16" s="1532" t="s">
        <x:v>116</x:v>
      </x:c>
      <x:c r="BC16" s="1533" t="s">
        <x:v>116</x:v>
      </x:c>
      <x:c r="BE16" s="1041" t="s">
        <x:v>1555</x:v>
      </x:c>
      <x:c r="BF16" s="552" t="s">
        <x:v>147</x:v>
      </x:c>
      <x:c r="BG16" s="552" t="s">
        <x:v>142</x:v>
      </x:c>
      <x:c r="BH16" s="552" t="s">
        <x:v>142</x:v>
      </x:c>
      <x:c r="BI16" s="552" t="s">
        <x:v>147</x:v>
      </x:c>
      <x:c r="BJ16" s="552" t="s">
        <x:v>147</x:v>
      </x:c>
      <x:c r="BK16" s="552" t="s">
        <x:v>147</x:v>
      </x:c>
      <x:c r="BL16" s="552" t="s">
        <x:v>147</x:v>
      </x:c>
      <x:c r="BM16" s="552" t="s">
        <x:v>147</x:v>
      </x:c>
      <x:c r="BN16" s="552" t="s">
        <x:v>147</x:v>
      </x:c>
      <x:c r="BO16" s="1619" t="s">
        <x:v>147</x:v>
      </x:c>
      <x:c r="BP16" s="1619" t="s">
        <x:v>147</x:v>
      </x:c>
      <x:c r="BQ16" s="552" t="s">
        <x:v>147</x:v>
      </x:c>
      <x:c r="BR16" s="552" t="s">
        <x:v>147</x:v>
      </x:c>
      <x:c r="BS16" s="552" t="s">
        <x:v>147</x:v>
      </x:c>
      <x:c r="BT16" s="552" t="s">
        <x:v>147</x:v>
      </x:c>
      <x:c r="BU16" s="1621" t="s">
        <x:v>163</x:v>
      </x:c>
      <x:c r="BV16" s="238"/>
      <x:c r="BW16" s="238" t="s">
        <x:v>145</x:v>
      </x:c>
      <x:c r="BX16" s="238" t="s">
        <x:v>145</x:v>
      </x:c>
      <x:c r="BY16" s="238" t="s">
        <x:v>168</x:v>
      </x:c>
      <x:c r="BZ16" s="238" t="s">
        <x:v>145</x:v>
      </x:c>
      <x:c r="CA16" s="238" t="s">
        <x:v>699</x:v>
      </x:c>
      <x:c r="CB16" s="238" t="s">
        <x:v>699</x:v>
      </x:c>
      <x:c r="CC16" s="449" t="s">
        <x:v>742</x:v>
      </x:c>
    </x:row>
    <x:row r="17" spans="1:81" ht="14.1" customHeight="1" x14ac:dyDescent="0.2">
      <x:c r="A17" s="2691"/>
      <x:c r="B17" s="2692" t="s">
        <x:v>146</x:v>
      </x:c>
      <x:c r="C17" s="2710" t="s">
        <x:v>165</x:v>
      </x:c>
      <x:c r="D17" s="2692" t="s">
        <x:v>145</x:v>
      </x:c>
      <x:c r="E17" s="2693"/>
      <x:c r="F17" s="2694">
        <x:v>600</x:v>
      </x:c>
      <x:c r="G17" s="2695">
        <x:v>3</x:v>
      </x:c>
      <x:c r="H17" s="2696">
        <x:v>0</x:v>
      </x:c>
      <x:c r="I17" s="2694"/>
      <x:c r="J17" s="2695"/>
      <x:c r="K17" s="2696"/>
      <x:c r="L17" s="2697" t="s">
        <x:v>702</x:v>
      </x:c>
      <x:c r="M17" s="2698" t="s">
        <x:v>116</x:v>
      </x:c>
      <x:c r="N17" s="2699" t="s">
        <x:v>116</x:v>
      </x:c>
      <x:c r="O17" s="2689"/>
      <x:c r="P17" s="2690" t="b">
        <x:f>IF(ISERROR(VLOOKUP(AO17,BE:BE,1,FALSE)),FALSE,IF(AO17&lt;&gt;"",VLOOKUP(AO17,BE:BE,1,FALSE)=AO17))</x:f>
        <x:v>1</x:v>
      </x:c>
      <x:c r="R17" s="245" t="b">
        <x:f t="shared" si="1"/>
        <x:v>0</x:v>
      </x:c>
      <x:c r="AO17" s="238" t="str">
        <x:f t="shared" si="2"/>
        <x:v>40</x:v>
      </x:c>
      <x:c r="AP17" s="945" t="b">
        <x:v>0</x:v>
      </x:c>
      <x:c r="AQ17" s="1322" t="s">
        <x:v>146</x:v>
      </x:c>
      <x:c r="AR17" s="1323" t="s">
        <x:v>167</x:v>
      </x:c>
      <x:c r="AS17" s="1323" t="s">
        <x:v>145</x:v>
      </x:c>
      <x:c r="AT17" s="1323"/>
      <x:c r="AU17" s="1323">
        <x:v>600</x:v>
      </x:c>
      <x:c r="AV17" s="1323">
        <x:v>3</x:v>
      </x:c>
      <x:c r="AW17" s="1323">
        <x:v>0</x:v>
      </x:c>
      <x:c r="AX17" s="1323"/>
      <x:c r="AY17" s="1323"/>
      <x:c r="AZ17" s="1323"/>
      <x:c r="BA17" s="1532" t="s">
        <x:v>702</x:v>
      </x:c>
      <x:c r="BB17" s="1532" t="s">
        <x:v>116</x:v>
      </x:c>
      <x:c r="BC17" s="1533" t="s">
        <x:v>116</x:v>
      </x:c>
      <x:c r="BE17" s="1041" t="s">
        <x:v>943</x:v>
      </x:c>
      <x:c r="BF17" s="552" t="s">
        <x:v>162</x:v>
      </x:c>
      <x:c r="BG17" s="552" t="s">
        <x:v>167</x:v>
      </x:c>
      <x:c r="BH17" s="552" t="s">
        <x:v>167</x:v>
      </x:c>
      <x:c r="BI17" s="552" t="s">
        <x:v>162</x:v>
      </x:c>
      <x:c r="BJ17" s="552" t="s">
        <x:v>162</x:v>
      </x:c>
      <x:c r="BK17" s="552" t="s">
        <x:v>162</x:v>
      </x:c>
      <x:c r="BL17" s="552" t="s">
        <x:v>162</x:v>
      </x:c>
      <x:c r="BM17" s="552" t="s">
        <x:v>162</x:v>
      </x:c>
      <x:c r="BN17" s="552" t="s">
        <x:v>162</x:v>
      </x:c>
      <x:c r="BO17" s="1619" t="s">
        <x:v>162</x:v>
      </x:c>
      <x:c r="BP17" s="1619" t="s">
        <x:v>162</x:v>
      </x:c>
      <x:c r="BQ17" s="552" t="s">
        <x:v>162</x:v>
      </x:c>
      <x:c r="BR17" s="552" t="s">
        <x:v>162</x:v>
      </x:c>
      <x:c r="BS17" s="552" t="s">
        <x:v>162</x:v>
      </x:c>
      <x:c r="BT17" s="552" t="s">
        <x:v>162</x:v>
      </x:c>
      <x:c r="BU17" s="238"/>
      <x:c r="BV17" s="238"/>
      <x:c r="BW17" s="238" t="s">
        <x:v>159</x:v>
      </x:c>
      <x:c r="BX17" s="238" t="s">
        <x:v>159</x:v>
      </x:c>
      <x:c r="BY17" s="238" t="s">
        <x:v>169</x:v>
      </x:c>
      <x:c r="BZ17" s="238"/>
      <x:c r="CA17" s="238" t="s">
        <x:v>700</x:v>
      </x:c>
      <x:c r="CB17" s="238" t="s">
        <x:v>701</x:v>
      </x:c>
      <x:c r="CC17" s="449" t="s">
        <x:v>743</x:v>
      </x:c>
    </x:row>
    <x:row r="18" spans="1:81" ht="14.1" customHeight="1" x14ac:dyDescent="0.2">
      <x:c r="A18" s="2691"/>
      <x:c r="B18" s="2692"/>
      <x:c r="C18" s="2692"/>
      <x:c r="D18" s="2692"/>
      <x:c r="E18" s="2693"/>
      <x:c r="F18" s="2694"/>
      <x:c r="G18" s="2695"/>
      <x:c r="H18" s="2696"/>
      <x:c r="I18" s="2694"/>
      <x:c r="J18" s="2695"/>
      <x:c r="K18" s="2696"/>
      <x:c r="L18" s="2697"/>
      <x:c r="M18" s="2698"/>
      <x:c r="N18" s="2699"/>
      <x:c r="O18" s="2689"/>
      <x:c r="P18" s="2690" t="b">
        <x:f t="shared" ref="P18:P55" si="3">IF(ISERROR(VLOOKUP(AO18,BE:BE,1,FALSE)),FALSE,IF(AO18&lt;&gt;"",VLOOKUP(AO18,BE:BE,1,FALSE)=AO18))</x:f>
        <x:v>1</x:v>
      </x:c>
      <x:c r="R18" s="245" t="b">
        <x:f t="shared" si="1"/>
        <x:v>0</x:v>
      </x:c>
      <x:c r="AO18" s="238" t="str">
        <x:f t="shared" si="2"/>
        <x:v>40</x:v>
      </x:c>
      <x:c r="AP18" s="945" t="b">
        <x:v>0</x:v>
      </x:c>
      <x:c r="AQ18" s="1322"/>
      <x:c r="AR18" s="1323"/>
      <x:c r="AS18" s="1323"/>
      <x:c r="AT18" s="1323"/>
      <x:c r="AU18" s="1323"/>
      <x:c r="AV18" s="1323"/>
      <x:c r="AW18" s="1323"/>
      <x:c r="AX18" s="1323"/>
      <x:c r="AY18" s="1323"/>
      <x:c r="AZ18" s="1323"/>
      <x:c r="BA18" s="1532"/>
      <x:c r="BB18" s="1532"/>
      <x:c r="BC18" s="1533"/>
      <x:c r="BE18" s="1041" t="s">
        <x:v>944</x:v>
      </x:c>
      <x:c r="BF18" s="552" t="s">
        <x:v>163</x:v>
      </x:c>
      <x:c r="BG18" s="238"/>
      <x:c r="BH18" s="238"/>
      <x:c r="BI18" s="552" t="s">
        <x:v>163</x:v>
      </x:c>
      <x:c r="BJ18" s="552" t="s">
        <x:v>163</x:v>
      </x:c>
      <x:c r="BK18" s="552" t="s">
        <x:v>163</x:v>
      </x:c>
      <x:c r="BL18" s="552" t="s">
        <x:v>163</x:v>
      </x:c>
      <x:c r="BM18" s="552" t="s">
        <x:v>163</x:v>
      </x:c>
      <x:c r="BN18" s="552" t="s">
        <x:v>163</x:v>
      </x:c>
      <x:c r="BO18" s="1619" t="s">
        <x:v>163</x:v>
      </x:c>
      <x:c r="BP18" s="1619" t="s">
        <x:v>163</x:v>
      </x:c>
      <x:c r="BQ18" s="552" t="s">
        <x:v>163</x:v>
      </x:c>
      <x:c r="BR18" s="552" t="s">
        <x:v>163</x:v>
      </x:c>
      <x:c r="BS18" s="552" t="s">
        <x:v>163</x:v>
      </x:c>
      <x:c r="BT18" s="552" t="s">
        <x:v>163</x:v>
      </x:c>
      <x:c r="BU18" s="238"/>
      <x:c r="BV18" s="238"/>
      <x:c r="BW18" s="238"/>
      <x:c r="BX18" s="238" t="s">
        <x:v>160</x:v>
      </x:c>
      <x:c r="BY18" s="238" t="s">
        <x:v>143</x:v>
      </x:c>
      <x:c r="BZ18" s="238"/>
      <x:c r="CA18" s="238" t="s">
        <x:v>701</x:v>
      </x:c>
      <x:c r="CB18" s="238" t="s">
        <x:v>703</x:v>
      </x:c>
      <x:c r="CC18" s="449" t="s">
        <x:v>744</x:v>
      </x:c>
    </x:row>
    <x:row r="19" spans="1:81" ht="14.1" customHeight="1" x14ac:dyDescent="0.2">
      <x:c r="A19" s="2691"/>
      <x:c r="B19" s="2692"/>
      <x:c r="C19" s="2692"/>
      <x:c r="D19" s="2692"/>
      <x:c r="E19" s="2693"/>
      <x:c r="F19" s="2694"/>
      <x:c r="G19" s="2695"/>
      <x:c r="H19" s="2696"/>
      <x:c r="I19" s="2694"/>
      <x:c r="J19" s="2695"/>
      <x:c r="K19" s="2696"/>
      <x:c r="L19" s="2697"/>
      <x:c r="M19" s="2698"/>
      <x:c r="N19" s="2699" t="s">
        <x:v>116</x:v>
      </x:c>
      <x:c r="O19" s="2689"/>
      <x:c r="P19" s="2690" t="b">
        <x:f t="shared" si="3"/>
        <x:v>1</x:v>
      </x:c>
      <x:c r="R19" s="245" t="b">
        <x:f t="shared" si="1"/>
        <x:v>0</x:v>
      </x:c>
      <x:c r="AO19" s="238" t="str">
        <x:f t="shared" si="2"/>
        <x:v>40</x:v>
      </x:c>
      <x:c r="AP19" s="945" t="b">
        <x:v>0</x:v>
      </x:c>
      <x:c r="AQ19" s="1322"/>
      <x:c r="AR19" s="1323"/>
      <x:c r="AS19" s="1323"/>
      <x:c r="AT19" s="1323"/>
      <x:c r="AU19" s="1323"/>
      <x:c r="AV19" s="1323"/>
      <x:c r="AW19" s="1323"/>
      <x:c r="AX19" s="1323"/>
      <x:c r="AY19" s="1323"/>
      <x:c r="AZ19" s="1323"/>
      <x:c r="BA19" s="1532"/>
      <x:c r="BB19" s="1532"/>
      <x:c r="BC19" s="1533"/>
      <x:c r="BE19" s="1041" t="s">
        <x:v>1539</x:v>
      </x:c>
      <x:c r="BF19" s="552" t="s">
        <x:v>142</x:v>
      </x:c>
      <x:c r="BG19" s="238"/>
      <x:c r="BH19" s="238"/>
      <x:c r="BI19" s="552" t="s">
        <x:v>142</x:v>
      </x:c>
      <x:c r="BJ19" s="552" t="s">
        <x:v>142</x:v>
      </x:c>
      <x:c r="BK19" s="552" t="s">
        <x:v>142</x:v>
      </x:c>
      <x:c r="BL19" s="552" t="s">
        <x:v>142</x:v>
      </x:c>
      <x:c r="BM19" s="552" t="s">
        <x:v>142</x:v>
      </x:c>
      <x:c r="BN19" s="552" t="s">
        <x:v>142</x:v>
      </x:c>
      <x:c r="BO19" s="1619" t="s">
        <x:v>142</x:v>
      </x:c>
      <x:c r="BP19" s="1619" t="s">
        <x:v>142</x:v>
      </x:c>
      <x:c r="BQ19" s="552" t="s">
        <x:v>142</x:v>
      </x:c>
      <x:c r="BR19" s="552" t="s">
        <x:v>142</x:v>
      </x:c>
      <x:c r="BS19" s="552" t="s">
        <x:v>165</x:v>
      </x:c>
      <x:c r="BT19" s="552" t="s">
        <x:v>142</x:v>
      </x:c>
      <x:c r="BU19" s="238"/>
      <x:c r="BV19" s="238"/>
      <x:c r="BW19" s="238"/>
      <x:c r="BX19" s="238" t="s">
        <x:v>161</x:v>
      </x:c>
      <x:c r="BY19" s="238"/>
      <x:c r="BZ19" s="464"/>
      <x:c r="CA19" s="238" t="s">
        <x:v>702</x:v>
      </x:c>
      <x:c r="CB19" s="238" t="s">
        <x:v>704</x:v>
      </x:c>
      <x:c r="CC19" s="449" t="s">
        <x:v>745</x:v>
      </x:c>
    </x:row>
    <x:row r="20" spans="1:81" ht="14.1" customHeight="1" x14ac:dyDescent="0.2">
      <x:c r="A20" s="2691"/>
      <x:c r="B20" s="2692"/>
      <x:c r="C20" s="2692"/>
      <x:c r="D20" s="2692"/>
      <x:c r="E20" s="2693"/>
      <x:c r="F20" s="2694"/>
      <x:c r="G20" s="2695"/>
      <x:c r="H20" s="2696"/>
      <x:c r="I20" s="2694"/>
      <x:c r="J20" s="2695"/>
      <x:c r="K20" s="2696"/>
      <x:c r="L20" s="2697"/>
      <x:c r="M20" s="2698"/>
      <x:c r="N20" s="2700"/>
      <x:c r="O20" s="2701"/>
      <x:c r="P20" s="2690" t="b">
        <x:f t="shared" si="3"/>
        <x:v>1</x:v>
      </x:c>
      <x:c r="R20" s="245" t="b">
        <x:f t="shared" si="1"/>
        <x:v>0</x:v>
      </x:c>
      <x:c r="AO20" s="238" t="str">
        <x:f t="shared" si="2"/>
        <x:v>40</x:v>
      </x:c>
      <x:c r="AP20" s="945" t="b">
        <x:v>0</x:v>
      </x:c>
      <x:c r="AQ20" s="1322"/>
      <x:c r="AR20" s="1323"/>
      <x:c r="AS20" s="1323"/>
      <x:c r="AT20" s="1323"/>
      <x:c r="AU20" s="1323"/>
      <x:c r="AV20" s="1323"/>
      <x:c r="AW20" s="1323"/>
      <x:c r="AX20" s="1323"/>
      <x:c r="AY20" s="1323"/>
      <x:c r="AZ20" s="1323"/>
      <x:c r="BA20" s="1532"/>
      <x:c r="BB20" s="1532"/>
      <x:c r="BC20" s="1533"/>
      <x:c r="BE20" s="1041" t="s">
        <x:v>1523</x:v>
      </x:c>
      <x:c r="BF20" s="552" t="s">
        <x:v>164</x:v>
      </x:c>
      <x:c r="BG20" s="238"/>
      <x:c r="BH20" s="238"/>
      <x:c r="BI20" s="552" t="s">
        <x:v>165</x:v>
      </x:c>
      <x:c r="BJ20" s="552" t="s">
        <x:v>165</x:v>
      </x:c>
      <x:c r="BK20" s="552" t="s">
        <x:v>165</x:v>
      </x:c>
      <x:c r="BL20" s="552" t="s">
        <x:v>165</x:v>
      </x:c>
      <x:c r="BM20" s="552" t="s">
        <x:v>165</x:v>
      </x:c>
      <x:c r="BN20" s="552" t="s">
        <x:v>165</x:v>
      </x:c>
      <x:c r="BO20" s="1619" t="s">
        <x:v>164</x:v>
      </x:c>
      <x:c r="BP20" s="1619" t="s">
        <x:v>164</x:v>
      </x:c>
      <x:c r="BQ20" s="552" t="s">
        <x:v>165</x:v>
      </x:c>
      <x:c r="BR20" s="552" t="s">
        <x:v>165</x:v>
      </x:c>
      <x:c r="BS20" s="238"/>
      <x:c r="BT20" s="1619" t="s">
        <x:v>164</x:v>
      </x:c>
      <x:c r="BU20" s="238"/>
      <x:c r="BV20" s="238"/>
      <x:c r="BW20" s="378"/>
      <x:c r="BX20" s="378"/>
      <x:c r="BY20" s="378"/>
      <x:c r="CA20" s="238" t="s">
        <x:v>703</x:v>
      </x:c>
      <x:c r="CB20" s="238"/>
      <x:c r="CC20" s="449"/>
    </x:row>
    <x:row r="21" spans="1:81" ht="14.1" customHeight="1" x14ac:dyDescent="0.2">
      <x:c r="A21" s="2691"/>
      <x:c r="B21" s="2692"/>
      <x:c r="C21" s="2692"/>
      <x:c r="D21" s="2692"/>
      <x:c r="E21" s="2693"/>
      <x:c r="F21" s="2694"/>
      <x:c r="G21" s="2695"/>
      <x:c r="H21" s="2696"/>
      <x:c r="I21" s="2694"/>
      <x:c r="J21" s="2695"/>
      <x:c r="K21" s="2696"/>
      <x:c r="L21" s="2697"/>
      <x:c r="M21" s="2698"/>
      <x:c r="N21" s="2700"/>
      <x:c r="O21" s="2701"/>
      <x:c r="P21" s="2690" t="b">
        <x:f t="shared" si="3"/>
        <x:v>1</x:v>
      </x:c>
      <x:c r="R21" s="245" t="b">
        <x:f t="shared" si="1"/>
        <x:v>0</x:v>
      </x:c>
      <x:c r="AO21" s="238" t="str">
        <x:f t="shared" si="2"/>
        <x:v>40</x:v>
      </x:c>
      <x:c r="AP21" s="945" t="b">
        <x:v>0</x:v>
      </x:c>
      <x:c r="AQ21" s="1322"/>
      <x:c r="AR21" s="1323"/>
      <x:c r="AS21" s="1323"/>
      <x:c r="AT21" s="1323"/>
      <x:c r="AU21" s="1323"/>
      <x:c r="AV21" s="1323"/>
      <x:c r="AW21" s="1323"/>
      <x:c r="AX21" s="1323"/>
      <x:c r="AY21" s="1323"/>
      <x:c r="AZ21" s="1323"/>
      <x:c r="BA21" s="1532"/>
      <x:c r="BB21" s="1532"/>
      <x:c r="BC21" s="1533"/>
      <x:c r="BE21" s="1041" t="s">
        <x:v>808</x:v>
      </x:c>
      <x:c r="BF21" s="552" t="s">
        <x:v>165</x:v>
      </x:c>
      <x:c r="BG21" s="238"/>
      <x:c r="BH21" s="238"/>
      <x:c r="BI21" s="552" t="s">
        <x:v>167</x:v>
      </x:c>
      <x:c r="BJ21" s="552" t="s">
        <x:v>167</x:v>
      </x:c>
      <x:c r="BK21" s="552" t="s">
        <x:v>167</x:v>
      </x:c>
      <x:c r="BL21" s="552" t="s">
        <x:v>167</x:v>
      </x:c>
      <x:c r="BM21" s="552" t="s">
        <x:v>167</x:v>
      </x:c>
      <x:c r="BN21" s="552" t="s">
        <x:v>167</x:v>
      </x:c>
      <x:c r="BO21" s="1619" t="s">
        <x:v>165</x:v>
      </x:c>
      <x:c r="BP21" s="1619" t="s">
        <x:v>165</x:v>
      </x:c>
      <x:c r="BQ21" s="552" t="s">
        <x:v>167</x:v>
      </x:c>
      <x:c r="BR21" s="552" t="s">
        <x:v>167</x:v>
      </x:c>
      <x:c r="BS21" s="238"/>
      <x:c r="BT21" s="552" t="s">
        <x:v>165</x:v>
      </x:c>
      <x:c r="BU21" s="238"/>
      <x:c r="BV21" s="238"/>
      <x:c r="BW21" s="378"/>
      <x:c r="BX21" s="378"/>
      <x:c r="BY21" s="378"/>
      <x:c r="CA21" s="238" t="s">
        <x:v>704</x:v>
      </x:c>
      <x:c r="CB21" s="238"/>
      <x:c r="CC21" s="449"/>
    </x:row>
    <x:row r="22" spans="1:81" ht="14.1" customHeight="1" x14ac:dyDescent="0.2">
      <x:c r="A22" s="2691"/>
      <x:c r="B22" s="2692"/>
      <x:c r="C22" s="2692"/>
      <x:c r="D22" s="2692"/>
      <x:c r="E22" s="2693"/>
      <x:c r="F22" s="2694"/>
      <x:c r="G22" s="2695"/>
      <x:c r="H22" s="2696"/>
      <x:c r="I22" s="2694"/>
      <x:c r="J22" s="2695"/>
      <x:c r="K22" s="2696"/>
      <x:c r="L22" s="2697"/>
      <x:c r="M22" s="2698"/>
      <x:c r="N22" s="2700"/>
      <x:c r="O22" s="2701"/>
      <x:c r="P22" s="2690" t="b">
        <x:f t="shared" si="3"/>
        <x:v>1</x:v>
      </x:c>
      <x:c r="R22" s="245" t="b">
        <x:f t="shared" si="1"/>
        <x:v>0</x:v>
      </x:c>
      <x:c r="AO22" s="238" t="str">
        <x:f t="shared" si="2"/>
        <x:v>40</x:v>
      </x:c>
      <x:c r="AP22" s="945" t="b">
        <x:v>0</x:v>
      </x:c>
      <x:c r="AQ22" s="1322"/>
      <x:c r="AR22" s="1323"/>
      <x:c r="AS22" s="1323"/>
      <x:c r="AT22" s="1323"/>
      <x:c r="AU22" s="1323"/>
      <x:c r="AV22" s="1323"/>
      <x:c r="AW22" s="1323"/>
      <x:c r="AX22" s="1323"/>
      <x:c r="AY22" s="1323"/>
      <x:c r="AZ22" s="1323"/>
      <x:c r="BA22" s="1532"/>
      <x:c r="BB22" s="1532"/>
      <x:c r="BC22" s="1533"/>
      <x:c r="BE22" s="1041" t="s">
        <x:v>1524</x:v>
      </x:c>
      <x:c r="BF22" s="552" t="s">
        <x:v>167</x:v>
      </x:c>
      <x:c r="BG22" s="238"/>
      <x:c r="BH22" s="238"/>
      <x:c r="BI22" s="552" t="s">
        <x:v>166</x:v>
      </x:c>
      <x:c r="BJ22" s="552" t="s">
        <x:v>166</x:v>
      </x:c>
      <x:c r="BK22" s="552" t="s">
        <x:v>166</x:v>
      </x:c>
      <x:c r="BL22" s="552" t="s">
        <x:v>166</x:v>
      </x:c>
      <x:c r="BM22" s="552" t="s">
        <x:v>166</x:v>
      </x:c>
      <x:c r="BN22" s="552" t="s">
        <x:v>166</x:v>
      </x:c>
      <x:c r="BO22" s="1619" t="s">
        <x:v>167</x:v>
      </x:c>
      <x:c r="BP22" s="1619" t="s">
        <x:v>167</x:v>
      </x:c>
      <x:c r="BQ22" s="552" t="s">
        <x:v>166</x:v>
      </x:c>
      <x:c r="BR22" s="552" t="s">
        <x:v>166</x:v>
      </x:c>
      <x:c r="BS22" s="238"/>
      <x:c r="BT22" s="552" t="s">
        <x:v>167</x:v>
      </x:c>
      <x:c r="BU22" s="238"/>
      <x:c r="BV22" s="238"/>
      <x:c r="BW22" s="378"/>
      <x:c r="BX22" s="378"/>
      <x:c r="BY22" s="378"/>
      <x:c r="CA22" s="238"/>
      <x:c r="CB22" s="238"/>
      <x:c r="CC22" s="449"/>
    </x:row>
    <x:row r="23" spans="1:81" ht="14.1" customHeight="1" x14ac:dyDescent="0.2">
      <x:c r="A23" s="2691"/>
      <x:c r="B23" s="2692"/>
      <x:c r="C23" s="2692"/>
      <x:c r="D23" s="2692"/>
      <x:c r="E23" s="2693"/>
      <x:c r="F23" s="2694"/>
      <x:c r="G23" s="2695"/>
      <x:c r="H23" s="2696"/>
      <x:c r="I23" s="2694"/>
      <x:c r="J23" s="2695"/>
      <x:c r="K23" s="2696"/>
      <x:c r="L23" s="2697"/>
      <x:c r="M23" s="2698"/>
      <x:c r="N23" s="2700"/>
      <x:c r="O23" s="2701"/>
      <x:c r="P23" s="2690" t="b">
        <x:f t="shared" si="3"/>
        <x:v>1</x:v>
      </x:c>
      <x:c r="R23" s="245" t="b">
        <x:f t="shared" si="1"/>
        <x:v>0</x:v>
      </x:c>
      <x:c r="AO23" s="238" t="str">
        <x:f t="shared" si="2"/>
        <x:v>40</x:v>
      </x:c>
      <x:c r="AP23" s="945" t="b">
        <x:v>0</x:v>
      </x:c>
      <x:c r="AQ23" s="1322"/>
      <x:c r="AR23" s="1323"/>
      <x:c r="AS23" s="1323"/>
      <x:c r="AT23" s="1323"/>
      <x:c r="AU23" s="1323"/>
      <x:c r="AV23" s="1323"/>
      <x:c r="AW23" s="1323"/>
      <x:c r="AX23" s="1323"/>
      <x:c r="AY23" s="1323"/>
      <x:c r="AZ23" s="1323"/>
      <x:c r="BA23" s="1532"/>
      <x:c r="BB23" s="1532"/>
      <x:c r="BC23" s="1533"/>
      <x:c r="BE23" s="1041" t="s">
        <x:v>1541</x:v>
      </x:c>
      <x:c r="BF23" s="552" t="s">
        <x:v>166</x:v>
      </x:c>
      <x:c r="BG23" s="483"/>
      <x:c r="BH23" s="483"/>
      <x:c r="BI23" s="483"/>
      <x:c r="BJ23" s="483"/>
      <x:c r="BK23" s="483"/>
      <x:c r="BL23" s="483"/>
      <x:c r="BM23" s="483"/>
      <x:c r="BN23" s="483"/>
      <x:c r="BO23" s="1619" t="s">
        <x:v>166</x:v>
      </x:c>
      <x:c r="BP23" s="1619" t="s">
        <x:v>166</x:v>
      </x:c>
      <x:c r="BQ23" s="483"/>
      <x:c r="BR23" s="483"/>
      <x:c r="BS23" s="483"/>
      <x:c r="BT23" s="552" t="s">
        <x:v>166</x:v>
      </x:c>
      <x:c r="BU23" s="483"/>
      <x:c r="BV23" s="483"/>
      <x:c r="BW23" s="378"/>
      <x:c r="BX23" s="378"/>
      <x:c r="BY23" s="378"/>
      <x:c r="CA23" s="238"/>
      <x:c r="CB23" s="238"/>
      <x:c r="CC23" s="449"/>
    </x:row>
    <x:row r="24" spans="1:81" ht="14.1" customHeight="1" x14ac:dyDescent="0.2">
      <x:c r="A24" s="2691"/>
      <x:c r="B24" s="2692"/>
      <x:c r="C24" s="2692"/>
      <x:c r="D24" s="2692"/>
      <x:c r="E24" s="2693"/>
      <x:c r="F24" s="2694"/>
      <x:c r="G24" s="2695"/>
      <x:c r="H24" s="2696"/>
      <x:c r="I24" s="2694"/>
      <x:c r="J24" s="2695"/>
      <x:c r="K24" s="2696"/>
      <x:c r="L24" s="2697"/>
      <x:c r="M24" s="2698"/>
      <x:c r="N24" s="2700"/>
      <x:c r="O24" s="2701"/>
      <x:c r="P24" s="2690" t="b">
        <x:f t="shared" si="3"/>
        <x:v>1</x:v>
      </x:c>
      <x:c r="R24" s="245" t="b">
        <x:f t="shared" si="1"/>
        <x:v>0</x:v>
      </x:c>
      <x:c r="AO24" s="238" t="str">
        <x:f t="shared" si="2"/>
        <x:v>40</x:v>
      </x:c>
      <x:c r="AP24" s="945" t="b">
        <x:v>0</x:v>
      </x:c>
      <x:c r="AQ24" s="1322"/>
      <x:c r="AR24" s="1323"/>
      <x:c r="AS24" s="1323"/>
      <x:c r="AT24" s="1323"/>
      <x:c r="AU24" s="1323"/>
      <x:c r="AV24" s="1323"/>
      <x:c r="AW24" s="1323"/>
      <x:c r="AX24" s="1323"/>
      <x:c r="AY24" s="1323"/>
      <x:c r="AZ24" s="1323"/>
      <x:c r="BA24" s="1532"/>
      <x:c r="BB24" s="1532"/>
      <x:c r="BC24" s="1533"/>
      <x:c r="BE24" s="1041" t="s">
        <x:v>1525</x:v>
      </x:c>
      <x:c r="BF24" s="483"/>
      <x:c r="BG24" s="483"/>
      <x:c r="BH24" s="483"/>
      <x:c r="BI24" s="483"/>
      <x:c r="BJ24" s="483"/>
      <x:c r="BK24" s="483"/>
      <x:c r="BL24" s="483"/>
      <x:c r="BM24" s="483"/>
      <x:c r="BN24" s="483"/>
      <x:c r="BO24" s="1619" t="s">
        <x:v>144</x:v>
      </x:c>
      <x:c r="BP24" s="1619" t="s">
        <x:v>144</x:v>
      </x:c>
      <x:c r="BQ24" s="483"/>
      <x:c r="BR24" s="483"/>
      <x:c r="BS24" s="483"/>
      <x:c r="BT24" s="1620" t="s">
        <x:v>144</x:v>
      </x:c>
      <x:c r="BU24" s="483"/>
      <x:c r="BV24" s="483"/>
      <x:c r="BW24" s="378"/>
      <x:c r="BX24" s="378"/>
      <x:c r="BY24" s="378"/>
      <x:c r="CA24" s="238"/>
      <x:c r="CB24" s="238"/>
      <x:c r="CC24" s="449"/>
    </x:row>
    <x:row r="25" spans="1:81" ht="14.1" customHeight="1" x14ac:dyDescent="0.2">
      <x:c r="A25" s="2691"/>
      <x:c r="B25" s="2692"/>
      <x:c r="C25" s="2692"/>
      <x:c r="D25" s="2692"/>
      <x:c r="E25" s="2693"/>
      <x:c r="F25" s="2694"/>
      <x:c r="G25" s="2695"/>
      <x:c r="H25" s="2696"/>
      <x:c r="I25" s="2694"/>
      <x:c r="J25" s="2695"/>
      <x:c r="K25" s="2696"/>
      <x:c r="L25" s="2697"/>
      <x:c r="M25" s="2698"/>
      <x:c r="N25" s="2700"/>
      <x:c r="O25" s="2701"/>
      <x:c r="P25" s="2690" t="b">
        <x:f t="shared" si="3"/>
        <x:v>1</x:v>
      </x:c>
      <x:c r="R25" s="245" t="b">
        <x:f t="shared" si="1"/>
        <x:v>0</x:v>
      </x:c>
      <x:c r="AO25" s="238" t="str">
        <x:f t="shared" si="2"/>
        <x:v>40</x:v>
      </x:c>
      <x:c r="AP25" s="945" t="b">
        <x:v>0</x:v>
      </x:c>
      <x:c r="AQ25" s="1322"/>
      <x:c r="AR25" s="1323"/>
      <x:c r="AS25" s="1323"/>
      <x:c r="AT25" s="1323"/>
      <x:c r="AU25" s="1323"/>
      <x:c r="AV25" s="1323"/>
      <x:c r="AW25" s="1323"/>
      <x:c r="AX25" s="1323"/>
      <x:c r="AY25" s="1323"/>
      <x:c r="AZ25" s="1323"/>
      <x:c r="BA25" s="1532"/>
      <x:c r="BB25" s="1532"/>
      <x:c r="BC25" s="1533"/>
      <x:c r="BE25" s="1041" t="s">
        <x:v>1534</x:v>
      </x:c>
      <x:c r="BF25" s="238"/>
      <x:c r="BG25" s="238"/>
      <x:c r="BH25" s="238"/>
      <x:c r="BI25" s="238"/>
      <x:c r="BJ25" s="238"/>
      <x:c r="BK25" s="238"/>
      <x:c r="BL25" s="238"/>
      <x:c r="BM25" s="238"/>
      <x:c r="BN25" s="238"/>
      <x:c r="BO25" s="238"/>
      <x:c r="BP25" s="238"/>
      <x:c r="BQ25" s="238"/>
      <x:c r="BR25" s="238"/>
      <x:c r="BS25" s="238"/>
      <x:c r="BT25" s="1620" t="s">
        <x:v>152</x:v>
      </x:c>
      <x:c r="BU25" s="238"/>
      <x:c r="BV25" s="238"/>
      <x:c r="BW25" s="378"/>
      <x:c r="BX25" s="378"/>
      <x:c r="BY25" s="378"/>
    </x:row>
    <x:row r="26" spans="1:81" ht="14.1" customHeight="1" x14ac:dyDescent="0.2">
      <x:c r="A26" s="2691"/>
      <x:c r="B26" s="2692"/>
      <x:c r="C26" s="2692"/>
      <x:c r="D26" s="2692"/>
      <x:c r="E26" s="2693"/>
      <x:c r="F26" s="2694"/>
      <x:c r="G26" s="2695"/>
      <x:c r="H26" s="2696"/>
      <x:c r="I26" s="2694"/>
      <x:c r="J26" s="2695"/>
      <x:c r="K26" s="2696"/>
      <x:c r="L26" s="2697"/>
      <x:c r="M26" s="2698"/>
      <x:c r="N26" s="2700"/>
      <x:c r="O26" s="2701"/>
      <x:c r="P26" s="2690" t="b">
        <x:f t="shared" si="3"/>
        <x:v>1</x:v>
      </x:c>
      <x:c r="R26" s="245" t="b">
        <x:f t="shared" si="1"/>
        <x:v>0</x:v>
      </x:c>
      <x:c r="AO26" s="238" t="str">
        <x:f t="shared" si="2"/>
        <x:v>40</x:v>
      </x:c>
      <x:c r="AP26" s="945" t="b">
        <x:v>0</x:v>
      </x:c>
      <x:c r="AQ26" s="1322"/>
      <x:c r="AR26" s="1323"/>
      <x:c r="AS26" s="1323"/>
      <x:c r="AT26" s="1323"/>
      <x:c r="AU26" s="1323"/>
      <x:c r="AV26" s="1323"/>
      <x:c r="AW26" s="1323"/>
      <x:c r="AX26" s="1323"/>
      <x:c r="AY26" s="1323"/>
      <x:c r="AZ26" s="1323"/>
      <x:c r="BA26" s="1532"/>
      <x:c r="BB26" s="1532"/>
      <x:c r="BC26" s="1533"/>
      <x:c r="BE26" s="1041" t="s">
        <x:v>1560</x:v>
      </x:c>
      <x:c r="BF26" s="238"/>
      <x:c r="BG26" s="238"/>
      <x:c r="BH26" s="238"/>
      <x:c r="BI26" s="238"/>
      <x:c r="BJ26" s="238"/>
      <x:c r="BK26" s="238"/>
      <x:c r="BL26" s="238"/>
      <x:c r="BM26" s="238"/>
      <x:c r="BN26" s="238"/>
      <x:c r="BO26" s="238"/>
      <x:c r="BP26" s="238"/>
      <x:c r="BQ26" s="238"/>
      <x:c r="BR26" s="238"/>
      <x:c r="BS26" s="238"/>
      <x:c r="BT26" s="238"/>
      <x:c r="BU26" s="238"/>
      <x:c r="BV26" s="238"/>
      <x:c r="BW26" s="378"/>
      <x:c r="BX26" s="378"/>
      <x:c r="BY26" s="378"/>
    </x:row>
    <x:row r="27" spans="1:81" ht="14.1" customHeight="1" x14ac:dyDescent="0.2">
      <x:c r="A27" s="2691"/>
      <x:c r="B27" s="2692"/>
      <x:c r="C27" s="2692"/>
      <x:c r="D27" s="2692"/>
      <x:c r="E27" s="2693"/>
      <x:c r="F27" s="2694"/>
      <x:c r="G27" s="2695"/>
      <x:c r="H27" s="2696"/>
      <x:c r="I27" s="2694"/>
      <x:c r="J27" s="2695"/>
      <x:c r="K27" s="2696"/>
      <x:c r="L27" s="2697"/>
      <x:c r="M27" s="2698"/>
      <x:c r="N27" s="2700"/>
      <x:c r="O27" s="2701"/>
      <x:c r="P27" s="2690" t="b">
        <x:f t="shared" si="3"/>
        <x:v>1</x:v>
      </x:c>
      <x:c r="R27" s="245" t="b">
        <x:f t="shared" si="1"/>
        <x:v>0</x:v>
      </x:c>
      <x:c r="AO27" s="238" t="str">
        <x:f t="shared" si="2"/>
        <x:v>40</x:v>
      </x:c>
      <x:c r="AP27" s="945" t="b">
        <x:v>0</x:v>
      </x:c>
      <x:c r="AQ27" s="1322"/>
      <x:c r="AR27" s="1323"/>
      <x:c r="AS27" s="1323"/>
      <x:c r="AT27" s="1323"/>
      <x:c r="AU27" s="1323"/>
      <x:c r="AV27" s="1323"/>
      <x:c r="AW27" s="1323"/>
      <x:c r="AX27" s="1323"/>
      <x:c r="AY27" s="1323"/>
      <x:c r="AZ27" s="1323"/>
      <x:c r="BA27" s="1532"/>
      <x:c r="BB27" s="1532"/>
      <x:c r="BC27" s="1533"/>
      <x:c r="BE27" s="1041" t="s">
        <x:v>1547</x:v>
      </x:c>
      <x:c r="BF27" s="238"/>
      <x:c r="BG27" s="238"/>
      <x:c r="BH27" s="238"/>
      <x:c r="BI27" s="238"/>
      <x:c r="BJ27" s="238"/>
      <x:c r="BK27" s="238"/>
      <x:c r="BL27" s="238"/>
      <x:c r="BM27" s="238"/>
      <x:c r="BN27" s="238"/>
      <x:c r="BO27" s="238"/>
      <x:c r="BP27" s="238"/>
      <x:c r="BQ27" s="238"/>
      <x:c r="BR27" s="238"/>
      <x:c r="BS27" s="238"/>
      <x:c r="BT27" s="238"/>
      <x:c r="BU27" s="238"/>
      <x:c r="BV27" s="238"/>
      <x:c r="BW27" s="378"/>
      <x:c r="BX27" s="378"/>
      <x:c r="BY27" s="378"/>
    </x:row>
    <x:row r="28" spans="1:81" ht="14.1" customHeight="1" x14ac:dyDescent="0.2">
      <x:c r="A28" s="2691"/>
      <x:c r="B28" s="2692"/>
      <x:c r="C28" s="2692"/>
      <x:c r="D28" s="2692"/>
      <x:c r="E28" s="2693"/>
      <x:c r="F28" s="2694"/>
      <x:c r="G28" s="2695"/>
      <x:c r="H28" s="2696"/>
      <x:c r="I28" s="2694"/>
      <x:c r="J28" s="2695"/>
      <x:c r="K28" s="2696"/>
      <x:c r="L28" s="2697"/>
      <x:c r="M28" s="2698"/>
      <x:c r="N28" s="2699"/>
      <x:c r="O28" s="2689"/>
      <x:c r="P28" s="2690" t="b">
        <x:f t="shared" si="3"/>
        <x:v>1</x:v>
      </x:c>
      <x:c r="R28" s="245" t="b">
        <x:f t="shared" si="1"/>
        <x:v>0</x:v>
      </x:c>
      <x:c r="AO28" s="238" t="str">
        <x:f t="shared" si="2"/>
        <x:v>40</x:v>
      </x:c>
      <x:c r="AP28" s="945" t="b">
        <x:v>0</x:v>
      </x:c>
      <x:c r="AQ28" s="1322"/>
      <x:c r="AR28" s="1323"/>
      <x:c r="AS28" s="1323"/>
      <x:c r="AT28" s="1323"/>
      <x:c r="AU28" s="1323"/>
      <x:c r="AV28" s="1323"/>
      <x:c r="AW28" s="1323"/>
      <x:c r="AX28" s="1323"/>
      <x:c r="AY28" s="1323"/>
      <x:c r="AZ28" s="1323"/>
      <x:c r="BA28" s="1532"/>
      <x:c r="BB28" s="1532"/>
      <x:c r="BC28" s="1533"/>
      <x:c r="BE28" s="1041" t="s">
        <x:v>1526</x:v>
      </x:c>
      <x:c r="BF28" s="238"/>
      <x:c r="BG28" s="238"/>
      <x:c r="BH28" s="238"/>
      <x:c r="BI28" s="238"/>
      <x:c r="BJ28" s="238"/>
      <x:c r="BK28" s="238"/>
      <x:c r="BL28" s="238"/>
      <x:c r="BM28" s="238"/>
      <x:c r="BN28" s="238"/>
      <x:c r="BO28" s="238"/>
      <x:c r="BP28" s="238"/>
      <x:c r="BQ28" s="238"/>
      <x:c r="BR28" s="238"/>
      <x:c r="BS28" s="238"/>
      <x:c r="BT28" s="238"/>
      <x:c r="BU28" s="238"/>
      <x:c r="BV28" s="238"/>
      <x:c r="BW28" s="378"/>
      <x:c r="BX28" s="378"/>
      <x:c r="BY28" s="378"/>
    </x:row>
    <x:row r="29" spans="1:81" ht="14.1" customHeight="1" x14ac:dyDescent="0.2">
      <x:c r="A29" s="2691"/>
      <x:c r="B29" s="2692"/>
      <x:c r="C29" s="2692"/>
      <x:c r="D29" s="2692"/>
      <x:c r="E29" s="2693"/>
      <x:c r="F29" s="2694"/>
      <x:c r="G29" s="2695"/>
      <x:c r="H29" s="2696"/>
      <x:c r="I29" s="2694"/>
      <x:c r="J29" s="2695"/>
      <x:c r="K29" s="2696"/>
      <x:c r="L29" s="2697"/>
      <x:c r="M29" s="2698"/>
      <x:c r="N29" s="2699"/>
      <x:c r="O29" s="2689"/>
      <x:c r="P29" s="2690" t="b">
        <x:f t="shared" si="3"/>
        <x:v>1</x:v>
      </x:c>
      <x:c r="R29" s="245" t="b">
        <x:f t="shared" si="1"/>
        <x:v>0</x:v>
      </x:c>
      <x:c r="AO29" s="238" t="str">
        <x:f t="shared" si="2"/>
        <x:v>40</x:v>
      </x:c>
      <x:c r="AP29" s="945" t="b">
        <x:v>0</x:v>
      </x:c>
      <x:c r="AQ29" s="1322"/>
      <x:c r="AR29" s="1323"/>
      <x:c r="AS29" s="1323"/>
      <x:c r="AT29" s="1323"/>
      <x:c r="AU29" s="1323"/>
      <x:c r="AV29" s="1323"/>
      <x:c r="AW29" s="1323"/>
      <x:c r="AX29" s="1323"/>
      <x:c r="AY29" s="1323"/>
      <x:c r="AZ29" s="1323"/>
      <x:c r="BA29" s="1532"/>
      <x:c r="BB29" s="1532"/>
      <x:c r="BC29" s="1533"/>
      <x:c r="BE29" s="1041" t="s">
        <x:v>1527</x:v>
      </x:c>
      <x:c r="BF29" s="238"/>
      <x:c r="BG29" s="238"/>
      <x:c r="BH29" s="238"/>
      <x:c r="BI29" s="238"/>
      <x:c r="BJ29" s="238"/>
      <x:c r="BK29" s="238"/>
      <x:c r="BL29" s="238"/>
      <x:c r="BM29" s="238"/>
      <x:c r="BN29" s="238"/>
      <x:c r="BO29" s="238"/>
      <x:c r="BP29" s="238"/>
      <x:c r="BQ29" s="238"/>
      <x:c r="BR29" s="238"/>
      <x:c r="BS29" s="238"/>
      <x:c r="BT29" s="238"/>
      <x:c r="BU29" s="238"/>
      <x:c r="BV29" s="238"/>
      <x:c r="BW29" s="378"/>
      <x:c r="BX29" s="378"/>
      <x:c r="BY29" s="378"/>
    </x:row>
    <x:row r="30" spans="1:81" ht="14.1" customHeight="1" x14ac:dyDescent="0.2">
      <x:c r="A30" s="2691"/>
      <x:c r="B30" s="2692"/>
      <x:c r="C30" s="2692"/>
      <x:c r="D30" s="2692"/>
      <x:c r="E30" s="2693"/>
      <x:c r="F30" s="2694"/>
      <x:c r="G30" s="2695"/>
      <x:c r="H30" s="2696"/>
      <x:c r="I30" s="2694"/>
      <x:c r="J30" s="2695"/>
      <x:c r="K30" s="2696"/>
      <x:c r="L30" s="2697"/>
      <x:c r="M30" s="2698"/>
      <x:c r="N30" s="2699" t="s">
        <x:v>116</x:v>
      </x:c>
      <x:c r="O30" s="2689"/>
      <x:c r="P30" s="2690" t="b">
        <x:f t="shared" si="3"/>
        <x:v>1</x:v>
      </x:c>
      <x:c r="R30" s="245" t="b">
        <x:f t="shared" si="1"/>
        <x:v>0</x:v>
      </x:c>
      <x:c r="AO30" s="238" t="str">
        <x:f t="shared" si="2"/>
        <x:v>40</x:v>
      </x:c>
      <x:c r="AP30" s="945" t="b">
        <x:v>0</x:v>
      </x:c>
      <x:c r="AQ30" s="1322"/>
      <x:c r="AR30" s="1323"/>
      <x:c r="AS30" s="1323"/>
      <x:c r="AT30" s="1323"/>
      <x:c r="AU30" s="1323"/>
      <x:c r="AV30" s="1323"/>
      <x:c r="AW30" s="1323"/>
      <x:c r="AX30" s="1323"/>
      <x:c r="AY30" s="1323"/>
      <x:c r="AZ30" s="1323"/>
      <x:c r="BA30" s="1532"/>
      <x:c r="BB30" s="1532"/>
      <x:c r="BC30" s="1533"/>
      <x:c r="BE30" s="1041" t="s">
        <x:v>1528</x:v>
      </x:c>
      <x:c r="BF30" s="580">
        <x:f t="shared" ref="BF30:CC30" si="4">COUNTA(BF16:BF29)</x:f>
        <x:v>8</x:v>
      </x:c>
      <x:c r="BG30" s="580">
        <x:f t="shared" si="4"/>
        <x:v>2</x:v>
      </x:c>
      <x:c r="BH30" s="580">
        <x:f t="shared" si="4"/>
        <x:v>2</x:v>
      </x:c>
      <x:c r="BI30" s="580">
        <x:f t="shared" si="4"/>
        <x:v>7</x:v>
      </x:c>
      <x:c r="BJ30" s="580">
        <x:f t="shared" si="4"/>
        <x:v>7</x:v>
      </x:c>
      <x:c r="BK30" s="580">
        <x:f t="shared" si="4"/>
        <x:v>7</x:v>
      </x:c>
      <x:c r="BL30" s="580">
        <x:f t="shared" si="4"/>
        <x:v>7</x:v>
      </x:c>
      <x:c r="BM30" s="580">
        <x:f t="shared" si="4"/>
        <x:v>7</x:v>
      </x:c>
      <x:c r="BN30" s="580">
        <x:f t="shared" si="4"/>
        <x:v>7</x:v>
      </x:c>
      <x:c r="BO30" s="580">
        <x:f t="shared" si="4"/>
        <x:v>9</x:v>
      </x:c>
      <x:c r="BP30" s="580">
        <x:f t="shared" si="4"/>
        <x:v>9</x:v>
      </x:c>
      <x:c r="BQ30" s="580">
        <x:f t="shared" si="4"/>
        <x:v>7</x:v>
      </x:c>
      <x:c r="BR30" s="580">
        <x:f t="shared" si="4"/>
        <x:v>7</x:v>
      </x:c>
      <x:c r="BS30" s="580">
        <x:f t="shared" si="4"/>
        <x:v>4</x:v>
      </x:c>
      <x:c r="BT30" s="580">
        <x:f t="shared" si="4"/>
        <x:v>10</x:v>
      </x:c>
      <x:c r="BU30" s="580">
        <x:f t="shared" si="4"/>
        <x:v>1</x:v>
      </x:c>
      <x:c r="BV30" s="580">
        <x:f t="shared" si="4"/>
        <x:v>0</x:v>
      </x:c>
      <x:c r="BW30" s="580">
        <x:f t="shared" si="4"/>
        <x:v>2</x:v>
      </x:c>
      <x:c r="BX30" s="580">
        <x:f t="shared" si="4"/>
        <x:v>4</x:v>
      </x:c>
      <x:c r="BY30" s="580">
        <x:f t="shared" si="4"/>
        <x:v>3</x:v>
      </x:c>
      <x:c r="BZ30" s="580">
        <x:f t="shared" si="4"/>
        <x:v>1</x:v>
      </x:c>
      <x:c r="CA30" s="580">
        <x:f t="shared" si="4"/>
        <x:v>6</x:v>
      </x:c>
      <x:c r="CB30" s="580">
        <x:f t="shared" si="4"/>
        <x:v>4</x:v>
      </x:c>
      <x:c r="CC30" s="580">
        <x:f t="shared" si="4"/>
        <x:v>4</x:v>
      </x:c>
    </x:row>
    <x:row r="31" spans="1:81" ht="14.1" customHeight="1" x14ac:dyDescent="0.2">
      <x:c r="A31" s="2691"/>
      <x:c r="B31" s="2692"/>
      <x:c r="C31" s="2692"/>
      <x:c r="D31" s="2692"/>
      <x:c r="E31" s="2693"/>
      <x:c r="F31" s="2694"/>
      <x:c r="G31" s="2695"/>
      <x:c r="H31" s="2696"/>
      <x:c r="I31" s="2694"/>
      <x:c r="J31" s="2695"/>
      <x:c r="K31" s="2696"/>
      <x:c r="L31" s="2697"/>
      <x:c r="M31" s="2697"/>
      <x:c r="N31" s="2699" t="s">
        <x:v>116</x:v>
      </x:c>
      <x:c r="O31" s="2689"/>
      <x:c r="P31" s="2690" t="b">
        <x:f t="shared" si="3"/>
        <x:v>1</x:v>
      </x:c>
      <x:c r="R31" s="245" t="b">
        <x:f t="shared" si="1"/>
        <x:v>0</x:v>
      </x:c>
      <x:c r="AO31" s="238" t="str">
        <x:f t="shared" si="2"/>
        <x:v>40</x:v>
      </x:c>
      <x:c r="AP31" s="945" t="b">
        <x:v>0</x:v>
      </x:c>
      <x:c r="AQ31" s="1322"/>
      <x:c r="AR31" s="1323"/>
      <x:c r="AS31" s="1323"/>
      <x:c r="AT31" s="1323"/>
      <x:c r="AU31" s="1323"/>
      <x:c r="AV31" s="1323"/>
      <x:c r="AW31" s="1323"/>
      <x:c r="AX31" s="1323"/>
      <x:c r="AY31" s="1323"/>
      <x:c r="AZ31" s="1323"/>
      <x:c r="BA31" s="1532"/>
      <x:c r="BB31" s="1532"/>
      <x:c r="BC31" s="1533"/>
      <x:c r="BE31" s="1041" t="s">
        <x:v>1529</x:v>
      </x:c>
    </x:row>
    <x:row r="32" spans="1:81" ht="14.1" customHeight="1" x14ac:dyDescent="0.2">
      <x:c r="A32" s="2691"/>
      <x:c r="B32" s="2692"/>
      <x:c r="C32" s="2692"/>
      <x:c r="D32" s="2692"/>
      <x:c r="E32" s="2693"/>
      <x:c r="F32" s="2694"/>
      <x:c r="G32" s="2695"/>
      <x:c r="H32" s="2696"/>
      <x:c r="I32" s="2694"/>
      <x:c r="J32" s="2695"/>
      <x:c r="K32" s="2696"/>
      <x:c r="L32" s="2697"/>
      <x:c r="M32" s="2697"/>
      <x:c r="N32" s="2699" t="s">
        <x:v>116</x:v>
      </x:c>
      <x:c r="O32" s="2689"/>
      <x:c r="P32" s="2690" t="b">
        <x:f t="shared" si="3"/>
        <x:v>1</x:v>
      </x:c>
      <x:c r="R32" s="245" t="b">
        <x:f t="shared" si="1"/>
        <x:v>0</x:v>
      </x:c>
      <x:c r="AO32" s="238" t="str">
        <x:f t="shared" si="2"/>
        <x:v>40</x:v>
      </x:c>
      <x:c r="AP32" s="945" t="b">
        <x:v>0</x:v>
      </x:c>
      <x:c r="AQ32" s="1322"/>
      <x:c r="AR32" s="1323"/>
      <x:c r="AS32" s="1323"/>
      <x:c r="AT32" s="1323"/>
      <x:c r="AU32" s="1323"/>
      <x:c r="AV32" s="1323"/>
      <x:c r="AW32" s="1323"/>
      <x:c r="AX32" s="1323"/>
      <x:c r="AY32" s="1323"/>
      <x:c r="AZ32" s="1323"/>
      <x:c r="BA32" s="1532"/>
      <x:c r="BB32" s="1532"/>
      <x:c r="BC32" s="1533"/>
      <x:c r="BE32" s="1041" t="s">
        <x:v>1397</x:v>
      </x:c>
    </x:row>
    <x:row r="33" spans="1:57" ht="14.1" customHeight="1" x14ac:dyDescent="0.2">
      <x:c r="A33" s="2691"/>
      <x:c r="B33" s="2692"/>
      <x:c r="C33" s="2692"/>
      <x:c r="D33" s="2692"/>
      <x:c r="E33" s="2693"/>
      <x:c r="F33" s="2694"/>
      <x:c r="G33" s="2695"/>
      <x:c r="H33" s="2696"/>
      <x:c r="I33" s="2694"/>
      <x:c r="J33" s="2695"/>
      <x:c r="K33" s="2696"/>
      <x:c r="L33" s="2697"/>
      <x:c r="M33" s="2697"/>
      <x:c r="N33" s="2699" t="s">
        <x:v>116</x:v>
      </x:c>
      <x:c r="O33" s="2689"/>
      <x:c r="P33" s="2690" t="b">
        <x:f t="shared" si="3"/>
        <x:v>1</x:v>
      </x:c>
      <x:c r="R33" s="245" t="b">
        <x:f t="shared" si="1"/>
        <x:v>0</x:v>
      </x:c>
      <x:c r="AO33" s="238" t="str">
        <x:f t="shared" si="2"/>
        <x:v>40</x:v>
      </x:c>
      <x:c r="AP33" s="945" t="b">
        <x:v>0</x:v>
      </x:c>
      <x:c r="AQ33" s="1322"/>
      <x:c r="AR33" s="1323"/>
      <x:c r="AS33" s="1323"/>
      <x:c r="AT33" s="1323"/>
      <x:c r="AU33" s="1323"/>
      <x:c r="AV33" s="1323"/>
      <x:c r="AW33" s="1323"/>
      <x:c r="AX33" s="1323"/>
      <x:c r="AY33" s="1323"/>
      <x:c r="AZ33" s="1323"/>
      <x:c r="BA33" s="1532"/>
      <x:c r="BB33" s="1532"/>
      <x:c r="BC33" s="1533"/>
      <x:c r="BE33" s="1041" t="s">
        <x:v>1530</x:v>
      </x:c>
    </x:row>
    <x:row r="34" spans="1:57" ht="14.1" customHeight="1" x14ac:dyDescent="0.2">
      <x:c r="A34" s="2691"/>
      <x:c r="B34" s="2692"/>
      <x:c r="C34" s="2692"/>
      <x:c r="D34" s="2692"/>
      <x:c r="E34" s="2693"/>
      <x:c r="F34" s="2694"/>
      <x:c r="G34" s="2695"/>
      <x:c r="H34" s="2696"/>
      <x:c r="I34" s="2694"/>
      <x:c r="J34" s="2695"/>
      <x:c r="K34" s="2696"/>
      <x:c r="L34" s="2697"/>
      <x:c r="M34" s="2697"/>
      <x:c r="N34" s="2699" t="s">
        <x:v>116</x:v>
      </x:c>
      <x:c r="O34" s="2689"/>
      <x:c r="P34" s="2690" t="b">
        <x:f t="shared" si="3"/>
        <x:v>1</x:v>
      </x:c>
      <x:c r="R34" s="245" t="b">
        <x:f t="shared" si="1"/>
        <x:v>0</x:v>
      </x:c>
      <x:c r="AO34" s="238" t="str">
        <x:f t="shared" si="2"/>
        <x:v>40</x:v>
      </x:c>
      <x:c r="AP34" s="945" t="b">
        <x:v>0</x:v>
      </x:c>
      <x:c r="AQ34" s="1322"/>
      <x:c r="AR34" s="1323"/>
      <x:c r="AS34" s="1323"/>
      <x:c r="AT34" s="1323"/>
      <x:c r="AU34" s="1323"/>
      <x:c r="AV34" s="1323"/>
      <x:c r="AW34" s="1323"/>
      <x:c r="AX34" s="1323"/>
      <x:c r="AY34" s="1323"/>
      <x:c r="AZ34" s="1323"/>
      <x:c r="BA34" s="1532"/>
      <x:c r="BB34" s="1532"/>
      <x:c r="BC34" s="1533"/>
      <x:c r="BE34" s="1041" t="s">
        <x:v>1531</x:v>
      </x:c>
    </x:row>
    <x:row r="35" spans="1:57" ht="14.1" customHeight="1" x14ac:dyDescent="0.2">
      <x:c r="A35" s="2691"/>
      <x:c r="B35" s="2692"/>
      <x:c r="C35" s="2692"/>
      <x:c r="D35" s="2692"/>
      <x:c r="E35" s="2693"/>
      <x:c r="F35" s="2694"/>
      <x:c r="G35" s="2695"/>
      <x:c r="H35" s="2696"/>
      <x:c r="I35" s="2694"/>
      <x:c r="J35" s="2695"/>
      <x:c r="K35" s="2696"/>
      <x:c r="L35" s="2697"/>
      <x:c r="M35" s="2697"/>
      <x:c r="N35" s="2699" t="s">
        <x:v>116</x:v>
      </x:c>
      <x:c r="O35" s="2689"/>
      <x:c r="P35" s="2690" t="b">
        <x:f t="shared" si="3"/>
        <x:v>1</x:v>
      </x:c>
      <x:c r="R35" s="245" t="b">
        <x:f t="shared" si="1"/>
        <x:v>0</x:v>
      </x:c>
      <x:c r="AO35" s="238" t="str">
        <x:f t="shared" si="2"/>
        <x:v>40</x:v>
      </x:c>
      <x:c r="AP35" s="945" t="b">
        <x:v>0</x:v>
      </x:c>
      <x:c r="AQ35" s="1322"/>
      <x:c r="AR35" s="1323"/>
      <x:c r="AS35" s="1323"/>
      <x:c r="AT35" s="1323"/>
      <x:c r="AU35" s="1323"/>
      <x:c r="AV35" s="1323"/>
      <x:c r="AW35" s="1323"/>
      <x:c r="AX35" s="1323"/>
      <x:c r="AY35" s="1323"/>
      <x:c r="AZ35" s="1323"/>
      <x:c r="BA35" s="1532"/>
      <x:c r="BB35" s="1532"/>
      <x:c r="BC35" s="1533"/>
      <x:c r="BE35" s="1041" t="s">
        <x:v>1532</x:v>
      </x:c>
    </x:row>
    <x:row r="36" spans="1:57" ht="14.1" customHeight="1" x14ac:dyDescent="0.2">
      <x:c r="A36" s="2691"/>
      <x:c r="B36" s="2692"/>
      <x:c r="C36" s="2692"/>
      <x:c r="D36" s="2692"/>
      <x:c r="E36" s="2693"/>
      <x:c r="F36" s="2694"/>
      <x:c r="G36" s="2695"/>
      <x:c r="H36" s="2696"/>
      <x:c r="I36" s="2694"/>
      <x:c r="J36" s="2695"/>
      <x:c r="K36" s="2696"/>
      <x:c r="L36" s="2697"/>
      <x:c r="M36" s="2697"/>
      <x:c r="N36" s="2699" t="s">
        <x:v>116</x:v>
      </x:c>
      <x:c r="O36" s="2689"/>
      <x:c r="P36" s="2690" t="b">
        <x:f t="shared" si="3"/>
        <x:v>1</x:v>
      </x:c>
      <x:c r="R36" s="245" t="b">
        <x:f t="shared" si="1"/>
        <x:v>0</x:v>
      </x:c>
      <x:c r="AO36" s="238" t="str">
        <x:f t="shared" si="2"/>
        <x:v>40</x:v>
      </x:c>
      <x:c r="AP36" s="945" t="b">
        <x:v>0</x:v>
      </x:c>
      <x:c r="AQ36" s="1322"/>
      <x:c r="AR36" s="1323"/>
      <x:c r="AS36" s="1323"/>
      <x:c r="AT36" s="1323"/>
      <x:c r="AU36" s="1323"/>
      <x:c r="AV36" s="1323"/>
      <x:c r="AW36" s="1323"/>
      <x:c r="AX36" s="1323"/>
      <x:c r="AY36" s="1323"/>
      <x:c r="AZ36" s="1323"/>
      <x:c r="BA36" s="1532"/>
      <x:c r="BB36" s="1532"/>
      <x:c r="BC36" s="1533"/>
      <x:c r="BE36" s="1041" t="s">
        <x:v>1533</x:v>
      </x:c>
    </x:row>
    <x:row r="37" spans="1:57" ht="14.1" customHeight="1" x14ac:dyDescent="0.2">
      <x:c r="A37" s="2691"/>
      <x:c r="B37" s="2692"/>
      <x:c r="C37" s="2692"/>
      <x:c r="D37" s="2692"/>
      <x:c r="E37" s="2693"/>
      <x:c r="F37" s="2694"/>
      <x:c r="G37" s="2695"/>
      <x:c r="H37" s="2696"/>
      <x:c r="I37" s="2694"/>
      <x:c r="J37" s="2695"/>
      <x:c r="K37" s="2696"/>
      <x:c r="L37" s="2697"/>
      <x:c r="M37" s="2697"/>
      <x:c r="N37" s="2699" t="s">
        <x:v>116</x:v>
      </x:c>
      <x:c r="O37" s="2689"/>
      <x:c r="P37" s="2690" t="b">
        <x:f t="shared" si="3"/>
        <x:v>1</x:v>
      </x:c>
      <x:c r="R37" s="245" t="b">
        <x:f t="shared" si="1"/>
        <x:v>0</x:v>
      </x:c>
      <x:c r="AO37" s="238" t="str">
        <x:f t="shared" si="2"/>
        <x:v>40</x:v>
      </x:c>
      <x:c r="AP37" s="945" t="b">
        <x:v>0</x:v>
      </x:c>
      <x:c r="AQ37" s="1322"/>
      <x:c r="AR37" s="1323"/>
      <x:c r="AS37" s="1323"/>
      <x:c r="AT37" s="1323"/>
      <x:c r="AU37" s="1323"/>
      <x:c r="AV37" s="1323"/>
      <x:c r="AW37" s="1323"/>
      <x:c r="AX37" s="1323"/>
      <x:c r="AY37" s="1323"/>
      <x:c r="AZ37" s="1323"/>
      <x:c r="BA37" s="1532"/>
      <x:c r="BB37" s="1532"/>
      <x:c r="BC37" s="1533"/>
      <x:c r="BE37" s="1041" t="s">
        <x:v>1562</x:v>
      </x:c>
    </x:row>
    <x:row r="38" spans="1:57" ht="14.1" customHeight="1" x14ac:dyDescent="0.2">
      <x:c r="A38" s="2691"/>
      <x:c r="B38" s="2692"/>
      <x:c r="C38" s="2692"/>
      <x:c r="D38" s="2692"/>
      <x:c r="E38" s="2693"/>
      <x:c r="F38" s="2694"/>
      <x:c r="G38" s="2695"/>
      <x:c r="H38" s="2696"/>
      <x:c r="I38" s="2694"/>
      <x:c r="J38" s="2695"/>
      <x:c r="K38" s="2696"/>
      <x:c r="L38" s="2697"/>
      <x:c r="M38" s="2697"/>
      <x:c r="N38" s="2699" t="s">
        <x:v>116</x:v>
      </x:c>
      <x:c r="O38" s="2689"/>
      <x:c r="P38" s="2690" t="b">
        <x:f t="shared" si="3"/>
        <x:v>1</x:v>
      </x:c>
      <x:c r="R38" s="245" t="b">
        <x:f t="shared" si="1"/>
        <x:v>0</x:v>
      </x:c>
      <x:c r="AO38" s="238" t="str">
        <x:f t="shared" si="2"/>
        <x:v>40</x:v>
      </x:c>
      <x:c r="AP38" s="945" t="b">
        <x:v>0</x:v>
      </x:c>
      <x:c r="AQ38" s="1322"/>
      <x:c r="AR38" s="1323"/>
      <x:c r="AS38" s="1323"/>
      <x:c r="AT38" s="1323"/>
      <x:c r="AU38" s="1323"/>
      <x:c r="AV38" s="1323"/>
      <x:c r="AW38" s="1323"/>
      <x:c r="AX38" s="1323"/>
      <x:c r="AY38" s="1323"/>
      <x:c r="AZ38" s="1323"/>
      <x:c r="BA38" s="1532"/>
      <x:c r="BB38" s="1532"/>
      <x:c r="BC38" s="1533"/>
      <x:c r="BE38" s="1041" t="s">
        <x:v>1549</x:v>
      </x:c>
    </x:row>
    <x:row r="39" spans="1:57" ht="14.1" customHeight="1" x14ac:dyDescent="0.2">
      <x:c r="A39" s="2691"/>
      <x:c r="B39" s="2692"/>
      <x:c r="C39" s="2692"/>
      <x:c r="D39" s="2692"/>
      <x:c r="E39" s="2693"/>
      <x:c r="F39" s="2694"/>
      <x:c r="G39" s="2695"/>
      <x:c r="H39" s="2696"/>
      <x:c r="I39" s="2694"/>
      <x:c r="J39" s="2695"/>
      <x:c r="K39" s="2696"/>
      <x:c r="L39" s="2697"/>
      <x:c r="M39" s="2697"/>
      <x:c r="N39" s="2699" t="s">
        <x:v>116</x:v>
      </x:c>
      <x:c r="O39" s="2689"/>
      <x:c r="P39" s="2690" t="b">
        <x:f t="shared" si="3"/>
        <x:v>1</x:v>
      </x:c>
      <x:c r="R39" s="245" t="b">
        <x:f t="shared" si="1"/>
        <x:v>0</x:v>
      </x:c>
      <x:c r="AO39" s="238" t="str">
        <x:f t="shared" si="2"/>
        <x:v>40</x:v>
      </x:c>
      <x:c r="AP39" s="945" t="b">
        <x:v>0</x:v>
      </x:c>
      <x:c r="AQ39" s="1322"/>
      <x:c r="AR39" s="1323"/>
      <x:c r="AS39" s="1323"/>
      <x:c r="AT39" s="1323"/>
      <x:c r="AU39" s="1323"/>
      <x:c r="AV39" s="1323"/>
      <x:c r="AW39" s="1323"/>
      <x:c r="AX39" s="1323"/>
      <x:c r="AY39" s="1323"/>
      <x:c r="AZ39" s="1323"/>
      <x:c r="BA39" s="1532"/>
      <x:c r="BB39" s="1532"/>
      <x:c r="BC39" s="1533"/>
      <x:c r="BE39" s="1041" t="s">
        <x:v>1550</x:v>
      </x:c>
    </x:row>
    <x:row r="40" spans="1:57" ht="14.1" customHeight="1" x14ac:dyDescent="0.2">
      <x:c r="A40" s="2691"/>
      <x:c r="B40" s="2692"/>
      <x:c r="C40" s="2692"/>
      <x:c r="D40" s="2692"/>
      <x:c r="E40" s="2693"/>
      <x:c r="F40" s="2694"/>
      <x:c r="G40" s="2695"/>
      <x:c r="H40" s="2696"/>
      <x:c r="I40" s="2694"/>
      <x:c r="J40" s="2695"/>
      <x:c r="K40" s="2696"/>
      <x:c r="L40" s="2697"/>
      <x:c r="M40" s="2697"/>
      <x:c r="N40" s="2699" t="s">
        <x:v>116</x:v>
      </x:c>
      <x:c r="O40" s="2689"/>
      <x:c r="P40" s="2690" t="b">
        <x:f t="shared" si="3"/>
        <x:v>1</x:v>
      </x:c>
      <x:c r="R40" s="245" t="b">
        <x:f t="shared" si="1"/>
        <x:v>0</x:v>
      </x:c>
      <x:c r="AO40" s="238" t="str">
        <x:f t="shared" si="2"/>
        <x:v>40</x:v>
      </x:c>
      <x:c r="AP40" s="945" t="b">
        <x:v>0</x:v>
      </x:c>
      <x:c r="AQ40" s="1322"/>
      <x:c r="AR40" s="1323"/>
      <x:c r="AS40" s="1323"/>
      <x:c r="AT40" s="1323"/>
      <x:c r="AU40" s="1323"/>
      <x:c r="AV40" s="1323"/>
      <x:c r="AW40" s="1323"/>
      <x:c r="AX40" s="1323"/>
      <x:c r="AY40" s="1323"/>
      <x:c r="AZ40" s="1323"/>
      <x:c r="BA40" s="1532"/>
      <x:c r="BB40" s="1532"/>
      <x:c r="BC40" s="1533"/>
      <x:c r="BE40" s="1041" t="s">
        <x:v>1535</x:v>
      </x:c>
    </x:row>
    <x:row r="41" spans="1:57" ht="14.1" customHeight="1" x14ac:dyDescent="0.2">
      <x:c r="A41" s="2691"/>
      <x:c r="B41" s="2692"/>
      <x:c r="C41" s="2692"/>
      <x:c r="D41" s="2692"/>
      <x:c r="E41" s="2693"/>
      <x:c r="F41" s="2694"/>
      <x:c r="G41" s="2695"/>
      <x:c r="H41" s="2696"/>
      <x:c r="I41" s="2694"/>
      <x:c r="J41" s="2695"/>
      <x:c r="K41" s="2696"/>
      <x:c r="L41" s="2697"/>
      <x:c r="M41" s="2697"/>
      <x:c r="N41" s="2699" t="s">
        <x:v>116</x:v>
      </x:c>
      <x:c r="O41" s="2689"/>
      <x:c r="P41" s="2690" t="b">
        <x:f t="shared" si="3"/>
        <x:v>1</x:v>
      </x:c>
      <x:c r="R41" s="245" t="b">
        <x:f t="shared" si="1"/>
        <x:v>0</x:v>
      </x:c>
      <x:c r="AO41" s="238" t="str">
        <x:f t="shared" si="2"/>
        <x:v>40</x:v>
      </x:c>
      <x:c r="AP41" s="945" t="b">
        <x:v>0</x:v>
      </x:c>
      <x:c r="AQ41" s="1322"/>
      <x:c r="AR41" s="1323"/>
      <x:c r="AS41" s="1323"/>
      <x:c r="AT41" s="1323"/>
      <x:c r="AU41" s="1323"/>
      <x:c r="AV41" s="1323"/>
      <x:c r="AW41" s="1323"/>
      <x:c r="AX41" s="1323"/>
      <x:c r="AY41" s="1323"/>
      <x:c r="AZ41" s="1323"/>
      <x:c r="BA41" s="1532"/>
      <x:c r="BB41" s="1532"/>
      <x:c r="BC41" s="1533"/>
      <x:c r="BE41" s="1041" t="s">
        <x:v>1563</x:v>
      </x:c>
    </x:row>
    <x:row r="42" spans="1:57" ht="14.1" customHeight="1" x14ac:dyDescent="0.2">
      <x:c r="A42" s="2691"/>
      <x:c r="B42" s="2692"/>
      <x:c r="C42" s="2692"/>
      <x:c r="D42" s="2692"/>
      <x:c r="E42" s="2693"/>
      <x:c r="F42" s="2694"/>
      <x:c r="G42" s="2695"/>
      <x:c r="H42" s="2696"/>
      <x:c r="I42" s="2694"/>
      <x:c r="J42" s="2695"/>
      <x:c r="K42" s="2696"/>
      <x:c r="L42" s="2697"/>
      <x:c r="M42" s="2697"/>
      <x:c r="N42" s="2699" t="s">
        <x:v>116</x:v>
      </x:c>
      <x:c r="O42" s="2689"/>
      <x:c r="P42" s="2690" t="b">
        <x:f t="shared" si="3"/>
        <x:v>1</x:v>
      </x:c>
      <x:c r="R42" s="245" t="b">
        <x:f t="shared" si="1"/>
        <x:v>0</x:v>
      </x:c>
      <x:c r="AO42" s="238" t="str">
        <x:f t="shared" si="2"/>
        <x:v>40</x:v>
      </x:c>
      <x:c r="AP42" s="945" t="b">
        <x:v>0</x:v>
      </x:c>
      <x:c r="AQ42" s="1322"/>
      <x:c r="AR42" s="1323"/>
      <x:c r="AS42" s="1323"/>
      <x:c r="AT42" s="1323"/>
      <x:c r="AU42" s="1323"/>
      <x:c r="AV42" s="1323"/>
      <x:c r="AW42" s="1323"/>
      <x:c r="AX42" s="1323"/>
      <x:c r="AY42" s="1323"/>
      <x:c r="AZ42" s="1323"/>
      <x:c r="BA42" s="1532"/>
      <x:c r="BB42" s="1532"/>
      <x:c r="BC42" s="1533"/>
    </x:row>
    <x:row r="43" spans="1:57" ht="14.1" customHeight="1" x14ac:dyDescent="0.2">
      <x:c r="A43" s="2691"/>
      <x:c r="B43" s="2692"/>
      <x:c r="C43" s="2692"/>
      <x:c r="D43" s="2692"/>
      <x:c r="E43" s="2693"/>
      <x:c r="F43" s="2694"/>
      <x:c r="G43" s="2695"/>
      <x:c r="H43" s="2696"/>
      <x:c r="I43" s="2694"/>
      <x:c r="J43" s="2695"/>
      <x:c r="K43" s="2696"/>
      <x:c r="L43" s="2697"/>
      <x:c r="M43" s="2697"/>
      <x:c r="N43" s="2699" t="s">
        <x:v>116</x:v>
      </x:c>
      <x:c r="O43" s="2689"/>
      <x:c r="P43" s="2690" t="b">
        <x:f t="shared" si="3"/>
        <x:v>1</x:v>
      </x:c>
      <x:c r="R43" s="245" t="b">
        <x:f t="shared" si="1"/>
        <x:v>0</x:v>
      </x:c>
      <x:c r="AO43" s="238" t="str">
        <x:f t="shared" si="2"/>
        <x:v>40</x:v>
      </x:c>
      <x:c r="AP43" s="945" t="b">
        <x:v>0</x:v>
      </x:c>
      <x:c r="AQ43" s="1322"/>
      <x:c r="AR43" s="1323"/>
      <x:c r="AS43" s="1323"/>
      <x:c r="AT43" s="1323"/>
      <x:c r="AU43" s="1323"/>
      <x:c r="AV43" s="1323"/>
      <x:c r="AW43" s="1323"/>
      <x:c r="AX43" s="1323"/>
      <x:c r="AY43" s="1323"/>
      <x:c r="AZ43" s="1323"/>
      <x:c r="BA43" s="1532"/>
      <x:c r="BB43" s="1532"/>
      <x:c r="BC43" s="1533"/>
    </x:row>
    <x:row r="44" spans="1:57" ht="14.1" customHeight="1" x14ac:dyDescent="0.2">
      <x:c r="A44" s="2691"/>
      <x:c r="B44" s="2692"/>
      <x:c r="C44" s="2692"/>
      <x:c r="D44" s="2692"/>
      <x:c r="E44" s="2693"/>
      <x:c r="F44" s="2694"/>
      <x:c r="G44" s="2695"/>
      <x:c r="H44" s="2696"/>
      <x:c r="I44" s="2694"/>
      <x:c r="J44" s="2695"/>
      <x:c r="K44" s="2696"/>
      <x:c r="L44" s="2697"/>
      <x:c r="M44" s="2697"/>
      <x:c r="N44" s="2699" t="s">
        <x:v>116</x:v>
      </x:c>
      <x:c r="O44" s="2689"/>
      <x:c r="P44" s="2690" t="b">
        <x:f t="shared" si="3"/>
        <x:v>1</x:v>
      </x:c>
      <x:c r="R44" s="245" t="b">
        <x:f t="shared" si="1"/>
        <x:v>0</x:v>
      </x:c>
      <x:c r="AO44" s="238" t="str">
        <x:f t="shared" si="2"/>
        <x:v>40</x:v>
      </x:c>
      <x:c r="AP44" s="945" t="b">
        <x:v>0</x:v>
      </x:c>
      <x:c r="AQ44" s="1322"/>
      <x:c r="AR44" s="1323"/>
      <x:c r="AS44" s="1323"/>
      <x:c r="AT44" s="1323"/>
      <x:c r="AU44" s="1323"/>
      <x:c r="AV44" s="1323"/>
      <x:c r="AW44" s="1323"/>
      <x:c r="AX44" s="1323"/>
      <x:c r="AY44" s="1323"/>
      <x:c r="AZ44" s="1323"/>
      <x:c r="BA44" s="1532"/>
      <x:c r="BB44" s="1532"/>
      <x:c r="BC44" s="1533"/>
    </x:row>
    <x:row r="45" spans="1:57" ht="14.1" customHeight="1" x14ac:dyDescent="0.2">
      <x:c r="A45" s="2691"/>
      <x:c r="B45" s="2692"/>
      <x:c r="C45" s="2692"/>
      <x:c r="D45" s="2692"/>
      <x:c r="E45" s="2693"/>
      <x:c r="F45" s="2694"/>
      <x:c r="G45" s="2695"/>
      <x:c r="H45" s="2696"/>
      <x:c r="I45" s="2694"/>
      <x:c r="J45" s="2695"/>
      <x:c r="K45" s="2696"/>
      <x:c r="L45" s="2697"/>
      <x:c r="M45" s="2697"/>
      <x:c r="N45" s="2699" t="s">
        <x:v>116</x:v>
      </x:c>
      <x:c r="O45" s="2689"/>
      <x:c r="P45" s="2690" t="b">
        <x:f t="shared" si="3"/>
        <x:v>1</x:v>
      </x:c>
      <x:c r="R45" s="245" t="b">
        <x:f t="shared" si="1"/>
        <x:v>0</x:v>
      </x:c>
      <x:c r="AO45" s="238" t="str">
        <x:f t="shared" si="2"/>
        <x:v>40</x:v>
      </x:c>
      <x:c r="AP45" s="945" t="b">
        <x:v>0</x:v>
      </x:c>
      <x:c r="AQ45" s="1322"/>
      <x:c r="AR45" s="1323"/>
      <x:c r="AS45" s="1323"/>
      <x:c r="AT45" s="1323"/>
      <x:c r="AU45" s="1323"/>
      <x:c r="AV45" s="1323"/>
      <x:c r="AW45" s="1323"/>
      <x:c r="AX45" s="1323"/>
      <x:c r="AY45" s="1323"/>
      <x:c r="AZ45" s="1323"/>
      <x:c r="BA45" s="1532"/>
      <x:c r="BB45" s="1532"/>
      <x:c r="BC45" s="1533"/>
    </x:row>
    <x:row r="46" spans="1:57" ht="14.1" customHeight="1" x14ac:dyDescent="0.2">
      <x:c r="A46" s="2691"/>
      <x:c r="B46" s="2692"/>
      <x:c r="C46" s="2692"/>
      <x:c r="D46" s="2692"/>
      <x:c r="E46" s="2693"/>
      <x:c r="F46" s="2694"/>
      <x:c r="G46" s="2695"/>
      <x:c r="H46" s="2696"/>
      <x:c r="I46" s="2694"/>
      <x:c r="J46" s="2695"/>
      <x:c r="K46" s="2696"/>
      <x:c r="L46" s="2697"/>
      <x:c r="M46" s="2697"/>
      <x:c r="N46" s="2699" t="s">
        <x:v>116</x:v>
      </x:c>
      <x:c r="O46" s="2689"/>
      <x:c r="P46" s="2690" t="b">
        <x:f t="shared" si="3"/>
        <x:v>1</x:v>
      </x:c>
      <x:c r="R46" s="245" t="b">
        <x:f t="shared" si="1"/>
        <x:v>0</x:v>
      </x:c>
      <x:c r="AO46" s="238" t="str">
        <x:f t="shared" si="2"/>
        <x:v>40</x:v>
      </x:c>
      <x:c r="AP46" s="945" t="b">
        <x:v>0</x:v>
      </x:c>
      <x:c r="AQ46" s="1322"/>
      <x:c r="AR46" s="1323"/>
      <x:c r="AS46" s="1323"/>
      <x:c r="AT46" s="1323"/>
      <x:c r="AU46" s="1323"/>
      <x:c r="AV46" s="1323"/>
      <x:c r="AW46" s="1323"/>
      <x:c r="AX46" s="1323"/>
      <x:c r="AY46" s="1323"/>
      <x:c r="AZ46" s="1323"/>
      <x:c r="BA46" s="1532"/>
      <x:c r="BB46" s="1532"/>
      <x:c r="BC46" s="1533"/>
    </x:row>
    <x:row r="47" spans="1:57" ht="14.1" customHeight="1" x14ac:dyDescent="0.2">
      <x:c r="A47" s="2691"/>
      <x:c r="B47" s="2692"/>
      <x:c r="C47" s="2692"/>
      <x:c r="D47" s="2692"/>
      <x:c r="E47" s="2693"/>
      <x:c r="F47" s="2694"/>
      <x:c r="G47" s="2695"/>
      <x:c r="H47" s="2696"/>
      <x:c r="I47" s="2694"/>
      <x:c r="J47" s="2695"/>
      <x:c r="K47" s="2696"/>
      <x:c r="L47" s="2697"/>
      <x:c r="M47" s="2697"/>
      <x:c r="N47" s="2699" t="s">
        <x:v>116</x:v>
      </x:c>
      <x:c r="O47" s="2689"/>
      <x:c r="P47" s="2690" t="b">
        <x:f t="shared" si="3"/>
        <x:v>1</x:v>
      </x:c>
      <x:c r="R47" s="245" t="b">
        <x:f t="shared" si="1"/>
        <x:v>0</x:v>
      </x:c>
      <x:c r="AO47" s="238" t="str">
        <x:f t="shared" si="2"/>
        <x:v>40</x:v>
      </x:c>
      <x:c r="AP47" s="945" t="b">
        <x:v>0</x:v>
      </x:c>
      <x:c r="AQ47" s="1322"/>
      <x:c r="AR47" s="1323"/>
      <x:c r="AS47" s="1323"/>
      <x:c r="AT47" s="1323"/>
      <x:c r="AU47" s="1323"/>
      <x:c r="AV47" s="1323"/>
      <x:c r="AW47" s="1323"/>
      <x:c r="AX47" s="1323"/>
      <x:c r="AY47" s="1323"/>
      <x:c r="AZ47" s="1323"/>
      <x:c r="BA47" s="1532"/>
      <x:c r="BB47" s="1532"/>
      <x:c r="BC47" s="1533"/>
    </x:row>
    <x:row r="48" spans="1:57" ht="14.1" customHeight="1" x14ac:dyDescent="0.2">
      <x:c r="A48" s="2691"/>
      <x:c r="B48" s="2692"/>
      <x:c r="C48" s="2692"/>
      <x:c r="D48" s="2692"/>
      <x:c r="E48" s="2693"/>
      <x:c r="F48" s="2694"/>
      <x:c r="G48" s="2695"/>
      <x:c r="H48" s="2696"/>
      <x:c r="I48" s="2694"/>
      <x:c r="J48" s="2695"/>
      <x:c r="K48" s="2696"/>
      <x:c r="L48" s="2697"/>
      <x:c r="M48" s="2697"/>
      <x:c r="N48" s="2699" t="s">
        <x:v>116</x:v>
      </x:c>
      <x:c r="O48" s="2689"/>
      <x:c r="P48" s="2690" t="b">
        <x:f t="shared" si="3"/>
        <x:v>1</x:v>
      </x:c>
      <x:c r="R48" s="245" t="b">
        <x:f t="shared" si="1"/>
        <x:v>0</x:v>
      </x:c>
      <x:c r="AO48" s="238" t="str">
        <x:f t="shared" si="2"/>
        <x:v>40</x:v>
      </x:c>
      <x:c r="AP48" s="945" t="b">
        <x:v>0</x:v>
      </x:c>
      <x:c r="AQ48" s="1322"/>
      <x:c r="AR48" s="1323"/>
      <x:c r="AS48" s="1323"/>
      <x:c r="AT48" s="1323"/>
      <x:c r="AU48" s="1323"/>
      <x:c r="AV48" s="1323"/>
      <x:c r="AW48" s="1323"/>
      <x:c r="AX48" s="1323"/>
      <x:c r="AY48" s="1323"/>
      <x:c r="AZ48" s="1323"/>
      <x:c r="BA48" s="1532"/>
      <x:c r="BB48" s="1532"/>
      <x:c r="BC48" s="1533"/>
    </x:row>
    <x:row r="49" spans="1:55" ht="14.1" customHeight="1" x14ac:dyDescent="0.2">
      <x:c r="A49" s="2691"/>
      <x:c r="B49" s="2692"/>
      <x:c r="C49" s="2692"/>
      <x:c r="D49" s="2692"/>
      <x:c r="E49" s="2693"/>
      <x:c r="F49" s="2694"/>
      <x:c r="G49" s="2695"/>
      <x:c r="H49" s="2696"/>
      <x:c r="I49" s="2694"/>
      <x:c r="J49" s="2695"/>
      <x:c r="K49" s="2696"/>
      <x:c r="L49" s="2697"/>
      <x:c r="M49" s="2697"/>
      <x:c r="N49" s="2699" t="s">
        <x:v>116</x:v>
      </x:c>
      <x:c r="O49" s="2689"/>
      <x:c r="P49" s="2690" t="b">
        <x:f t="shared" si="3"/>
        <x:v>1</x:v>
      </x:c>
      <x:c r="R49" s="245" t="b">
        <x:f t="shared" si="1"/>
        <x:v>0</x:v>
      </x:c>
      <x:c r="AO49" s="238" t="str">
        <x:f t="shared" si="2"/>
        <x:v>40</x:v>
      </x:c>
      <x:c r="AP49" s="945" t="b">
        <x:v>0</x:v>
      </x:c>
      <x:c r="AQ49" s="1322"/>
      <x:c r="AR49" s="1323"/>
      <x:c r="AS49" s="1323"/>
      <x:c r="AT49" s="1323"/>
      <x:c r="AU49" s="1323"/>
      <x:c r="AV49" s="1323"/>
      <x:c r="AW49" s="1323"/>
      <x:c r="AX49" s="1323"/>
      <x:c r="AY49" s="1323"/>
      <x:c r="AZ49" s="1323"/>
      <x:c r="BA49" s="1532"/>
      <x:c r="BB49" s="1532"/>
      <x:c r="BC49" s="1533"/>
    </x:row>
    <x:row r="50" spans="1:55" ht="14.1" customHeight="1" x14ac:dyDescent="0.2">
      <x:c r="A50" s="2691"/>
      <x:c r="B50" s="2692"/>
      <x:c r="C50" s="2692"/>
      <x:c r="D50" s="2692"/>
      <x:c r="E50" s="2693"/>
      <x:c r="F50" s="2694"/>
      <x:c r="G50" s="2695"/>
      <x:c r="H50" s="2696"/>
      <x:c r="I50" s="2694"/>
      <x:c r="J50" s="2695"/>
      <x:c r="K50" s="2696"/>
      <x:c r="L50" s="2697"/>
      <x:c r="M50" s="2697"/>
      <x:c r="N50" s="2699" t="s">
        <x:v>116</x:v>
      </x:c>
      <x:c r="O50" s="2689"/>
      <x:c r="P50" s="2690" t="b">
        <x:f t="shared" si="3"/>
        <x:v>1</x:v>
      </x:c>
      <x:c r="R50" s="245" t="b">
        <x:f t="shared" si="1"/>
        <x:v>0</x:v>
      </x:c>
      <x:c r="AO50" s="238" t="str">
        <x:f t="shared" si="2"/>
        <x:v>40</x:v>
      </x:c>
      <x:c r="AP50" s="945" t="b">
        <x:v>0</x:v>
      </x:c>
      <x:c r="AQ50" s="1322"/>
      <x:c r="AR50" s="1323"/>
      <x:c r="AS50" s="1323"/>
      <x:c r="AT50" s="1323"/>
      <x:c r="AU50" s="1323"/>
      <x:c r="AV50" s="1323"/>
      <x:c r="AW50" s="1323"/>
      <x:c r="AX50" s="1323"/>
      <x:c r="AY50" s="1323"/>
      <x:c r="AZ50" s="1323"/>
      <x:c r="BA50" s="1532"/>
      <x:c r="BB50" s="1532"/>
      <x:c r="BC50" s="1533"/>
    </x:row>
    <x:row r="51" spans="1:55" ht="14.1" customHeight="1" x14ac:dyDescent="0.2">
      <x:c r="A51" s="2691"/>
      <x:c r="B51" s="2692"/>
      <x:c r="C51" s="2692"/>
      <x:c r="D51" s="2692"/>
      <x:c r="E51" s="2693"/>
      <x:c r="F51" s="2694"/>
      <x:c r="G51" s="2695"/>
      <x:c r="H51" s="2696"/>
      <x:c r="I51" s="2694"/>
      <x:c r="J51" s="2695"/>
      <x:c r="K51" s="2696"/>
      <x:c r="L51" s="2697"/>
      <x:c r="M51" s="2697"/>
      <x:c r="N51" s="2699" t="s">
        <x:v>116</x:v>
      </x:c>
      <x:c r="O51" s="2689"/>
      <x:c r="P51" s="2690" t="b">
        <x:f t="shared" si="3"/>
        <x:v>1</x:v>
      </x:c>
      <x:c r="R51" s="245" t="b">
        <x:f t="shared" si="1"/>
        <x:v>0</x:v>
      </x:c>
      <x:c r="AO51" s="238" t="str">
        <x:f t="shared" si="2"/>
        <x:v>40</x:v>
      </x:c>
      <x:c r="AP51" s="945" t="b">
        <x:v>0</x:v>
      </x:c>
      <x:c r="AQ51" s="1322"/>
      <x:c r="AR51" s="1323"/>
      <x:c r="AS51" s="1323"/>
      <x:c r="AT51" s="1323"/>
      <x:c r="AU51" s="1323"/>
      <x:c r="AV51" s="1323"/>
      <x:c r="AW51" s="1323"/>
      <x:c r="AX51" s="1323"/>
      <x:c r="AY51" s="1323"/>
      <x:c r="AZ51" s="1323"/>
      <x:c r="BA51" s="1532"/>
      <x:c r="BB51" s="1532"/>
      <x:c r="BC51" s="1533"/>
    </x:row>
    <x:row r="52" spans="1:55" ht="14.1" customHeight="1" x14ac:dyDescent="0.2">
      <x:c r="A52" s="2691"/>
      <x:c r="B52" s="2692"/>
      <x:c r="C52" s="2692"/>
      <x:c r="D52" s="2692"/>
      <x:c r="E52" s="2693"/>
      <x:c r="F52" s="2694"/>
      <x:c r="G52" s="2695"/>
      <x:c r="H52" s="2696"/>
      <x:c r="I52" s="2694"/>
      <x:c r="J52" s="2695"/>
      <x:c r="K52" s="2696"/>
      <x:c r="L52" s="2697"/>
      <x:c r="M52" s="2697"/>
      <x:c r="N52" s="2699" t="s">
        <x:v>116</x:v>
      </x:c>
      <x:c r="O52" s="2689"/>
      <x:c r="P52" s="2690" t="b">
        <x:f t="shared" si="3"/>
        <x:v>1</x:v>
      </x:c>
      <x:c r="R52" s="245" t="b">
        <x:f t="shared" si="1"/>
        <x:v>0</x:v>
      </x:c>
      <x:c r="AO52" s="238" t="str">
        <x:f t="shared" si="2"/>
        <x:v>40</x:v>
      </x:c>
      <x:c r="AP52" s="945" t="b">
        <x:v>0</x:v>
      </x:c>
      <x:c r="AQ52" s="1322"/>
      <x:c r="AR52" s="1323"/>
      <x:c r="AS52" s="1323"/>
      <x:c r="AT52" s="1323"/>
      <x:c r="AU52" s="1323"/>
      <x:c r="AV52" s="1323"/>
      <x:c r="AW52" s="1323"/>
      <x:c r="AX52" s="1323"/>
      <x:c r="AY52" s="1323"/>
      <x:c r="AZ52" s="1323"/>
      <x:c r="BA52" s="1532"/>
      <x:c r="BB52" s="1532"/>
      <x:c r="BC52" s="1533"/>
    </x:row>
    <x:row r="53" spans="1:55" ht="14.1" customHeight="1" x14ac:dyDescent="0.2">
      <x:c r="A53" s="2691"/>
      <x:c r="B53" s="2692"/>
      <x:c r="C53" s="2692"/>
      <x:c r="D53" s="2692"/>
      <x:c r="E53" s="2693"/>
      <x:c r="F53" s="2694"/>
      <x:c r="G53" s="2695"/>
      <x:c r="H53" s="2696"/>
      <x:c r="I53" s="2694"/>
      <x:c r="J53" s="2695"/>
      <x:c r="K53" s="2696"/>
      <x:c r="L53" s="2697"/>
      <x:c r="M53" s="2697"/>
      <x:c r="N53" s="2699" t="s">
        <x:v>116</x:v>
      </x:c>
      <x:c r="O53" s="2689"/>
      <x:c r="P53" s="2690" t="b">
        <x:f t="shared" si="3"/>
        <x:v>1</x:v>
      </x:c>
      <x:c r="R53" s="245" t="b">
        <x:f t="shared" si="1"/>
        <x:v>0</x:v>
      </x:c>
      <x:c r="AO53" s="238" t="str">
        <x:f t="shared" si="2"/>
        <x:v>40</x:v>
      </x:c>
      <x:c r="AP53" s="945" t="b">
        <x:v>0</x:v>
      </x:c>
      <x:c r="AQ53" s="1322"/>
      <x:c r="AR53" s="1323"/>
      <x:c r="AS53" s="1323"/>
      <x:c r="AT53" s="1323"/>
      <x:c r="AU53" s="1323"/>
      <x:c r="AV53" s="1323"/>
      <x:c r="AW53" s="1323"/>
      <x:c r="AX53" s="1323"/>
      <x:c r="AY53" s="1323"/>
      <x:c r="AZ53" s="1323"/>
      <x:c r="BA53" s="1532"/>
      <x:c r="BB53" s="1532"/>
      <x:c r="BC53" s="1533"/>
    </x:row>
    <x:row r="54" spans="1:55" ht="14.1" customHeight="1" x14ac:dyDescent="0.2">
      <x:c r="A54" s="2691"/>
      <x:c r="B54" s="2692"/>
      <x:c r="C54" s="2692"/>
      <x:c r="D54" s="2692"/>
      <x:c r="E54" s="2693"/>
      <x:c r="F54" s="2694"/>
      <x:c r="G54" s="2695"/>
      <x:c r="H54" s="2696"/>
      <x:c r="I54" s="2694"/>
      <x:c r="J54" s="2695"/>
      <x:c r="K54" s="2696"/>
      <x:c r="L54" s="2697"/>
      <x:c r="M54" s="2697"/>
      <x:c r="N54" s="2699" t="s">
        <x:v>116</x:v>
      </x:c>
      <x:c r="O54" s="2689"/>
      <x:c r="P54" s="2690" t="b">
        <x:f t="shared" si="3"/>
        <x:v>1</x:v>
      </x:c>
      <x:c r="R54" s="245" t="b">
        <x:f t="shared" si="1"/>
        <x:v>0</x:v>
      </x:c>
      <x:c r="AO54" s="238" t="str">
        <x:f t="shared" si="2"/>
        <x:v>40</x:v>
      </x:c>
      <x:c r="AP54" s="945" t="b">
        <x:v>0</x:v>
      </x:c>
      <x:c r="AQ54" s="1322"/>
      <x:c r="AR54" s="1323"/>
      <x:c r="AS54" s="1323"/>
      <x:c r="AT54" s="1323"/>
      <x:c r="AU54" s="1323"/>
      <x:c r="AV54" s="1323"/>
      <x:c r="AW54" s="1323"/>
      <x:c r="AX54" s="1323"/>
      <x:c r="AY54" s="1323"/>
      <x:c r="AZ54" s="1323"/>
      <x:c r="BA54" s="1532"/>
      <x:c r="BB54" s="1532"/>
      <x:c r="BC54" s="1533"/>
    </x:row>
    <x:row r="55" spans="1:55" ht="14.1" customHeight="1" x14ac:dyDescent="0.2">
      <x:c r="A55" s="2702"/>
      <x:c r="B55" s="2703"/>
      <x:c r="C55" s="2703"/>
      <x:c r="D55" s="2703"/>
      <x:c r="E55" s="2704"/>
      <x:c r="F55" s="2705"/>
      <x:c r="G55" s="2706"/>
      <x:c r="H55" s="2707"/>
      <x:c r="I55" s="2705"/>
      <x:c r="J55" s="2706"/>
      <x:c r="K55" s="2707"/>
      <x:c r="L55" s="2708"/>
      <x:c r="M55" s="2708"/>
      <x:c r="N55" s="2709"/>
      <x:c r="O55" s="2689"/>
      <x:c r="P55" s="2690" t="b">
        <x:f t="shared" si="3"/>
        <x:v>1</x:v>
      </x:c>
      <x:c r="R55" s="245" t="b">
        <x:f t="shared" si="1"/>
        <x:v>0</x:v>
      </x:c>
      <x:c r="AO55" s="238" t="str">
        <x:f t="shared" si="2"/>
        <x:v>40</x:v>
      </x:c>
      <x:c r="AP55" s="945" t="b">
        <x:v>0</x:v>
      </x:c>
      <x:c r="AQ55" s="1324"/>
      <x:c r="AR55" s="1325"/>
      <x:c r="AS55" s="1325"/>
      <x:c r="AT55" s="1325"/>
      <x:c r="AU55" s="1325"/>
      <x:c r="AV55" s="1325"/>
      <x:c r="AW55" s="1325"/>
      <x:c r="AX55" s="1325"/>
      <x:c r="AY55" s="1325"/>
      <x:c r="AZ55" s="1325"/>
      <x:c r="BA55" s="1534"/>
      <x:c r="BB55" s="1534"/>
      <x:c r="BC55" s="1535"/>
    </x:row>
    <x:row r="56" spans="1:55" ht="15.95" customHeight="1" x14ac:dyDescent="0.2">
      <x:c r="P56" s="245">
        <x:f>COUNTIF(P14:P55,TRUE)+IF(NOT($T$1),1, 0)</x:f>
        <x:v>43</x:v>
      </x:c>
      <x:c r="Q56" s="1028" t="s">
        <x:v>1264</x:v>
      </x:c>
    </x:row>
    <x:row r="57" spans="1:55" ht="15.95" customHeight="1" x14ac:dyDescent="0.2"/>
    <x:row r="58" spans="1:55" ht="15.95" customHeight="1" x14ac:dyDescent="0.2"/>
    <x:row r="59" spans="1:55" ht="15.95" customHeight="1" x14ac:dyDescent="0.2">
      <x:c r="A59" s="633" t="s">
        <x:v>1019</x:v>
      </x:c>
    </x:row>
    <x:row r="60" spans="1:55" ht="15.95" hidden="1" customHeight="1" x14ac:dyDescent="0.2">
      <x:c r="A60" s="892" t="s">
        <x:v>112</x:v>
      </x:c>
    </x:row>
    <x:row r="61" spans="1:55" ht="15.95" hidden="1" customHeight="1" x14ac:dyDescent="0.2">
      <x:c r="A61" s="894" t="s">
        <x:v>1615</x:v>
      </x:c>
    </x:row>
    <x:row r="62" spans="1:55" ht="15.95" hidden="1" customHeight="1" x14ac:dyDescent="0.2"/>
    <x:row r="63" spans="1:55" hidden="1" x14ac:dyDescent="0.2"/>
    <x:row r="64" spans="1:55" hidden="1" x14ac:dyDescent="0.2"/>
    <x:row r="65" spans="1:1" x14ac:dyDescent="0.2">
      <x:c r="A65" s="633" t="s">
        <x:v>1020</x:v>
      </x:c>
    </x:row>
  </x:sheetData>
  <x:sheetProtection algorithmName="SHA-512" hashValue="4rDR2YooMG0C44aOcwkhOTbnCw5Ne3Qfiu4UCeQiPrJJEsrihsC+hFmd06UY+GOLyLdlj3MyXlrW6fwlUY/tJw==" saltValue="8Ht15JacCBckcOM9yyC6Ww==" spinCount="100000" sheet="1" objects="1" scenarios="1" selectLockedCells="1"/>
  <x:mergeCells count="18">
    <x:mergeCell ref="I1:K1"/>
    <x:mergeCell ref="I2:K3"/>
    <x:mergeCell ref="I4:K4"/>
    <x:mergeCell ref="A5:J5"/>
    <x:mergeCell ref="B9:H9"/>
    <x:mergeCell ref="K9:N9"/>
    <x:mergeCell ref="B10:H10"/>
    <x:mergeCell ref="I10:J10"/>
    <x:mergeCell ref="K10:L10"/>
    <x:mergeCell ref="A12:E12"/>
    <x:mergeCell ref="F12:H12"/>
    <x:mergeCell ref="I12:K12"/>
    <x:mergeCell ref="L12:L13"/>
    <x:mergeCell ref="M12:M13"/>
    <x:mergeCell ref="N12:N13"/>
    <x:mergeCell ref="AQ12:BC12"/>
    <x:mergeCell ref="G13:H13"/>
    <x:mergeCell ref="J13:K13"/>
  </x:mergeCells>
  <x:conditionalFormatting sqref="F14:F55">
    <x:cfRule type="expression" dxfId="597" priority="4" stopIfTrue="1">
      <x:formula>AND($B14="NU",F14&lt;0)</x:formula>
    </x:cfRule>
  </x:conditionalFormatting>
  <x:conditionalFormatting sqref="B14:B55">
    <x:cfRule type="expression" dxfId="596" priority="5" stopIfTrue="1">
      <x:formula>OR(AND($B14="NU",F14&lt;0),AND($B14="NU",I14&lt;0))</x:formula>
    </x:cfRule>
  </x:conditionalFormatting>
  <x:conditionalFormatting sqref="G14:H55 J14:L55">
    <x:cfRule type="expression" dxfId="595" priority="6" stopIfTrue="1">
      <x:formula>$R14</x:formula>
    </x:cfRule>
  </x:conditionalFormatting>
  <x:conditionalFormatting sqref="I2:K4">
    <x:cfRule type="cellIs" dxfId="594" priority="7" stopIfTrue="1" operator="equal">
      <x:formula>""</x:formula>
    </x:cfRule>
  </x:conditionalFormatting>
  <x:conditionalFormatting sqref="I14:I55">
    <x:cfRule type="expression" dxfId="593" priority="8" stopIfTrue="1">
      <x:formula>OR($R14,$B14="CZ",AND($B14="NU",I14&lt;0))</x:formula>
    </x:cfRule>
  </x:conditionalFormatting>
  <x:conditionalFormatting sqref="A14:A55">
    <x:cfRule type="expression" dxfId="592" priority="3">
      <x:formula>NOT($P14)</x:formula>
    </x:cfRule>
  </x:conditionalFormatting>
  <x:conditionalFormatting sqref="B14:D55">
    <x:cfRule type="expression" dxfId="591" priority="2">
      <x:formula>_xlfn.LET(_xlpm.ThisCellIsEmpty, OR(ISBLANK(B14), B14 = ""),  _xlpm.Load1IsPresent, NOT(OR(ISBLANK($F14), $F14 = "")),  _xlpm.Load2IsPresent, NOT(OR(ISBLANK($I14), $I14 = "")),  _xlpm.highlightRed, AND(_xlpm.ThisCellIsEmpty, OR(_xlpm.Load1IsPresent, _xlpm.Load2IsPresent)),  _xlpm.highlightRed )</x:formula>
    </x:cfRule>
  </x:conditionalFormatting>
  <x:conditionalFormatting sqref="A14:N55">
    <x:cfRule type="expression" dxfId="590" priority="9">
      <x:formula>AND(NOT($P14),$T$1)</x:formula>
    </x:cfRule>
    <x:cfRule type="expression" dxfId="589" priority="10">
      <x:formula>AND($AP14,$S$1="M")</x:formula>
    </x:cfRule>
  </x:conditionalFormatting>
  <x:conditionalFormatting sqref="L14:L55">
    <x:cfRule type="expression" dxfId="588" priority="1" stopIfTrue="1">
      <x:formula>AND(ISBLANK(L14),OR(NOT(ISBLANK(G14)),NOT(ISBLANK(H14)),NOT(ISBLANK(J14)),NOT(ISBLANK(K14))))</x:formula>
    </x:cfRule>
  </x:conditionalFormatting>
  <x:dataValidations count="6">
    <x:dataValidation type="list" allowBlank="1" showErrorMessage="1" errorTitle="Invalid Category" error="You MUST select a Category from the dropdown list provided._x000a__x000a_Also, make sure your Cap Lock is turned on." sqref="C14" xr:uid="{7ED14481-B91B-496C-920F-FC610A7E1BC8}">
      <x:formula1>OFFSET($BF$16,0,MATCH($B14,Type,0)-1,OFFSET($BF$30,0,MATCH($B14,Type,0)-1))</x:formula1>
    </x:dataValidation>
    <x:dataValidation type="list" allowBlank="1" showErrorMessage="1" errorTitle="Invalid Category" error="You MUST select a Category from the dropdown list provided._x000a__x000a_Also, make sure your Cap Lock is turned on." sqref="C15:C55" xr:uid="{0440A5C3-ED69-435A-A1AC-54B9CC6F3E9C}">
      <x:formula1>OFFSET($BF$16,0,MATCH($B15,Type,0)-1,OFFSET($BF$30,0,MATCH($B15,Type,0)-1,1),1)</x:formula1>
    </x:dataValidation>
    <x:dataValidation type="list" allowBlank="1" showErrorMessage="1" errorTitle="Invalid Position" error="You MUST select a Position from the dropdown list provided._x000a__x000a_Also, make sure your Cap Lock is turned on." sqref="D14:D55" xr:uid="{507A0273-7F3F-4B94-AF63-F8125F18760A}">
      <x:formula1>OFFSET($BW$16,0,OFFSET($BF$14,0,MATCH($B14,Type,0)-1),OFFSET($BW$30,0, OFFSET($BF$14,0,MATCH($B14,Type,0)-1)))</x:formula1>
    </x:dataValidation>
    <x:dataValidation type="list" allowBlank="1" showErrorMessage="1" errorTitle="Invalid Reference Location" error="You MUST select a Reference Location from the dropdown list provided._x000a__x000a_Also, make sure your Cap Lock is turned on." sqref="L14:L55" xr:uid="{CA194B59-1CF1-49E8-92E0-AABB7D14E69C}">
      <x:formula1>IF($CA$14,$CA$16:$CA$21,$CB$16:$CB$19)</x:formula1>
    </x:dataValidation>
    <x:dataValidation type="list" allowBlank="1" showErrorMessage="1" errorTitle="Invalid Type" error="You MUST select a Type from the dropdown list provided._x000a__x000a_Also, make sure your Cap Lock is turned on." sqref="B14:B55" xr:uid="{080CE7E3-4386-4F65-BD7A-4BB63D8E2EF9}">
      <x:formula1>$BF$15:$BU$15</x:formula1>
    </x:dataValidation>
    <x:dataValidation allowBlank="1" showInputMessage="1" errorTitle="Invalid Load Case" error="You MUST use a Load Case from the list provided." sqref="M14:M55" xr:uid="{29E759DD-B196-4685-8EE6-4B36E1834F09}"/>
  </x:dataValidations>
  <x:printOptions horizontalCentered="1"/>
  <x:pageMargins left="0.3" right="0.3" top="0.5" bottom="0.5" header="0" footer="0.25"/>
  <x:pageSetup orientation="portrait" r:id="rId1"/>
  <x:headerFooter alignWithMargins="0">
    <x:oddFooter>&amp;R&amp;7Printed: &amp;D &amp;T&amp;L&amp;7Version: 23.0413
File: &amp;F</x:oddFooter>
  </x:headerFooter>
  <x:drawing r:id="rId2"/>
  <x:legacyDrawing r:id="rId3"/>
</x: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32" t="str">
        <f>IF(P1="","",VLOOKUP(P1,'Job Info.'!$X:$AA,4,FALSE))</f>
        <v>Master</v>
      </c>
      <c r="I1" s="1832"/>
      <c r="J1" s="1832"/>
      <c r="K1" s="1833" t="s">
        <v>95</v>
      </c>
      <c r="L1" s="1834"/>
      <c r="M1" s="1835" t="str">
        <f ca="1">'Job Info.'!D12</f>
        <v>775-428-0600</v>
      </c>
      <c r="N1" s="183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37" t="str">
        <f>IF(P1="","",IF(VLOOKUP(P1,'Job Info.'!$X:$Z,2,FALSE),"Released for Fabrication",""))</f>
        <v/>
      </c>
      <c r="I2" s="1838"/>
      <c r="J2" s="1839"/>
      <c r="K2" s="1833" t="s">
        <v>96</v>
      </c>
      <c r="L2" s="1833"/>
      <c r="M2" s="1835" t="str">
        <f ca="1">'Job Info.'!D13</f>
        <v>775-867-2140</v>
      </c>
      <c r="N2" s="1836"/>
      <c r="R2" s="245" t="s">
        <v>122</v>
      </c>
      <c r="S2" s="245" t="s">
        <v>134</v>
      </c>
      <c r="T2" s="378"/>
    </row>
    <row r="3" spans="1:39" ht="12.95" customHeight="1" x14ac:dyDescent="0.2">
      <c r="A3" s="374"/>
      <c r="B3" s="462"/>
      <c r="C3" s="374"/>
      <c r="D3" s="474"/>
      <c r="E3" s="393"/>
      <c r="F3" s="393"/>
      <c r="G3" s="393"/>
      <c r="H3" s="1840"/>
      <c r="I3" s="1841"/>
      <c r="J3" s="1842"/>
      <c r="K3" s="1833" t="s">
        <v>98</v>
      </c>
      <c r="L3" s="1833"/>
      <c r="M3" s="1835" t="str">
        <f ca="1">'Job Info.'!D14</f>
        <v>775-867-2169</v>
      </c>
      <c r="N3" s="1836"/>
      <c r="R3" s="245" t="s">
        <v>123</v>
      </c>
      <c r="S3" s="245" t="s">
        <v>135</v>
      </c>
    </row>
    <row r="4" spans="1:39" ht="12.95" customHeight="1" thickBot="1" x14ac:dyDescent="0.25">
      <c r="A4" s="374"/>
      <c r="B4" s="462"/>
      <c r="C4" s="374"/>
      <c r="D4" s="474"/>
      <c r="E4" s="393"/>
      <c r="F4" s="393"/>
      <c r="G4" s="393"/>
      <c r="H4" s="1843" t="str">
        <f>IF(P1="","",IF(VLOOKUP(P1,'Job Info.'!$X:$Z,2,FALSE),VLOOKUP(P1,'Job Info.'!$X:$Z,3,FALSE),""))</f>
        <v/>
      </c>
      <c r="I4" s="1844"/>
      <c r="J4" s="1845"/>
      <c r="K4" s="1833" t="s">
        <v>97</v>
      </c>
      <c r="L4" s="1833"/>
      <c r="M4" s="1835" t="str">
        <f ca="1">'Job Info.'!D15</f>
        <v>775-867-2060</v>
      </c>
      <c r="N4" s="1836"/>
      <c r="R4" s="245" t="s">
        <v>124</v>
      </c>
      <c r="S4" s="245" t="s">
        <v>136</v>
      </c>
    </row>
    <row r="5" spans="1:39" ht="12.95" customHeight="1" thickTop="1" x14ac:dyDescent="0.2">
      <c r="A5" s="1846" t="str">
        <f ca="1">'Job Info.'!D11</f>
        <v>8200 Woolery Way | Fallon, NV 89406 | www.newmill.com</v>
      </c>
      <c r="B5" s="1882"/>
      <c r="C5" s="1882"/>
      <c r="D5" s="1882"/>
      <c r="E5" s="1882"/>
      <c r="F5" s="1882"/>
      <c r="G5" s="1882"/>
      <c r="H5" s="1882"/>
      <c r="I5" s="1882"/>
      <c r="J5" s="1882"/>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6">
        <f>IF(ISBLANK('Job Info.'!D8),"",'Job Info.'!D8)</f>
        <v>45048</v>
      </c>
      <c r="M6" s="1816"/>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08" t="str">
        <f>IF(ISBLANK('Job Info.'!D3),"",'Job Info.'!D3)</f>
        <v>MINDEN UPS BLDG 1</v>
      </c>
      <c r="C9" s="1886"/>
      <c r="D9" s="1886"/>
      <c r="E9" s="1886"/>
      <c r="F9" s="1886"/>
      <c r="G9" s="1886"/>
      <c r="H9" s="1886"/>
      <c r="I9" s="1886"/>
      <c r="J9" s="1887"/>
      <c r="K9" s="480" t="s">
        <v>2</v>
      </c>
      <c r="L9" s="659" t="str">
        <f>IF(ISBLANK('Job Info.'!D5),"",'Job Info.'!D5)</f>
        <v>NN22-0071</v>
      </c>
      <c r="M9" s="402"/>
      <c r="N9" s="477"/>
      <c r="R9" s="245" t="s">
        <v>129</v>
      </c>
      <c r="S9" s="245" t="s">
        <v>141</v>
      </c>
    </row>
    <row r="10" spans="1:39" ht="12.6" customHeight="1" x14ac:dyDescent="0.2">
      <c r="A10" s="480" t="s">
        <v>3</v>
      </c>
      <c r="B10" s="1808" t="str">
        <f>IF(ISBLANK('Job Info.'!D4),"",'Job Info.'!D4)</f>
        <v>MINDEN, NV</v>
      </c>
      <c r="C10" s="1886"/>
      <c r="D10" s="1886"/>
      <c r="E10" s="1886"/>
      <c r="F10" s="1886"/>
      <c r="G10" s="1886"/>
      <c r="H10" s="1886"/>
      <c r="I10" s="1886"/>
      <c r="J10" s="1887"/>
      <c r="K10" s="480" t="s">
        <v>22</v>
      </c>
      <c r="L10" s="660" t="str">
        <f>IF(ISBLANK('Job Info.'!D6),"",'Job Info.'!D6)</f>
        <v>JMM</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85" t="s">
        <v>120</v>
      </c>
      <c r="C12" s="1827"/>
      <c r="D12" s="1828"/>
      <c r="E12" s="1826" t="s">
        <v>1183</v>
      </c>
      <c r="F12" s="1827"/>
      <c r="G12" s="1827"/>
      <c r="H12" s="1827"/>
      <c r="I12" s="1827"/>
      <c r="J12" s="1827"/>
      <c r="K12" s="1883"/>
      <c r="L12" s="1883"/>
      <c r="M12" s="1883"/>
      <c r="N12" s="1884"/>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2711" t="s">
        <v>1392</v>
      </c>
      <c r="B13" s="2712"/>
      <c r="C13" s="2713"/>
      <c r="D13" s="2714"/>
      <c r="E13" s="2715" t="s">
        <v>1393</v>
      </c>
      <c r="F13" s="2716"/>
      <c r="G13" s="2716"/>
      <c r="H13" s="2716"/>
      <c r="I13" s="2716"/>
      <c r="J13" s="2716"/>
      <c r="K13" s="2716"/>
      <c r="L13" s="2716"/>
      <c r="M13" s="2716"/>
      <c r="N13" s="271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2718" t="s">
        <v>1394</v>
      </c>
      <c r="B14" s="2719"/>
      <c r="C14" s="2720"/>
      <c r="D14" s="2721"/>
      <c r="E14" s="2722" t="s">
        <v>1395</v>
      </c>
      <c r="F14" s="2723"/>
      <c r="G14" s="2723"/>
      <c r="H14" s="2723"/>
      <c r="I14" s="2723"/>
      <c r="J14" s="2723"/>
      <c r="K14" s="2723"/>
      <c r="L14" s="2723"/>
      <c r="M14" s="2723"/>
      <c r="N14" s="2724"/>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2718" t="s">
        <v>808</v>
      </c>
      <c r="B15" s="2719"/>
      <c r="C15" s="2720"/>
      <c r="D15" s="2721"/>
      <c r="E15" s="2722" t="s">
        <v>1396</v>
      </c>
      <c r="F15" s="2723"/>
      <c r="G15" s="2723"/>
      <c r="H15" s="2723"/>
      <c r="I15" s="2723"/>
      <c r="J15" s="2723"/>
      <c r="K15" s="2723"/>
      <c r="L15" s="2723"/>
      <c r="M15" s="2723"/>
      <c r="N15" s="2724"/>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2718" t="s">
        <v>1397</v>
      </c>
      <c r="B16" s="2719"/>
      <c r="C16" s="2720"/>
      <c r="D16" s="2721"/>
      <c r="E16" s="2722" t="s">
        <v>1398</v>
      </c>
      <c r="F16" s="2723"/>
      <c r="G16" s="2723"/>
      <c r="H16" s="2723"/>
      <c r="I16" s="2723"/>
      <c r="J16" s="2723"/>
      <c r="K16" s="2723"/>
      <c r="L16" s="2723"/>
      <c r="M16" s="2723"/>
      <c r="N16" s="2724"/>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2718"/>
      <c r="B17" s="2719"/>
      <c r="C17" s="2720"/>
      <c r="D17" s="2721"/>
      <c r="E17" s="2722"/>
      <c r="F17" s="2723"/>
      <c r="G17" s="2723"/>
      <c r="H17" s="2723"/>
      <c r="I17" s="2723"/>
      <c r="J17" s="2723"/>
      <c r="K17" s="2723"/>
      <c r="L17" s="2723"/>
      <c r="M17" s="2723"/>
      <c r="N17" s="2724"/>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2718"/>
      <c r="B18" s="2719"/>
      <c r="C18" s="2720"/>
      <c r="D18" s="2721"/>
      <c r="E18" s="2722"/>
      <c r="F18" s="2723"/>
      <c r="G18" s="2723"/>
      <c r="H18" s="2723"/>
      <c r="I18" s="2723"/>
      <c r="J18" s="2723"/>
      <c r="K18" s="2723"/>
      <c r="L18" s="2723"/>
      <c r="M18" s="2723"/>
      <c r="N18" s="2724"/>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2718"/>
      <c r="B19" s="2719"/>
      <c r="C19" s="2720"/>
      <c r="D19" s="2721"/>
      <c r="E19" s="2722"/>
      <c r="F19" s="2723"/>
      <c r="G19" s="2723"/>
      <c r="H19" s="2723"/>
      <c r="I19" s="2723"/>
      <c r="J19" s="2723"/>
      <c r="K19" s="2723"/>
      <c r="L19" s="2723"/>
      <c r="M19" s="2723"/>
      <c r="N19" s="2724"/>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2718"/>
      <c r="B20" s="2719"/>
      <c r="C20" s="2720"/>
      <c r="D20" s="2721"/>
      <c r="E20" s="2722"/>
      <c r="F20" s="2723"/>
      <c r="G20" s="2723"/>
      <c r="H20" s="2723"/>
      <c r="I20" s="2723"/>
      <c r="J20" s="2723"/>
      <c r="K20" s="2723"/>
      <c r="L20" s="2723"/>
      <c r="M20" s="2723"/>
      <c r="N20" s="2724"/>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2718"/>
      <c r="B21" s="2719"/>
      <c r="C21" s="2720"/>
      <c r="D21" s="2721"/>
      <c r="E21" s="2722"/>
      <c r="F21" s="2723"/>
      <c r="G21" s="2723"/>
      <c r="H21" s="2723"/>
      <c r="I21" s="2723"/>
      <c r="J21" s="2723"/>
      <c r="K21" s="2723"/>
      <c r="L21" s="2723"/>
      <c r="M21" s="2723"/>
      <c r="N21" s="2724"/>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2718"/>
      <c r="B22" s="2719"/>
      <c r="C22" s="2720"/>
      <c r="D22" s="2721"/>
      <c r="E22" s="2722"/>
      <c r="F22" s="2723"/>
      <c r="G22" s="2723"/>
      <c r="H22" s="2723"/>
      <c r="I22" s="2723"/>
      <c r="J22" s="2723"/>
      <c r="K22" s="2723"/>
      <c r="L22" s="2723"/>
      <c r="M22" s="2723"/>
      <c r="N22" s="2724"/>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2718"/>
      <c r="B23" s="2719"/>
      <c r="C23" s="2720"/>
      <c r="D23" s="2721"/>
      <c r="E23" s="2722"/>
      <c r="F23" s="2723"/>
      <c r="G23" s="2723"/>
      <c r="H23" s="2723"/>
      <c r="I23" s="2723"/>
      <c r="J23" s="2723"/>
      <c r="K23" s="2723"/>
      <c r="L23" s="2723"/>
      <c r="M23" s="2723"/>
      <c r="N23" s="2724"/>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2718"/>
      <c r="B24" s="2719"/>
      <c r="C24" s="2720"/>
      <c r="D24" s="2721"/>
      <c r="E24" s="2722"/>
      <c r="F24" s="2723"/>
      <c r="G24" s="2723"/>
      <c r="H24" s="2723"/>
      <c r="I24" s="2723"/>
      <c r="J24" s="2723"/>
      <c r="K24" s="2723"/>
      <c r="L24" s="2723"/>
      <c r="M24" s="2723"/>
      <c r="N24" s="2724"/>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2718"/>
      <c r="B25" s="2719"/>
      <c r="C25" s="2720"/>
      <c r="D25" s="2721"/>
      <c r="E25" s="2722"/>
      <c r="F25" s="2723"/>
      <c r="G25" s="2723"/>
      <c r="H25" s="2723"/>
      <c r="I25" s="2723"/>
      <c r="J25" s="2723"/>
      <c r="K25" s="2723"/>
      <c r="L25" s="2723"/>
      <c r="M25" s="2723"/>
      <c r="N25" s="2724"/>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2718"/>
      <c r="B26" s="2719"/>
      <c r="C26" s="2720"/>
      <c r="D26" s="2721"/>
      <c r="E26" s="2722"/>
      <c r="F26" s="2723"/>
      <c r="G26" s="2723"/>
      <c r="H26" s="2723"/>
      <c r="I26" s="2723"/>
      <c r="J26" s="2723"/>
      <c r="K26" s="2723"/>
      <c r="L26" s="2723"/>
      <c r="M26" s="2723"/>
      <c r="N26" s="2724"/>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2718"/>
      <c r="B27" s="2719"/>
      <c r="C27" s="2720"/>
      <c r="D27" s="2721"/>
      <c r="E27" s="2722"/>
      <c r="F27" s="2723"/>
      <c r="G27" s="2723"/>
      <c r="H27" s="2723"/>
      <c r="I27" s="2723"/>
      <c r="J27" s="2723"/>
      <c r="K27" s="2723"/>
      <c r="L27" s="2723"/>
      <c r="M27" s="2723"/>
      <c r="N27" s="2724"/>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2718"/>
      <c r="B28" s="2719"/>
      <c r="C28" s="2720"/>
      <c r="D28" s="2721"/>
      <c r="E28" s="2725"/>
      <c r="F28" s="2726"/>
      <c r="G28" s="2726"/>
      <c r="H28" s="2726"/>
      <c r="I28" s="2726"/>
      <c r="J28" s="2726"/>
      <c r="K28" s="2726"/>
      <c r="L28" s="2726"/>
      <c r="M28" s="2726"/>
      <c r="N28" s="272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2718"/>
      <c r="B29" s="2719"/>
      <c r="C29" s="2720"/>
      <c r="D29" s="2721"/>
      <c r="E29" s="2725"/>
      <c r="F29" s="2726"/>
      <c r="G29" s="2726"/>
      <c r="H29" s="2726"/>
      <c r="I29" s="2726"/>
      <c r="J29" s="2726"/>
      <c r="K29" s="2726"/>
      <c r="L29" s="2726"/>
      <c r="M29" s="2726"/>
      <c r="N29" s="272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2718"/>
      <c r="B30" s="2719"/>
      <c r="C30" s="2720"/>
      <c r="D30" s="2721"/>
      <c r="E30" s="2725"/>
      <c r="F30" s="2726"/>
      <c r="G30" s="2726"/>
      <c r="H30" s="2726"/>
      <c r="I30" s="2726"/>
      <c r="J30" s="2726"/>
      <c r="K30" s="2726"/>
      <c r="L30" s="2726"/>
      <c r="M30" s="2726"/>
      <c r="N30" s="272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2718"/>
      <c r="B31" s="2719"/>
      <c r="C31" s="2720"/>
      <c r="D31" s="2721"/>
      <c r="E31" s="2725"/>
      <c r="F31" s="2726"/>
      <c r="G31" s="2726"/>
      <c r="H31" s="2726"/>
      <c r="I31" s="2726"/>
      <c r="J31" s="2726"/>
      <c r="K31" s="2726"/>
      <c r="L31" s="2726"/>
      <c r="M31" s="2726"/>
      <c r="N31" s="272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2718"/>
      <c r="B32" s="2719"/>
      <c r="C32" s="2720"/>
      <c r="D32" s="2721"/>
      <c r="E32" s="2725"/>
      <c r="F32" s="2726"/>
      <c r="G32" s="2726"/>
      <c r="H32" s="2726"/>
      <c r="I32" s="2726"/>
      <c r="J32" s="2726"/>
      <c r="K32" s="2726"/>
      <c r="L32" s="2726"/>
      <c r="M32" s="2726"/>
      <c r="N32" s="272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2718"/>
      <c r="B33" s="2719"/>
      <c r="C33" s="2720"/>
      <c r="D33" s="2721"/>
      <c r="E33" s="2725"/>
      <c r="F33" s="2726"/>
      <c r="G33" s="2726"/>
      <c r="H33" s="2726"/>
      <c r="I33" s="2726"/>
      <c r="J33" s="2726"/>
      <c r="K33" s="2726"/>
      <c r="L33" s="2726"/>
      <c r="M33" s="2726"/>
      <c r="N33" s="272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2718"/>
      <c r="B34" s="2719"/>
      <c r="C34" s="2720"/>
      <c r="D34" s="2721"/>
      <c r="E34" s="2725"/>
      <c r="F34" s="2726"/>
      <c r="G34" s="2726"/>
      <c r="H34" s="2726"/>
      <c r="I34" s="2726"/>
      <c r="J34" s="2726"/>
      <c r="K34" s="2726"/>
      <c r="L34" s="2726"/>
      <c r="M34" s="2726"/>
      <c r="N34" s="272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2718"/>
      <c r="B35" s="2719"/>
      <c r="C35" s="2720"/>
      <c r="D35" s="2721"/>
      <c r="E35" s="2722"/>
      <c r="F35" s="2723"/>
      <c r="G35" s="2723"/>
      <c r="H35" s="2723"/>
      <c r="I35" s="2723"/>
      <c r="J35" s="2723"/>
      <c r="K35" s="2723"/>
      <c r="L35" s="2723"/>
      <c r="M35" s="2723"/>
      <c r="N35" s="2724"/>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2718"/>
      <c r="B36" s="2719"/>
      <c r="C36" s="2720"/>
      <c r="D36" s="2721"/>
      <c r="E36" s="2722"/>
      <c r="F36" s="2723"/>
      <c r="G36" s="2723"/>
      <c r="H36" s="2723"/>
      <c r="I36" s="2723"/>
      <c r="J36" s="2723"/>
      <c r="K36" s="2723"/>
      <c r="L36" s="2723"/>
      <c r="M36" s="2723"/>
      <c r="N36" s="2724"/>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2718"/>
      <c r="B37" s="2719"/>
      <c r="C37" s="2720"/>
      <c r="D37" s="2721"/>
      <c r="E37" s="2722"/>
      <c r="F37" s="2723"/>
      <c r="G37" s="2723"/>
      <c r="H37" s="2723"/>
      <c r="I37" s="2723"/>
      <c r="J37" s="2723"/>
      <c r="K37" s="2723"/>
      <c r="L37" s="2723"/>
      <c r="M37" s="2723"/>
      <c r="N37" s="2724"/>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2718"/>
      <c r="B38" s="2719"/>
      <c r="C38" s="2720"/>
      <c r="D38" s="2721"/>
      <c r="E38" s="2722"/>
      <c r="F38" s="2723"/>
      <c r="G38" s="2723"/>
      <c r="H38" s="2723"/>
      <c r="I38" s="2723"/>
      <c r="J38" s="2723"/>
      <c r="K38" s="2723"/>
      <c r="L38" s="2723"/>
      <c r="M38" s="2723"/>
      <c r="N38" s="2724"/>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2718"/>
      <c r="B39" s="2719"/>
      <c r="C39" s="2720"/>
      <c r="D39" s="2721"/>
      <c r="E39" s="2722"/>
      <c r="F39" s="2723"/>
      <c r="G39" s="2723"/>
      <c r="H39" s="2723"/>
      <c r="I39" s="2723"/>
      <c r="J39" s="2723"/>
      <c r="K39" s="2723"/>
      <c r="L39" s="2723"/>
      <c r="M39" s="2723"/>
      <c r="N39" s="2724"/>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2718"/>
      <c r="B40" s="2719"/>
      <c r="C40" s="2720"/>
      <c r="D40" s="2721"/>
      <c r="E40" s="2722"/>
      <c r="F40" s="2723"/>
      <c r="G40" s="2723"/>
      <c r="H40" s="2723"/>
      <c r="I40" s="2723"/>
      <c r="J40" s="2723"/>
      <c r="K40" s="2723"/>
      <c r="L40" s="2723"/>
      <c r="M40" s="2723"/>
      <c r="N40" s="2724"/>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2718"/>
      <c r="B41" s="2719"/>
      <c r="C41" s="2720"/>
      <c r="D41" s="2721"/>
      <c r="E41" s="2722"/>
      <c r="F41" s="2723"/>
      <c r="G41" s="2723"/>
      <c r="H41" s="2723"/>
      <c r="I41" s="2723"/>
      <c r="J41" s="2723"/>
      <c r="K41" s="2723"/>
      <c r="L41" s="2723"/>
      <c r="M41" s="2723"/>
      <c r="N41" s="2724"/>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2718"/>
      <c r="B42" s="2719"/>
      <c r="C42" s="2720"/>
      <c r="D42" s="2721"/>
      <c r="E42" s="2722"/>
      <c r="F42" s="2723"/>
      <c r="G42" s="2723"/>
      <c r="H42" s="2723"/>
      <c r="I42" s="2723"/>
      <c r="J42" s="2723"/>
      <c r="K42" s="2723"/>
      <c r="L42" s="2723"/>
      <c r="M42" s="2723"/>
      <c r="N42" s="2724"/>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2718"/>
      <c r="B43" s="2719"/>
      <c r="C43" s="2720"/>
      <c r="D43" s="2721"/>
      <c r="E43" s="2722"/>
      <c r="F43" s="2723"/>
      <c r="G43" s="2723"/>
      <c r="H43" s="2723"/>
      <c r="I43" s="2723"/>
      <c r="J43" s="2723"/>
      <c r="K43" s="2723"/>
      <c r="L43" s="2723"/>
      <c r="M43" s="2723"/>
      <c r="N43" s="2724"/>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2718"/>
      <c r="B44" s="2719"/>
      <c r="C44" s="2720"/>
      <c r="D44" s="2721"/>
      <c r="E44" s="2722"/>
      <c r="F44" s="2723"/>
      <c r="G44" s="2723"/>
      <c r="H44" s="2723"/>
      <c r="I44" s="2723"/>
      <c r="J44" s="2723"/>
      <c r="K44" s="2723"/>
      <c r="L44" s="2723"/>
      <c r="M44" s="2723"/>
      <c r="N44" s="2724"/>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2718"/>
      <c r="B45" s="2719"/>
      <c r="C45" s="2720"/>
      <c r="D45" s="2721"/>
      <c r="E45" s="2722"/>
      <c r="F45" s="2723"/>
      <c r="G45" s="2723"/>
      <c r="H45" s="2723"/>
      <c r="I45" s="2723"/>
      <c r="J45" s="2723"/>
      <c r="K45" s="2723"/>
      <c r="L45" s="2723"/>
      <c r="M45" s="2723"/>
      <c r="N45" s="2724"/>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2718"/>
      <c r="B46" s="2719"/>
      <c r="C46" s="2720"/>
      <c r="D46" s="2721"/>
      <c r="E46" s="2722"/>
      <c r="F46" s="2723"/>
      <c r="G46" s="2723"/>
      <c r="H46" s="2723"/>
      <c r="I46" s="2723"/>
      <c r="J46" s="2723"/>
      <c r="K46" s="2723"/>
      <c r="L46" s="2723"/>
      <c r="M46" s="2723"/>
      <c r="N46" s="2724"/>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2718"/>
      <c r="B47" s="2719"/>
      <c r="C47" s="2720"/>
      <c r="D47" s="2721"/>
      <c r="E47" s="2722"/>
      <c r="F47" s="2723"/>
      <c r="G47" s="2723"/>
      <c r="H47" s="2723"/>
      <c r="I47" s="2723"/>
      <c r="J47" s="2723"/>
      <c r="K47" s="2723"/>
      <c r="L47" s="2723"/>
      <c r="M47" s="2723"/>
      <c r="N47" s="2724"/>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2718"/>
      <c r="B48" s="2719"/>
      <c r="C48" s="2720"/>
      <c r="D48" s="2721"/>
      <c r="E48" s="2722"/>
      <c r="F48" s="2723"/>
      <c r="G48" s="2723"/>
      <c r="H48" s="2723"/>
      <c r="I48" s="2723"/>
      <c r="J48" s="2723"/>
      <c r="K48" s="2723"/>
      <c r="L48" s="2723"/>
      <c r="M48" s="2723"/>
      <c r="N48" s="2724"/>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2728"/>
      <c r="B49" s="2729"/>
      <c r="C49" s="2730"/>
      <c r="D49" s="2731"/>
      <c r="E49" s="2732"/>
      <c r="F49" s="2733"/>
      <c r="G49" s="2733"/>
      <c r="H49" s="2733"/>
      <c r="I49" s="2733"/>
      <c r="J49" s="2733"/>
      <c r="K49" s="2733"/>
      <c r="L49" s="2733"/>
      <c r="M49" s="2733"/>
      <c r="N49" s="2734"/>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isyLcCP7wvBEWuXQ0boLELwgjUMM21iPI8ZGEpTaviHQsR58Smt5FFrK+NrCgc9Ub04MmFxfwz7lBc4UP4a8jQ==" saltValue="GnWL13hMqSVJGqW+1BKN5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587" priority="1" stopIfTrue="1" operator="equal">
      <formula>""</formula>
    </cfRule>
  </conditionalFormatting>
  <conditionalFormatting sqref="E13:N49">
    <cfRule type="expression" dxfId="586"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1399</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1400</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1402</v>
      </c>
      <c r="B16" s="2738" t="s">
        <v>1401</v>
      </c>
      <c r="C16" s="2739">
        <v>1</v>
      </c>
      <c r="D16" s="2739" t="s">
        <v>1401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2669" t="s">
        <v>1403</v>
      </c>
      <c r="B17" s="2738" t="s">
        <v>1401</v>
      </c>
      <c r="C17" s="2739">
        <v>1</v>
      </c>
      <c r="D17" s="2739" t="s">
        <v>1401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2669" t="s">
        <v>1404</v>
      </c>
      <c r="B18" s="2738" t="s">
        <v>1401</v>
      </c>
      <c r="C18" s="2739" t="s">
        <v>1401</v>
      </c>
      <c r="D18" s="2739" t="s">
        <v>1401</v>
      </c>
      <c r="E18" s="2739">
        <v>1</v>
      </c>
      <c r="F18" s="2739"/>
      <c r="G18" s="2739"/>
      <c r="H18" s="2739"/>
      <c r="I18" s="2739"/>
      <c r="J18" s="2739"/>
      <c r="K18" s="2739"/>
      <c r="L18" s="2739"/>
      <c r="M18" s="2739"/>
      <c r="N18" s="2739"/>
      <c r="O18" s="2740"/>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2669" t="s">
        <v>1405</v>
      </c>
      <c r="B19" s="2738" t="s">
        <v>1401</v>
      </c>
      <c r="C19" s="2739" t="s">
        <v>1401</v>
      </c>
      <c r="D19" s="2739">
        <v>1</v>
      </c>
      <c r="E19" s="2739" t="s">
        <v>1401</v>
      </c>
      <c r="F19" s="2739"/>
      <c r="G19" s="2739"/>
      <c r="H19" s="2739"/>
      <c r="I19" s="2739"/>
      <c r="J19" s="2739"/>
      <c r="K19" s="2739"/>
      <c r="L19" s="2739"/>
      <c r="M19" s="2739"/>
      <c r="N19" s="2739"/>
      <c r="O19" s="2740"/>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2669" t="s">
        <v>1406</v>
      </c>
      <c r="B20" s="2738" t="s">
        <v>1401</v>
      </c>
      <c r="C20" s="2739" t="s">
        <v>1401</v>
      </c>
      <c r="D20" s="2739">
        <v>1</v>
      </c>
      <c r="E20" s="2739" t="s">
        <v>1401</v>
      </c>
      <c r="F20" s="2739"/>
      <c r="G20" s="2739"/>
      <c r="H20" s="2739"/>
      <c r="I20" s="2739"/>
      <c r="J20" s="2739"/>
      <c r="K20" s="2739"/>
      <c r="L20" s="2739"/>
      <c r="M20" s="2739"/>
      <c r="N20" s="2739"/>
      <c r="O20" s="2740"/>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2669" t="s">
        <v>1407</v>
      </c>
      <c r="B21" s="2738" t="s">
        <v>1401</v>
      </c>
      <c r="C21" s="2739">
        <v>1</v>
      </c>
      <c r="D21" s="2739" t="s">
        <v>1401</v>
      </c>
      <c r="E21" s="2739">
        <v>1</v>
      </c>
      <c r="F21" s="2739"/>
      <c r="G21" s="2739"/>
      <c r="H21" s="2739"/>
      <c r="I21" s="2739"/>
      <c r="J21" s="2739"/>
      <c r="K21" s="2739"/>
      <c r="L21" s="2739"/>
      <c r="M21" s="2739"/>
      <c r="N21" s="2739"/>
      <c r="O21" s="2740"/>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2669" t="s">
        <v>1408</v>
      </c>
      <c r="B22" s="2738" t="s">
        <v>1401</v>
      </c>
      <c r="C22" s="2739">
        <v>2</v>
      </c>
      <c r="D22" s="2739">
        <v>1</v>
      </c>
      <c r="E22" s="2739">
        <v>2</v>
      </c>
      <c r="F22" s="2739"/>
      <c r="G22" s="2739"/>
      <c r="H22" s="2739"/>
      <c r="I22" s="2739"/>
      <c r="J22" s="2739"/>
      <c r="K22" s="2739"/>
      <c r="L22" s="2739"/>
      <c r="M22" s="2739"/>
      <c r="N22" s="2739"/>
      <c r="O22" s="2740"/>
      <c r="P22" s="657">
        <f t="shared" si="0"/>
        <v>5</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2669" t="s">
        <v>1409</v>
      </c>
      <c r="B23" s="2738" t="s">
        <v>1401</v>
      </c>
      <c r="C23" s="2739" t="s">
        <v>1401</v>
      </c>
      <c r="D23" s="2739" t="s">
        <v>1401</v>
      </c>
      <c r="E23" s="2739">
        <v>1</v>
      </c>
      <c r="F23" s="2739"/>
      <c r="G23" s="2739"/>
      <c r="H23" s="2739"/>
      <c r="I23" s="2739"/>
      <c r="J23" s="2739"/>
      <c r="K23" s="2739"/>
      <c r="L23" s="2739"/>
      <c r="M23" s="2739"/>
      <c r="N23" s="2739"/>
      <c r="O23" s="2740"/>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2669" t="s">
        <v>1410</v>
      </c>
      <c r="B24" s="2738" t="s">
        <v>1401</v>
      </c>
      <c r="C24" s="2739" t="s">
        <v>1401</v>
      </c>
      <c r="D24" s="2739">
        <v>1</v>
      </c>
      <c r="E24" s="2739" t="s">
        <v>1401</v>
      </c>
      <c r="F24" s="2739"/>
      <c r="G24" s="2739"/>
      <c r="H24" s="2739"/>
      <c r="I24" s="2739"/>
      <c r="J24" s="2739"/>
      <c r="K24" s="2739"/>
      <c r="L24" s="2739"/>
      <c r="M24" s="2739"/>
      <c r="N24" s="2739"/>
      <c r="O24" s="2740"/>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2669" t="s">
        <v>1411</v>
      </c>
      <c r="B25" s="2738" t="s">
        <v>1401</v>
      </c>
      <c r="C25" s="2739" t="s">
        <v>1401</v>
      </c>
      <c r="D25" s="2739">
        <v>1</v>
      </c>
      <c r="E25" s="2739" t="s">
        <v>1401</v>
      </c>
      <c r="F25" s="2739"/>
      <c r="G25" s="2739"/>
      <c r="H25" s="2739"/>
      <c r="I25" s="2739"/>
      <c r="J25" s="2739"/>
      <c r="K25" s="2739"/>
      <c r="L25" s="2739"/>
      <c r="M25" s="2739"/>
      <c r="N25" s="2739"/>
      <c r="O25" s="2740"/>
      <c r="P25" s="657">
        <f t="shared" si="0"/>
        <v>1</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2669" t="s">
        <v>1412</v>
      </c>
      <c r="B26" s="2738" t="s">
        <v>1401</v>
      </c>
      <c r="C26" s="2739">
        <v>1</v>
      </c>
      <c r="D26" s="2739" t="s">
        <v>1401</v>
      </c>
      <c r="E26" s="2739">
        <v>1</v>
      </c>
      <c r="F26" s="2739"/>
      <c r="G26" s="2739"/>
      <c r="H26" s="2739"/>
      <c r="I26" s="2739"/>
      <c r="J26" s="2739"/>
      <c r="K26" s="2739"/>
      <c r="L26" s="2739"/>
      <c r="M26" s="2739"/>
      <c r="N26" s="2739"/>
      <c r="O26" s="2740"/>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2669" t="s">
        <v>1413</v>
      </c>
      <c r="B27" s="2738" t="s">
        <v>1401</v>
      </c>
      <c r="C27" s="2739">
        <v>2</v>
      </c>
      <c r="D27" s="2739">
        <v>1</v>
      </c>
      <c r="E27" s="2739">
        <v>2</v>
      </c>
      <c r="F27" s="2739"/>
      <c r="G27" s="2739"/>
      <c r="H27" s="2739"/>
      <c r="I27" s="2739"/>
      <c r="J27" s="2739"/>
      <c r="K27" s="2739"/>
      <c r="L27" s="2739"/>
      <c r="M27" s="2739"/>
      <c r="N27" s="2739"/>
      <c r="O27" s="2740"/>
      <c r="P27" s="657">
        <f t="shared" si="0"/>
        <v>5</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2669" t="s">
        <v>1414</v>
      </c>
      <c r="B28" s="2738" t="s">
        <v>1401</v>
      </c>
      <c r="C28" s="2739" t="s">
        <v>1401</v>
      </c>
      <c r="D28" s="2739">
        <v>1</v>
      </c>
      <c r="E28" s="2739">
        <v>1</v>
      </c>
      <c r="F28" s="2739"/>
      <c r="G28" s="2739"/>
      <c r="H28" s="2739"/>
      <c r="I28" s="2739"/>
      <c r="J28" s="2739"/>
      <c r="K28" s="2739"/>
      <c r="L28" s="2739"/>
      <c r="M28" s="2739"/>
      <c r="N28" s="2739"/>
      <c r="O28" s="2740"/>
      <c r="P28" s="657">
        <f t="shared" si="0"/>
        <v>2</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2669" t="s">
        <v>1415</v>
      </c>
      <c r="B29" s="2738" t="s">
        <v>1401</v>
      </c>
      <c r="C29" s="2739" t="s">
        <v>1401</v>
      </c>
      <c r="D29" s="2739">
        <v>1</v>
      </c>
      <c r="E29" s="2739" t="s">
        <v>1401</v>
      </c>
      <c r="F29" s="2739"/>
      <c r="G29" s="2739"/>
      <c r="H29" s="2739"/>
      <c r="I29" s="2739"/>
      <c r="J29" s="2739"/>
      <c r="K29" s="2739"/>
      <c r="L29" s="2739"/>
      <c r="M29" s="2739"/>
      <c r="N29" s="2739"/>
      <c r="O29" s="2740"/>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2669" t="s">
        <v>1416</v>
      </c>
      <c r="B30" s="2738" t="s">
        <v>1401</v>
      </c>
      <c r="C30" s="2739" t="s">
        <v>1401</v>
      </c>
      <c r="D30" s="2739">
        <v>1</v>
      </c>
      <c r="E30" s="2739" t="s">
        <v>1401</v>
      </c>
      <c r="F30" s="2739"/>
      <c r="G30" s="2739"/>
      <c r="H30" s="2739"/>
      <c r="I30" s="2739"/>
      <c r="J30" s="2739"/>
      <c r="K30" s="2739"/>
      <c r="L30" s="2739"/>
      <c r="M30" s="2739"/>
      <c r="N30" s="2739"/>
      <c r="O30" s="2740"/>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2669" t="s">
        <v>1417</v>
      </c>
      <c r="B31" s="2738" t="s">
        <v>1401</v>
      </c>
      <c r="C31" s="2739">
        <v>1</v>
      </c>
      <c r="D31" s="2739" t="s">
        <v>1401</v>
      </c>
      <c r="E31" s="2739">
        <v>1</v>
      </c>
      <c r="F31" s="2739"/>
      <c r="G31" s="2739"/>
      <c r="H31" s="2739"/>
      <c r="I31" s="2739"/>
      <c r="J31" s="2739"/>
      <c r="K31" s="2739"/>
      <c r="L31" s="2739"/>
      <c r="M31" s="2739"/>
      <c r="N31" s="2739"/>
      <c r="O31" s="2740"/>
      <c r="P31" s="657">
        <f t="shared" si="0"/>
        <v>2</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2669" t="s">
        <v>1418</v>
      </c>
      <c r="B32" s="2738" t="s">
        <v>1401</v>
      </c>
      <c r="C32" s="2739">
        <v>1</v>
      </c>
      <c r="D32" s="2739">
        <v>1</v>
      </c>
      <c r="E32" s="2739">
        <v>1</v>
      </c>
      <c r="F32" s="2739"/>
      <c r="G32" s="2739"/>
      <c r="H32" s="2739"/>
      <c r="I32" s="2739"/>
      <c r="J32" s="2739"/>
      <c r="K32" s="2739"/>
      <c r="L32" s="2739"/>
      <c r="M32" s="2739"/>
      <c r="N32" s="2739"/>
      <c r="O32" s="2740"/>
      <c r="P32" s="657">
        <f t="shared" si="0"/>
        <v>3</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2669" t="s">
        <v>1419</v>
      </c>
      <c r="B33" s="2738" t="s">
        <v>1401</v>
      </c>
      <c r="C33" s="2739">
        <v>1</v>
      </c>
      <c r="D33" s="2739" t="s">
        <v>1401</v>
      </c>
      <c r="E33" s="2739">
        <v>1</v>
      </c>
      <c r="F33" s="2739"/>
      <c r="G33" s="2739"/>
      <c r="H33" s="2739"/>
      <c r="I33" s="2739"/>
      <c r="J33" s="2739"/>
      <c r="K33" s="2739"/>
      <c r="L33" s="2739"/>
      <c r="M33" s="2739"/>
      <c r="N33" s="2739"/>
      <c r="O33" s="2740"/>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2669" t="s">
        <v>1420</v>
      </c>
      <c r="B34" s="2738" t="s">
        <v>1401</v>
      </c>
      <c r="C34" s="2739" t="s">
        <v>1401</v>
      </c>
      <c r="D34" s="2739">
        <v>1</v>
      </c>
      <c r="E34" s="2739">
        <v>1</v>
      </c>
      <c r="F34" s="2739"/>
      <c r="G34" s="2739"/>
      <c r="H34" s="2739"/>
      <c r="I34" s="2739"/>
      <c r="J34" s="2739"/>
      <c r="K34" s="2739"/>
      <c r="L34" s="2739"/>
      <c r="M34" s="2739"/>
      <c r="N34" s="2739"/>
      <c r="O34" s="2740"/>
      <c r="P34" s="657">
        <f t="shared" si="0"/>
        <v>2</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2669" t="s">
        <v>1421</v>
      </c>
      <c r="B35" s="2738" t="s">
        <v>1401</v>
      </c>
      <c r="C35" s="2739" t="s">
        <v>1401</v>
      </c>
      <c r="D35" s="2739">
        <v>1</v>
      </c>
      <c r="E35" s="2739" t="s">
        <v>1401</v>
      </c>
      <c r="F35" s="2739"/>
      <c r="G35" s="2739"/>
      <c r="H35" s="2739"/>
      <c r="I35" s="2739"/>
      <c r="J35" s="2739"/>
      <c r="K35" s="2739"/>
      <c r="L35" s="2739"/>
      <c r="M35" s="2739"/>
      <c r="N35" s="2739"/>
      <c r="O35" s="2740"/>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2669" t="s">
        <v>1422</v>
      </c>
      <c r="B36" s="2738" t="s">
        <v>1401</v>
      </c>
      <c r="C36" s="2739" t="s">
        <v>1401</v>
      </c>
      <c r="D36" s="2739">
        <v>1</v>
      </c>
      <c r="E36" s="2739" t="s">
        <v>1401</v>
      </c>
      <c r="F36" s="2739"/>
      <c r="G36" s="2739"/>
      <c r="H36" s="2739"/>
      <c r="I36" s="2739"/>
      <c r="J36" s="2739"/>
      <c r="K36" s="2739"/>
      <c r="L36" s="2739"/>
      <c r="M36" s="2739"/>
      <c r="N36" s="2739"/>
      <c r="O36" s="2740"/>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2669" t="s">
        <v>1423</v>
      </c>
      <c r="B37" s="2738" t="s">
        <v>1401</v>
      </c>
      <c r="C37" s="2739" t="s">
        <v>1401</v>
      </c>
      <c r="D37" s="2739">
        <v>1</v>
      </c>
      <c r="E37" s="2739" t="s">
        <v>1401</v>
      </c>
      <c r="F37" s="2739"/>
      <c r="G37" s="2739"/>
      <c r="H37" s="2739"/>
      <c r="I37" s="2739"/>
      <c r="J37" s="2739"/>
      <c r="K37" s="2739"/>
      <c r="L37" s="2739"/>
      <c r="M37" s="2739"/>
      <c r="N37" s="2739"/>
      <c r="O37" s="2740"/>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2669" t="s">
        <v>1424</v>
      </c>
      <c r="B38" s="2738" t="s">
        <v>1401</v>
      </c>
      <c r="C38" s="2739">
        <v>1</v>
      </c>
      <c r="D38" s="2739" t="s">
        <v>1401</v>
      </c>
      <c r="E38" s="2739" t="s">
        <v>1401</v>
      </c>
      <c r="F38" s="2739"/>
      <c r="G38" s="2739"/>
      <c r="H38" s="2739"/>
      <c r="I38" s="2739"/>
      <c r="J38" s="2739"/>
      <c r="K38" s="2739"/>
      <c r="L38" s="2739"/>
      <c r="M38" s="2739"/>
      <c r="N38" s="2739"/>
      <c r="O38" s="2740"/>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2669" t="s">
        <v>1425</v>
      </c>
      <c r="B39" s="2738" t="s">
        <v>1401</v>
      </c>
      <c r="C39" s="2739" t="s">
        <v>1401</v>
      </c>
      <c r="D39" s="2739">
        <v>1</v>
      </c>
      <c r="E39" s="2739" t="s">
        <v>1401</v>
      </c>
      <c r="F39" s="2739"/>
      <c r="G39" s="2739"/>
      <c r="H39" s="2739"/>
      <c r="I39" s="2739"/>
      <c r="J39" s="2739"/>
      <c r="K39" s="2739"/>
      <c r="L39" s="2739"/>
      <c r="M39" s="2739"/>
      <c r="N39" s="2739"/>
      <c r="O39" s="2740"/>
      <c r="P39" s="657">
        <f t="shared" si="0"/>
        <v>1</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2669" t="s">
        <v>1426</v>
      </c>
      <c r="B40" s="2738" t="s">
        <v>1401</v>
      </c>
      <c r="C40" s="2739">
        <v>1</v>
      </c>
      <c r="D40" s="2739" t="s">
        <v>1401</v>
      </c>
      <c r="E40" s="2739" t="s">
        <v>1401</v>
      </c>
      <c r="F40" s="2739"/>
      <c r="G40" s="2739"/>
      <c r="H40" s="2739"/>
      <c r="I40" s="2739"/>
      <c r="J40" s="2739"/>
      <c r="K40" s="2739"/>
      <c r="L40" s="2739"/>
      <c r="M40" s="2739"/>
      <c r="N40" s="2739"/>
      <c r="O40" s="2740"/>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2669" t="s">
        <v>1427</v>
      </c>
      <c r="B41" s="2738" t="s">
        <v>1401</v>
      </c>
      <c r="C41" s="2739">
        <v>1</v>
      </c>
      <c r="D41" s="2739" t="s">
        <v>1401</v>
      </c>
      <c r="E41" s="2739" t="s">
        <v>1401</v>
      </c>
      <c r="F41" s="2739"/>
      <c r="G41" s="2739"/>
      <c r="H41" s="2739"/>
      <c r="I41" s="2739"/>
      <c r="J41" s="2739"/>
      <c r="K41" s="2739"/>
      <c r="L41" s="2739"/>
      <c r="M41" s="2739"/>
      <c r="N41" s="2739"/>
      <c r="O41" s="2740"/>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2669" t="s">
        <v>1428</v>
      </c>
      <c r="B42" s="2738" t="s">
        <v>1401</v>
      </c>
      <c r="C42" s="2739" t="s">
        <v>1401</v>
      </c>
      <c r="D42" s="2739">
        <v>1</v>
      </c>
      <c r="E42" s="2739" t="s">
        <v>1401</v>
      </c>
      <c r="F42" s="2739"/>
      <c r="G42" s="2739"/>
      <c r="H42" s="2739"/>
      <c r="I42" s="2739"/>
      <c r="J42" s="2739"/>
      <c r="K42" s="2739"/>
      <c r="L42" s="2739"/>
      <c r="M42" s="2739"/>
      <c r="N42" s="2739"/>
      <c r="O42" s="2740"/>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2669" t="s">
        <v>1429</v>
      </c>
      <c r="B43" s="2738" t="s">
        <v>1401</v>
      </c>
      <c r="C43" s="2739">
        <v>1</v>
      </c>
      <c r="D43" s="2739" t="s">
        <v>1401</v>
      </c>
      <c r="E43" s="2739" t="s">
        <v>1401</v>
      </c>
      <c r="F43" s="2739"/>
      <c r="G43" s="2739"/>
      <c r="H43" s="2739"/>
      <c r="I43" s="2739"/>
      <c r="J43" s="2739"/>
      <c r="K43" s="2739"/>
      <c r="L43" s="2739"/>
      <c r="M43" s="2739"/>
      <c r="N43" s="2739"/>
      <c r="O43" s="2740"/>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2669"/>
      <c r="B44" s="2738"/>
      <c r="C44" s="2739"/>
      <c r="D44" s="2739"/>
      <c r="E44" s="2739"/>
      <c r="F44" s="2739"/>
      <c r="G44" s="2739"/>
      <c r="H44" s="2739"/>
      <c r="I44" s="2739"/>
      <c r="J44" s="2739"/>
      <c r="K44" s="2739"/>
      <c r="L44" s="2739"/>
      <c r="M44" s="2739"/>
      <c r="N44" s="2739"/>
      <c r="O44" s="2740"/>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669"/>
      <c r="B45" s="2738"/>
      <c r="C45" s="2739"/>
      <c r="D45" s="2739"/>
      <c r="E45" s="2739"/>
      <c r="F45" s="2739"/>
      <c r="G45" s="2739"/>
      <c r="H45" s="2739"/>
      <c r="I45" s="2739"/>
      <c r="J45" s="2739"/>
      <c r="K45" s="2739"/>
      <c r="L45" s="2739"/>
      <c r="M45" s="2739"/>
      <c r="N45" s="2739"/>
      <c r="O45" s="2740"/>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669"/>
      <c r="B46" s="2738"/>
      <c r="C46" s="2739"/>
      <c r="D46" s="2739"/>
      <c r="E46" s="2739"/>
      <c r="F46" s="2739"/>
      <c r="G46" s="2739"/>
      <c r="H46" s="2739"/>
      <c r="I46" s="2739"/>
      <c r="J46" s="2739"/>
      <c r="K46" s="2739"/>
      <c r="L46" s="2739"/>
      <c r="M46" s="2739"/>
      <c r="N46" s="2739"/>
      <c r="O46" s="2740"/>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669"/>
      <c r="B47" s="2738"/>
      <c r="C47" s="2739"/>
      <c r="D47" s="2739"/>
      <c r="E47" s="2739"/>
      <c r="F47" s="2739"/>
      <c r="G47" s="2739"/>
      <c r="H47" s="2739"/>
      <c r="I47" s="2739"/>
      <c r="J47" s="2739"/>
      <c r="K47" s="2739"/>
      <c r="L47" s="2739"/>
      <c r="M47" s="2739"/>
      <c r="N47" s="2739"/>
      <c r="O47" s="2740"/>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669"/>
      <c r="B48" s="2738"/>
      <c r="C48" s="2739"/>
      <c r="D48" s="2739"/>
      <c r="E48" s="2739"/>
      <c r="F48" s="2739"/>
      <c r="G48" s="2739"/>
      <c r="H48" s="2739"/>
      <c r="I48" s="2739"/>
      <c r="J48" s="2739"/>
      <c r="K48" s="2739"/>
      <c r="L48" s="2739"/>
      <c r="M48" s="2739"/>
      <c r="N48" s="2739"/>
      <c r="O48" s="2740"/>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676"/>
      <c r="B49" s="2741"/>
      <c r="C49" s="2742"/>
      <c r="D49" s="2742"/>
      <c r="E49" s="2742"/>
      <c r="F49" s="2742"/>
      <c r="G49" s="2742"/>
      <c r="H49" s="2742"/>
      <c r="I49" s="2742"/>
      <c r="J49" s="2742"/>
      <c r="K49" s="2742"/>
      <c r="L49" s="2742"/>
      <c r="M49" s="2742"/>
      <c r="N49" s="2742"/>
      <c r="O49" s="2743"/>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K9XniEcQUcQ80KIaEzgP8lRgL6oyvg0lgjTDSJlLY2W5D+zJ9/048+ZQK8rgGyRmTN3RsZYgyD3vTC5DuroK6A==" saltValue="OirO4nnRqgNhZNde+1ZFS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85" priority="2">
      <formula>OR(A14="Girder",A14="Girders",A14="Joist",A14="Joists",A14="Bridging")</formula>
    </cfRule>
    <cfRule type="expression" dxfId="584" priority="3">
      <formula>AND(P14&gt;0,ISBLANK(AF14),OR($R$1="",$R$1="M"))</formula>
    </cfRule>
    <cfRule type="expression" dxfId="583" priority="9">
      <formula>$AH14</formula>
    </cfRule>
  </conditionalFormatting>
  <conditionalFormatting sqref="H2:J4">
    <cfRule type="cellIs" dxfId="582" priority="7" stopIfTrue="1" operator="equal">
      <formula>""</formula>
    </cfRule>
  </conditionalFormatting>
  <conditionalFormatting sqref="B14:O49">
    <cfRule type="expression" dxfId="581" priority="4">
      <formula>IF($R$1="M",AND(B14&gt;R14,R14&gt;0),B14&lt;R14)</formula>
    </cfRule>
    <cfRule type="expression" dxfId="580" priority="5">
      <formula>OR(AND($R$1="M",NOT($S$1),B14=R14),B14="-")</formula>
    </cfRule>
    <cfRule type="expression" dxfId="579" priority="6">
      <formula>IF(NOT(ISBLANK($R$1)),IF($R$1="M",IF(ISTEXT(B14),0,B14)&lt;R14,IF(ISTEXT(B14),0,B14)&gt;R14))</formula>
    </cfRule>
    <cfRule type="expression" dxfId="578" priority="8">
      <formula>OR($AH14,B$63)</formula>
    </cfRule>
  </conditionalFormatting>
  <conditionalFormatting sqref="B13:O13">
    <cfRule type="expression" dxfId="577" priority="1">
      <formula>AND(NOT(ISBLANK(B$13)),ISERROR(MATCH(B$13,$AK:$AK,0)))</formula>
    </cfRule>
    <cfRule type="expression" dxfId="5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1431</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1432</v>
      </c>
      <c r="B16" s="2738" t="s">
        <v>1401</v>
      </c>
      <c r="C16" s="2739">
        <v>1</v>
      </c>
      <c r="D16" s="2739" t="s">
        <v>1401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1433</v>
      </c>
      <c r="B17" s="2738" t="s">
        <v>1401</v>
      </c>
      <c r="C17" s="2739">
        <v>1</v>
      </c>
      <c r="D17" s="2739" t="s">
        <v>1401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t="s">
        <v>1434</v>
      </c>
      <c r="B18" s="2738" t="s">
        <v>1401</v>
      </c>
      <c r="C18" s="2739">
        <v>1</v>
      </c>
      <c r="D18" s="2739" t="s">
        <v>1401</v>
      </c>
      <c r="E18" s="2739">
        <v>1</v>
      </c>
      <c r="F18" s="2739"/>
      <c r="G18" s="2739"/>
      <c r="H18" s="2739"/>
      <c r="I18" s="2739"/>
      <c r="J18" s="2739"/>
      <c r="K18" s="2739"/>
      <c r="L18" s="2739"/>
      <c r="M18" s="2739"/>
      <c r="N18" s="2739"/>
      <c r="O18" s="2740"/>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2669" t="s">
        <v>1435</v>
      </c>
      <c r="B19" s="2738" t="s">
        <v>1401</v>
      </c>
      <c r="C19" s="2739" t="s">
        <v>1401</v>
      </c>
      <c r="D19" s="2739" t="s">
        <v>1401</v>
      </c>
      <c r="E19" s="2739">
        <v>1</v>
      </c>
      <c r="F19" s="2739"/>
      <c r="G19" s="2739"/>
      <c r="H19" s="2739"/>
      <c r="I19" s="2739"/>
      <c r="J19" s="2739"/>
      <c r="K19" s="2739"/>
      <c r="L19" s="2739"/>
      <c r="M19" s="2739"/>
      <c r="N19" s="2739"/>
      <c r="O19" s="2740"/>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2669" t="s">
        <v>1436</v>
      </c>
      <c r="B20" s="2738" t="s">
        <v>1401</v>
      </c>
      <c r="C20" s="2739">
        <v>2</v>
      </c>
      <c r="D20" s="2739">
        <v>8</v>
      </c>
      <c r="E20" s="2739">
        <v>1</v>
      </c>
      <c r="F20" s="2739"/>
      <c r="G20" s="2739"/>
      <c r="H20" s="2739"/>
      <c r="I20" s="2739"/>
      <c r="J20" s="2739"/>
      <c r="K20" s="2739"/>
      <c r="L20" s="2739"/>
      <c r="M20" s="2739"/>
      <c r="N20" s="2739"/>
      <c r="O20" s="2740"/>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2669" t="s">
        <v>1437</v>
      </c>
      <c r="B21" s="2738" t="s">
        <v>1401</v>
      </c>
      <c r="C21" s="2739">
        <v>1</v>
      </c>
      <c r="D21" s="2739">
        <v>11</v>
      </c>
      <c r="E21" s="2739">
        <v>2</v>
      </c>
      <c r="F21" s="2739"/>
      <c r="G21" s="2739"/>
      <c r="H21" s="2739"/>
      <c r="I21" s="2739"/>
      <c r="J21" s="2739"/>
      <c r="K21" s="2739"/>
      <c r="L21" s="2739"/>
      <c r="M21" s="2739"/>
      <c r="N21" s="2739"/>
      <c r="O21" s="2740"/>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2669" t="s">
        <v>1438</v>
      </c>
      <c r="B22" s="2738" t="s">
        <v>1401</v>
      </c>
      <c r="C22" s="2739">
        <v>1</v>
      </c>
      <c r="D22" s="2739" t="s">
        <v>1401</v>
      </c>
      <c r="E22" s="2739">
        <v>1</v>
      </c>
      <c r="F22" s="2739"/>
      <c r="G22" s="2739"/>
      <c r="H22" s="2739"/>
      <c r="I22" s="2739"/>
      <c r="J22" s="2739"/>
      <c r="K22" s="2739"/>
      <c r="L22" s="2739"/>
      <c r="M22" s="2739"/>
      <c r="N22" s="2739"/>
      <c r="O22" s="2740"/>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2669" t="s">
        <v>1439</v>
      </c>
      <c r="B23" s="2738" t="s">
        <v>1401</v>
      </c>
      <c r="C23" s="2739">
        <v>19</v>
      </c>
      <c r="D23" s="2739" t="s">
        <v>1401</v>
      </c>
      <c r="E23" s="2739">
        <v>16</v>
      </c>
      <c r="F23" s="2739"/>
      <c r="G23" s="2739"/>
      <c r="H23" s="2739"/>
      <c r="I23" s="2739"/>
      <c r="J23" s="2739"/>
      <c r="K23" s="2739"/>
      <c r="L23" s="2739"/>
      <c r="M23" s="2739"/>
      <c r="N23" s="2739"/>
      <c r="O23" s="2740"/>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2669" t="s">
        <v>1440</v>
      </c>
      <c r="B24" s="2738" t="s">
        <v>1401</v>
      </c>
      <c r="C24" s="2739">
        <v>3</v>
      </c>
      <c r="D24" s="2739" t="s">
        <v>1401</v>
      </c>
      <c r="E24" s="2739">
        <v>4</v>
      </c>
      <c r="F24" s="2739"/>
      <c r="G24" s="2739"/>
      <c r="H24" s="2739"/>
      <c r="I24" s="2739"/>
      <c r="J24" s="2739"/>
      <c r="K24" s="2739"/>
      <c r="L24" s="2739"/>
      <c r="M24" s="2739"/>
      <c r="N24" s="2739"/>
      <c r="O24" s="2740"/>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2669" t="s">
        <v>1441</v>
      </c>
      <c r="B25" s="2738" t="s">
        <v>1401</v>
      </c>
      <c r="C25" s="2739">
        <v>2</v>
      </c>
      <c r="D25" s="2739" t="s">
        <v>1401</v>
      </c>
      <c r="E25" s="2739">
        <v>2</v>
      </c>
      <c r="F25" s="2739"/>
      <c r="G25" s="2739"/>
      <c r="H25" s="2739"/>
      <c r="I25" s="2739"/>
      <c r="J25" s="2739"/>
      <c r="K25" s="2739"/>
      <c r="L25" s="2739"/>
      <c r="M25" s="2739"/>
      <c r="N25" s="2739"/>
      <c r="O25" s="2740"/>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2669" t="s">
        <v>1442</v>
      </c>
      <c r="B26" s="2738" t="s">
        <v>1401</v>
      </c>
      <c r="C26" s="2739" t="s">
        <v>1401</v>
      </c>
      <c r="D26" s="2739" t="s">
        <v>1401</v>
      </c>
      <c r="E26" s="2739">
        <v>1</v>
      </c>
      <c r="F26" s="2739"/>
      <c r="G26" s="2739"/>
      <c r="H26" s="2739"/>
      <c r="I26" s="2739"/>
      <c r="J26" s="2739"/>
      <c r="K26" s="2739"/>
      <c r="L26" s="2739"/>
      <c r="M26" s="2739"/>
      <c r="N26" s="2739"/>
      <c r="O26" s="2740"/>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2669" t="s">
        <v>1443</v>
      </c>
      <c r="B27" s="2738" t="s">
        <v>1401</v>
      </c>
      <c r="C27" s="2739" t="s">
        <v>1401</v>
      </c>
      <c r="D27" s="2739" t="s">
        <v>1401</v>
      </c>
      <c r="E27" s="2739">
        <v>1</v>
      </c>
      <c r="F27" s="2739"/>
      <c r="G27" s="2739"/>
      <c r="H27" s="2739"/>
      <c r="I27" s="2739"/>
      <c r="J27" s="2739"/>
      <c r="K27" s="2739"/>
      <c r="L27" s="2739"/>
      <c r="M27" s="2739"/>
      <c r="N27" s="2739"/>
      <c r="O27" s="2740"/>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2669" t="s">
        <v>1444</v>
      </c>
      <c r="B28" s="2738" t="s">
        <v>1401</v>
      </c>
      <c r="C28" s="2739" t="s">
        <v>1401</v>
      </c>
      <c r="D28" s="2739" t="s">
        <v>1401</v>
      </c>
      <c r="E28" s="2739">
        <v>1</v>
      </c>
      <c r="F28" s="2739"/>
      <c r="G28" s="2739"/>
      <c r="H28" s="2739"/>
      <c r="I28" s="2739"/>
      <c r="J28" s="2739"/>
      <c r="K28" s="2739"/>
      <c r="L28" s="2739"/>
      <c r="M28" s="2739"/>
      <c r="N28" s="2739"/>
      <c r="O28" s="2740"/>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2669" t="s">
        <v>1445</v>
      </c>
      <c r="B29" s="2738" t="s">
        <v>1401</v>
      </c>
      <c r="C29" s="2739" t="s">
        <v>1401</v>
      </c>
      <c r="D29" s="2739" t="s">
        <v>1401</v>
      </c>
      <c r="E29" s="2739">
        <v>1</v>
      </c>
      <c r="F29" s="2739"/>
      <c r="G29" s="2739"/>
      <c r="H29" s="2739"/>
      <c r="I29" s="2739"/>
      <c r="J29" s="2739"/>
      <c r="K29" s="2739"/>
      <c r="L29" s="2739"/>
      <c r="M29" s="2739"/>
      <c r="N29" s="2739"/>
      <c r="O29" s="2740"/>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2669" t="s">
        <v>1446</v>
      </c>
      <c r="B30" s="2738" t="s">
        <v>1401</v>
      </c>
      <c r="C30" s="2739" t="s">
        <v>1401</v>
      </c>
      <c r="D30" s="2739">
        <v>2</v>
      </c>
      <c r="E30" s="2739" t="s">
        <v>1401</v>
      </c>
      <c r="F30" s="2739"/>
      <c r="G30" s="2739"/>
      <c r="H30" s="2739"/>
      <c r="I30" s="2739"/>
      <c r="J30" s="2739"/>
      <c r="K30" s="2739"/>
      <c r="L30" s="2739"/>
      <c r="M30" s="2739"/>
      <c r="N30" s="2739"/>
      <c r="O30" s="2740"/>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2669" t="s">
        <v>1447</v>
      </c>
      <c r="B31" s="2738" t="s">
        <v>1401</v>
      </c>
      <c r="C31" s="2739" t="s">
        <v>1401</v>
      </c>
      <c r="D31" s="2739">
        <v>1</v>
      </c>
      <c r="E31" s="2739" t="s">
        <v>1401</v>
      </c>
      <c r="F31" s="2739"/>
      <c r="G31" s="2739"/>
      <c r="H31" s="2739"/>
      <c r="I31" s="2739"/>
      <c r="J31" s="2739"/>
      <c r="K31" s="2739"/>
      <c r="L31" s="2739"/>
      <c r="M31" s="2739"/>
      <c r="N31" s="2739"/>
      <c r="O31" s="2740"/>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2669" t="s">
        <v>1448</v>
      </c>
      <c r="B32" s="2738" t="s">
        <v>1401</v>
      </c>
      <c r="C32" s="2739" t="s">
        <v>1401</v>
      </c>
      <c r="D32" s="2739">
        <v>1</v>
      </c>
      <c r="E32" s="2739" t="s">
        <v>1401</v>
      </c>
      <c r="F32" s="2739"/>
      <c r="G32" s="2739"/>
      <c r="H32" s="2739"/>
      <c r="I32" s="2739"/>
      <c r="J32" s="2739"/>
      <c r="K32" s="2739"/>
      <c r="L32" s="2739"/>
      <c r="M32" s="2739"/>
      <c r="N32" s="2739"/>
      <c r="O32" s="2740"/>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2669" t="s">
        <v>1449</v>
      </c>
      <c r="B33" s="2738" t="s">
        <v>1401</v>
      </c>
      <c r="C33" s="2739" t="s">
        <v>1401</v>
      </c>
      <c r="D33" s="2739">
        <v>1</v>
      </c>
      <c r="E33" s="2739" t="s">
        <v>1401</v>
      </c>
      <c r="F33" s="2739"/>
      <c r="G33" s="2739"/>
      <c r="H33" s="2739"/>
      <c r="I33" s="2739"/>
      <c r="J33" s="2739"/>
      <c r="K33" s="2739"/>
      <c r="L33" s="2739"/>
      <c r="M33" s="2739"/>
      <c r="N33" s="2739"/>
      <c r="O33" s="2740"/>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2669" t="s">
        <v>1450</v>
      </c>
      <c r="B34" s="2738" t="s">
        <v>1401</v>
      </c>
      <c r="C34" s="2739">
        <v>1</v>
      </c>
      <c r="D34" s="2739" t="s">
        <v>1401</v>
      </c>
      <c r="E34" s="2739">
        <v>1</v>
      </c>
      <c r="F34" s="2739"/>
      <c r="G34" s="2739"/>
      <c r="H34" s="2739"/>
      <c r="I34" s="2739"/>
      <c r="J34" s="2739"/>
      <c r="K34" s="2739"/>
      <c r="L34" s="2739"/>
      <c r="M34" s="2739"/>
      <c r="N34" s="2739"/>
      <c r="O34" s="2740"/>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2669" t="s">
        <v>1451</v>
      </c>
      <c r="B35" s="2738" t="s">
        <v>1401</v>
      </c>
      <c r="C35" s="2739">
        <v>1</v>
      </c>
      <c r="D35" s="2739" t="s">
        <v>1401</v>
      </c>
      <c r="E35" s="2739">
        <v>1</v>
      </c>
      <c r="F35" s="2739"/>
      <c r="G35" s="2739"/>
      <c r="H35" s="2739"/>
      <c r="I35" s="2739"/>
      <c r="J35" s="2739"/>
      <c r="K35" s="2739"/>
      <c r="L35" s="2739"/>
      <c r="M35" s="2739"/>
      <c r="N35" s="2739"/>
      <c r="O35" s="2740"/>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2669" t="s">
        <v>1452</v>
      </c>
      <c r="B36" s="2738" t="s">
        <v>1401</v>
      </c>
      <c r="C36" s="2739">
        <v>1</v>
      </c>
      <c r="D36" s="2739" t="s">
        <v>1401</v>
      </c>
      <c r="E36" s="2739">
        <v>1</v>
      </c>
      <c r="F36" s="2739"/>
      <c r="G36" s="2739"/>
      <c r="H36" s="2739"/>
      <c r="I36" s="2739"/>
      <c r="J36" s="2739"/>
      <c r="K36" s="2739"/>
      <c r="L36" s="2739"/>
      <c r="M36" s="2739"/>
      <c r="N36" s="2739"/>
      <c r="O36" s="2740"/>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2669" t="s">
        <v>1453</v>
      </c>
      <c r="B37" s="2738" t="s">
        <v>1401</v>
      </c>
      <c r="C37" s="2739">
        <v>1</v>
      </c>
      <c r="D37" s="2739" t="s">
        <v>1401</v>
      </c>
      <c r="E37" s="2739">
        <v>1</v>
      </c>
      <c r="F37" s="2739"/>
      <c r="G37" s="2739"/>
      <c r="H37" s="2739"/>
      <c r="I37" s="2739"/>
      <c r="J37" s="2739"/>
      <c r="K37" s="2739"/>
      <c r="L37" s="2739"/>
      <c r="M37" s="2739"/>
      <c r="N37" s="2739"/>
      <c r="O37" s="2740"/>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2669" t="s">
        <v>1454</v>
      </c>
      <c r="B38" s="2738" t="s">
        <v>1401</v>
      </c>
      <c r="C38" s="2739">
        <v>1</v>
      </c>
      <c r="D38" s="2739" t="s">
        <v>1401</v>
      </c>
      <c r="E38" s="2739">
        <v>1</v>
      </c>
      <c r="F38" s="2739"/>
      <c r="G38" s="2739"/>
      <c r="H38" s="2739"/>
      <c r="I38" s="2739"/>
      <c r="J38" s="2739"/>
      <c r="K38" s="2739"/>
      <c r="L38" s="2739"/>
      <c r="M38" s="2739"/>
      <c r="N38" s="2739"/>
      <c r="O38" s="2740"/>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2669" t="s">
        <v>1455</v>
      </c>
      <c r="B39" s="2738" t="s">
        <v>1401</v>
      </c>
      <c r="C39" s="2739">
        <v>46</v>
      </c>
      <c r="D39" s="2739">
        <v>46</v>
      </c>
      <c r="E39" s="2739">
        <v>44</v>
      </c>
      <c r="F39" s="2739"/>
      <c r="G39" s="2739"/>
      <c r="H39" s="2739"/>
      <c r="I39" s="2739"/>
      <c r="J39" s="2739"/>
      <c r="K39" s="2739"/>
      <c r="L39" s="2739"/>
      <c r="M39" s="2739"/>
      <c r="N39" s="2739"/>
      <c r="O39" s="2740"/>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2669" t="s">
        <v>1456</v>
      </c>
      <c r="B40" s="2738" t="s">
        <v>1401</v>
      </c>
      <c r="C40" s="2739">
        <v>5</v>
      </c>
      <c r="D40" s="2739">
        <v>5</v>
      </c>
      <c r="E40" s="2739">
        <v>6</v>
      </c>
      <c r="F40" s="2739"/>
      <c r="G40" s="2739"/>
      <c r="H40" s="2739"/>
      <c r="I40" s="2739"/>
      <c r="J40" s="2739"/>
      <c r="K40" s="2739"/>
      <c r="L40" s="2739"/>
      <c r="M40" s="2739"/>
      <c r="N40" s="2739"/>
      <c r="O40" s="2740"/>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2669" t="s">
        <v>1457</v>
      </c>
      <c r="B41" s="2738" t="s">
        <v>1401</v>
      </c>
      <c r="C41" s="2739">
        <v>1</v>
      </c>
      <c r="D41" s="2739">
        <v>1</v>
      </c>
      <c r="E41" s="2739">
        <v>1</v>
      </c>
      <c r="F41" s="2739"/>
      <c r="G41" s="2739"/>
      <c r="H41" s="2739"/>
      <c r="I41" s="2739"/>
      <c r="J41" s="2739"/>
      <c r="K41" s="2739"/>
      <c r="L41" s="2739"/>
      <c r="M41" s="2739"/>
      <c r="N41" s="2739"/>
      <c r="O41" s="2740"/>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2669" t="s">
        <v>1458</v>
      </c>
      <c r="B42" s="2738" t="s">
        <v>1401</v>
      </c>
      <c r="C42" s="2739" t="s">
        <v>1401</v>
      </c>
      <c r="D42" s="2739">
        <v>1</v>
      </c>
      <c r="E42" s="2739">
        <v>1</v>
      </c>
      <c r="F42" s="2739"/>
      <c r="G42" s="2739"/>
      <c r="H42" s="2739"/>
      <c r="I42" s="2739"/>
      <c r="J42" s="2739"/>
      <c r="K42" s="2739"/>
      <c r="L42" s="2739"/>
      <c r="M42" s="2739"/>
      <c r="N42" s="2739"/>
      <c r="O42" s="2740"/>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2669" t="s">
        <v>1459</v>
      </c>
      <c r="B43" s="2738" t="s">
        <v>1401</v>
      </c>
      <c r="C43" s="2739">
        <v>2</v>
      </c>
      <c r="D43" s="2739">
        <v>4</v>
      </c>
      <c r="E43" s="2739" t="s">
        <v>1401</v>
      </c>
      <c r="F43" s="2739"/>
      <c r="G43" s="2739"/>
      <c r="H43" s="2739"/>
      <c r="I43" s="2739"/>
      <c r="J43" s="2739"/>
      <c r="K43" s="2739"/>
      <c r="L43" s="2739"/>
      <c r="M43" s="2739"/>
      <c r="N43" s="2739"/>
      <c r="O43" s="2740"/>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2669" t="s">
        <v>1460</v>
      </c>
      <c r="B44" s="2738" t="s">
        <v>1401</v>
      </c>
      <c r="C44" s="2739">
        <v>5</v>
      </c>
      <c r="D44" s="2739">
        <v>10</v>
      </c>
      <c r="E44" s="2739">
        <v>7</v>
      </c>
      <c r="F44" s="2739"/>
      <c r="G44" s="2739"/>
      <c r="H44" s="2739"/>
      <c r="I44" s="2739"/>
      <c r="J44" s="2739"/>
      <c r="K44" s="2739"/>
      <c r="L44" s="2739"/>
      <c r="M44" s="2739"/>
      <c r="N44" s="2739"/>
      <c r="O44" s="2740"/>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2669" t="s">
        <v>1461</v>
      </c>
      <c r="B45" s="2738" t="s">
        <v>1401</v>
      </c>
      <c r="C45" s="2739">
        <v>1</v>
      </c>
      <c r="D45" s="2739">
        <v>1</v>
      </c>
      <c r="E45" s="2739" t="s">
        <v>1401</v>
      </c>
      <c r="F45" s="2739"/>
      <c r="G45" s="2739"/>
      <c r="H45" s="2739"/>
      <c r="I45" s="2739"/>
      <c r="J45" s="2739"/>
      <c r="K45" s="2739"/>
      <c r="L45" s="2739"/>
      <c r="M45" s="2739"/>
      <c r="N45" s="2739"/>
      <c r="O45" s="2740"/>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2669" t="s">
        <v>1462</v>
      </c>
      <c r="B46" s="2738" t="s">
        <v>1401</v>
      </c>
      <c r="C46" s="2739" t="s">
        <v>1401</v>
      </c>
      <c r="D46" s="2739">
        <v>2</v>
      </c>
      <c r="E46" s="2739" t="s">
        <v>1401</v>
      </c>
      <c r="F46" s="2739"/>
      <c r="G46" s="2739"/>
      <c r="H46" s="2739"/>
      <c r="I46" s="2739"/>
      <c r="J46" s="2739"/>
      <c r="K46" s="2739"/>
      <c r="L46" s="2739"/>
      <c r="M46" s="2739"/>
      <c r="N46" s="2739"/>
      <c r="O46" s="2740"/>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2669" t="s">
        <v>1463</v>
      </c>
      <c r="B47" s="2738" t="s">
        <v>1401</v>
      </c>
      <c r="C47" s="2739">
        <v>1</v>
      </c>
      <c r="D47" s="2739" t="s">
        <v>1401</v>
      </c>
      <c r="E47" s="2739">
        <v>1</v>
      </c>
      <c r="F47" s="2739"/>
      <c r="G47" s="2739"/>
      <c r="H47" s="2739"/>
      <c r="I47" s="2739"/>
      <c r="J47" s="2739"/>
      <c r="K47" s="2739"/>
      <c r="L47" s="2739"/>
      <c r="M47" s="2739"/>
      <c r="N47" s="2739"/>
      <c r="O47" s="2740"/>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2669" t="s">
        <v>1464</v>
      </c>
      <c r="B48" s="2738" t="s">
        <v>1401</v>
      </c>
      <c r="C48" s="2739">
        <v>1</v>
      </c>
      <c r="D48" s="2739" t="s">
        <v>1401</v>
      </c>
      <c r="E48" s="2739">
        <v>1</v>
      </c>
      <c r="F48" s="2739"/>
      <c r="G48" s="2739"/>
      <c r="H48" s="2739"/>
      <c r="I48" s="2739"/>
      <c r="J48" s="2739"/>
      <c r="K48" s="2739"/>
      <c r="L48" s="2739"/>
      <c r="M48" s="2739"/>
      <c r="N48" s="2739"/>
      <c r="O48" s="2740"/>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2676" t="s">
        <v>1465</v>
      </c>
      <c r="B49" s="2741" t="s">
        <v>1401</v>
      </c>
      <c r="C49" s="2742">
        <v>1</v>
      </c>
      <c r="D49" s="2742" t="s">
        <v>1401</v>
      </c>
      <c r="E49" s="2742">
        <v>1</v>
      </c>
      <c r="F49" s="2742"/>
      <c r="G49" s="2742"/>
      <c r="H49" s="2742"/>
      <c r="I49" s="2742"/>
      <c r="J49" s="2742"/>
      <c r="K49" s="2742"/>
      <c r="L49" s="2742"/>
      <c r="M49" s="2742"/>
      <c r="N49" s="2742"/>
      <c r="O49" s="2743"/>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7nPsJ+OyhstDhg64wdFHC+tb2ZbN0Im4S6hhx3Lg6678p/jnVTzCT2LHWwE2yIr7sjW3fVmOAYudJm/eLKz/WQ==" saltValue="oSKFBRVbC61vF9veDQUby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75" priority="2">
      <formula>OR(A14="Girder",A14="Girders",A14="Joist",A14="Joists",A14="Bridging")</formula>
    </cfRule>
    <cfRule type="expression" dxfId="574" priority="3">
      <formula>AND(P14&gt;0,ISBLANK(AF14),OR($R$1="",$R$1="M"))</formula>
    </cfRule>
    <cfRule type="expression" dxfId="573" priority="9">
      <formula>$AH14</formula>
    </cfRule>
  </conditionalFormatting>
  <conditionalFormatting sqref="H2:J4">
    <cfRule type="cellIs" dxfId="572" priority="7" stopIfTrue="1" operator="equal">
      <formula>""</formula>
    </cfRule>
  </conditionalFormatting>
  <conditionalFormatting sqref="B14:O49">
    <cfRule type="expression" dxfId="571" priority="4">
      <formula>IF($R$1="M",AND(B14&gt;R14,R14&gt;0),B14&lt;R14)</formula>
    </cfRule>
    <cfRule type="expression" dxfId="570" priority="5">
      <formula>OR(AND($R$1="M",NOT($S$1),B14=R14),B14="-")</formula>
    </cfRule>
    <cfRule type="expression" dxfId="569" priority="6">
      <formula>IF(NOT(ISBLANK($R$1)),IF($R$1="M",IF(ISTEXT(B14),0,B14)&lt;R14,IF(ISTEXT(B14),0,B14)&gt;R14))</formula>
    </cfRule>
    <cfRule type="expression" dxfId="568" priority="8">
      <formula>OR($AH14,B$63)</formula>
    </cfRule>
  </conditionalFormatting>
  <conditionalFormatting sqref="B13:O13">
    <cfRule type="expression" dxfId="567" priority="1">
      <formula>AND(NOT(ISBLANK(B$13)),ISERROR(MATCH(B$13,$AK:$AK,0)))</formula>
    </cfRule>
    <cfRule type="expression" dxfId="5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1466</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1467</v>
      </c>
      <c r="B16" s="2738" t="s">
        <v>1401</v>
      </c>
      <c r="C16" s="2739" t="s">
        <v>1401</v>
      </c>
      <c r="D16" s="2739">
        <v>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1468</v>
      </c>
      <c r="B17" s="2738" t="s">
        <v>1401</v>
      </c>
      <c r="C17" s="2739" t="s">
        <v>1401</v>
      </c>
      <c r="D17" s="2739">
        <v>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t="s">
        <v>1469</v>
      </c>
      <c r="B18" s="2738" t="s">
        <v>1401</v>
      </c>
      <c r="C18" s="2739">
        <v>1</v>
      </c>
      <c r="D18" s="2739" t="s">
        <v>1401</v>
      </c>
      <c r="E18" s="2739">
        <v>1</v>
      </c>
      <c r="F18" s="2739"/>
      <c r="G18" s="2739"/>
      <c r="H18" s="2739"/>
      <c r="I18" s="2739"/>
      <c r="J18" s="2739"/>
      <c r="K18" s="2739"/>
      <c r="L18" s="2739"/>
      <c r="M18" s="2739"/>
      <c r="N18" s="2739"/>
      <c r="O18" s="2740"/>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2669" t="s">
        <v>1470</v>
      </c>
      <c r="B19" s="2738" t="s">
        <v>1401</v>
      </c>
      <c r="C19" s="2739">
        <v>1</v>
      </c>
      <c r="D19" s="2739" t="s">
        <v>1401</v>
      </c>
      <c r="E19" s="2739">
        <v>1</v>
      </c>
      <c r="F19" s="2739"/>
      <c r="G19" s="2739"/>
      <c r="H19" s="2739"/>
      <c r="I19" s="2739"/>
      <c r="J19" s="2739"/>
      <c r="K19" s="2739"/>
      <c r="L19" s="2739"/>
      <c r="M19" s="2739"/>
      <c r="N19" s="2739"/>
      <c r="O19" s="2740"/>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2669" t="s">
        <v>1471</v>
      </c>
      <c r="B20" s="2738" t="s">
        <v>1401</v>
      </c>
      <c r="C20" s="2739">
        <v>1</v>
      </c>
      <c r="D20" s="2739" t="s">
        <v>1401</v>
      </c>
      <c r="E20" s="2739">
        <v>1</v>
      </c>
      <c r="F20" s="2739"/>
      <c r="G20" s="2739"/>
      <c r="H20" s="2739"/>
      <c r="I20" s="2739"/>
      <c r="J20" s="2739"/>
      <c r="K20" s="2739"/>
      <c r="L20" s="2739"/>
      <c r="M20" s="2739"/>
      <c r="N20" s="2739"/>
      <c r="O20" s="2740"/>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2669" t="s">
        <v>1472</v>
      </c>
      <c r="B21" s="2738" t="s">
        <v>1401</v>
      </c>
      <c r="C21" s="2739">
        <v>1</v>
      </c>
      <c r="D21" s="2739" t="s">
        <v>1401</v>
      </c>
      <c r="E21" s="2739">
        <v>1</v>
      </c>
      <c r="F21" s="2739"/>
      <c r="G21" s="2739"/>
      <c r="H21" s="2739"/>
      <c r="I21" s="2739"/>
      <c r="J21" s="2739"/>
      <c r="K21" s="2739"/>
      <c r="L21" s="2739"/>
      <c r="M21" s="2739"/>
      <c r="N21" s="2739"/>
      <c r="O21" s="2740"/>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2669" t="s">
        <v>1473</v>
      </c>
      <c r="B22" s="2738" t="s">
        <v>1401</v>
      </c>
      <c r="C22" s="2739">
        <v>27</v>
      </c>
      <c r="D22" s="2739">
        <v>30</v>
      </c>
      <c r="E22" s="2739">
        <v>27</v>
      </c>
      <c r="F22" s="2739"/>
      <c r="G22" s="2739"/>
      <c r="H22" s="2739"/>
      <c r="I22" s="2739"/>
      <c r="J22" s="2739"/>
      <c r="K22" s="2739"/>
      <c r="L22" s="2739"/>
      <c r="M22" s="2739"/>
      <c r="N22" s="2739"/>
      <c r="O22" s="2740"/>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2669" t="s">
        <v>1474</v>
      </c>
      <c r="B23" s="2738" t="s">
        <v>1401</v>
      </c>
      <c r="C23" s="2739">
        <v>3</v>
      </c>
      <c r="D23" s="2739">
        <v>3</v>
      </c>
      <c r="E23" s="2739">
        <v>3</v>
      </c>
      <c r="F23" s="2739"/>
      <c r="G23" s="2739"/>
      <c r="H23" s="2739"/>
      <c r="I23" s="2739"/>
      <c r="J23" s="2739"/>
      <c r="K23" s="2739"/>
      <c r="L23" s="2739"/>
      <c r="M23" s="2739"/>
      <c r="N23" s="2739"/>
      <c r="O23" s="2740"/>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2669" t="s">
        <v>1475</v>
      </c>
      <c r="B24" s="2738" t="s">
        <v>1401</v>
      </c>
      <c r="C24" s="2739" t="s">
        <v>1401</v>
      </c>
      <c r="D24" s="2739">
        <v>1</v>
      </c>
      <c r="E24" s="2739">
        <v>1</v>
      </c>
      <c r="F24" s="2739"/>
      <c r="G24" s="2739"/>
      <c r="H24" s="2739"/>
      <c r="I24" s="2739"/>
      <c r="J24" s="2739"/>
      <c r="K24" s="2739"/>
      <c r="L24" s="2739"/>
      <c r="M24" s="2739"/>
      <c r="N24" s="2739"/>
      <c r="O24" s="2740"/>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2669" t="s">
        <v>1476</v>
      </c>
      <c r="B25" s="2738" t="s">
        <v>1401</v>
      </c>
      <c r="C25" s="2739">
        <v>2</v>
      </c>
      <c r="D25" s="2739">
        <v>2</v>
      </c>
      <c r="E25" s="2739" t="s">
        <v>1401</v>
      </c>
      <c r="F25" s="2739"/>
      <c r="G25" s="2739"/>
      <c r="H25" s="2739"/>
      <c r="I25" s="2739"/>
      <c r="J25" s="2739"/>
      <c r="K25" s="2739"/>
      <c r="L25" s="2739"/>
      <c r="M25" s="2739"/>
      <c r="N25" s="2739"/>
      <c r="O25" s="2740"/>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2669" t="s">
        <v>1477</v>
      </c>
      <c r="B26" s="2738" t="s">
        <v>1401</v>
      </c>
      <c r="C26" s="2739">
        <v>1</v>
      </c>
      <c r="D26" s="2739" t="s">
        <v>1401</v>
      </c>
      <c r="E26" s="2739">
        <v>1</v>
      </c>
      <c r="F26" s="2739"/>
      <c r="G26" s="2739"/>
      <c r="H26" s="2739"/>
      <c r="I26" s="2739"/>
      <c r="J26" s="2739"/>
      <c r="K26" s="2739"/>
      <c r="L26" s="2739"/>
      <c r="M26" s="2739"/>
      <c r="N26" s="2739"/>
      <c r="O26" s="2740"/>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2669" t="s">
        <v>1478</v>
      </c>
      <c r="B27" s="2738" t="s">
        <v>1401</v>
      </c>
      <c r="C27" s="2739">
        <v>1</v>
      </c>
      <c r="D27" s="2739" t="s">
        <v>1401</v>
      </c>
      <c r="E27" s="2739">
        <v>1</v>
      </c>
      <c r="F27" s="2739"/>
      <c r="G27" s="2739"/>
      <c r="H27" s="2739"/>
      <c r="I27" s="2739"/>
      <c r="J27" s="2739"/>
      <c r="K27" s="2739"/>
      <c r="L27" s="2739"/>
      <c r="M27" s="2739"/>
      <c r="N27" s="2739"/>
      <c r="O27" s="2740"/>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2669" t="s">
        <v>1479</v>
      </c>
      <c r="B28" s="2738" t="s">
        <v>1401</v>
      </c>
      <c r="C28" s="2739">
        <v>1</v>
      </c>
      <c r="D28" s="2739" t="s">
        <v>1401</v>
      </c>
      <c r="E28" s="2739">
        <v>1</v>
      </c>
      <c r="F28" s="2739"/>
      <c r="G28" s="2739"/>
      <c r="H28" s="2739"/>
      <c r="I28" s="2739"/>
      <c r="J28" s="2739"/>
      <c r="K28" s="2739"/>
      <c r="L28" s="2739"/>
      <c r="M28" s="2739"/>
      <c r="N28" s="2739"/>
      <c r="O28" s="2740"/>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2669" t="s">
        <v>1480</v>
      </c>
      <c r="B29" s="2738" t="s">
        <v>1401</v>
      </c>
      <c r="C29" s="2739">
        <v>1</v>
      </c>
      <c r="D29" s="2739" t="s">
        <v>1401</v>
      </c>
      <c r="E29" s="2739">
        <v>1</v>
      </c>
      <c r="F29" s="2739"/>
      <c r="G29" s="2739"/>
      <c r="H29" s="2739"/>
      <c r="I29" s="2739"/>
      <c r="J29" s="2739"/>
      <c r="K29" s="2739"/>
      <c r="L29" s="2739"/>
      <c r="M29" s="2739"/>
      <c r="N29" s="2739"/>
      <c r="O29" s="2740"/>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2669" t="s">
        <v>1481</v>
      </c>
      <c r="B30" s="2738" t="s">
        <v>1401</v>
      </c>
      <c r="C30" s="2739" t="s">
        <v>1401</v>
      </c>
      <c r="D30" s="2739" t="s">
        <v>1401</v>
      </c>
      <c r="E30" s="2739">
        <v>1</v>
      </c>
      <c r="F30" s="2739"/>
      <c r="G30" s="2739"/>
      <c r="H30" s="2739"/>
      <c r="I30" s="2739"/>
      <c r="J30" s="2739"/>
      <c r="K30" s="2739"/>
      <c r="L30" s="2739"/>
      <c r="M30" s="2739"/>
      <c r="N30" s="2739"/>
      <c r="O30" s="2740"/>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2669" t="s">
        <v>1482</v>
      </c>
      <c r="B31" s="2738" t="s">
        <v>1401</v>
      </c>
      <c r="C31" s="2739">
        <v>1</v>
      </c>
      <c r="D31" s="2739" t="s">
        <v>1401</v>
      </c>
      <c r="E31" s="2739">
        <v>1</v>
      </c>
      <c r="F31" s="2739"/>
      <c r="G31" s="2739"/>
      <c r="H31" s="2739"/>
      <c r="I31" s="2739"/>
      <c r="J31" s="2739"/>
      <c r="K31" s="2739"/>
      <c r="L31" s="2739"/>
      <c r="M31" s="2739"/>
      <c r="N31" s="2739"/>
      <c r="O31" s="2740"/>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2669" t="s">
        <v>1483</v>
      </c>
      <c r="B32" s="2738" t="s">
        <v>1401</v>
      </c>
      <c r="C32" s="2739">
        <v>21</v>
      </c>
      <c r="D32" s="2739">
        <v>10</v>
      </c>
      <c r="E32" s="2739">
        <v>19</v>
      </c>
      <c r="F32" s="2739"/>
      <c r="G32" s="2739"/>
      <c r="H32" s="2739"/>
      <c r="I32" s="2739"/>
      <c r="J32" s="2739"/>
      <c r="K32" s="2739"/>
      <c r="L32" s="2739"/>
      <c r="M32" s="2739"/>
      <c r="N32" s="2739"/>
      <c r="O32" s="2740"/>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2669" t="s">
        <v>1484</v>
      </c>
      <c r="B33" s="2738" t="s">
        <v>1401</v>
      </c>
      <c r="C33" s="2739">
        <v>3</v>
      </c>
      <c r="D33" s="2739" t="s">
        <v>1401</v>
      </c>
      <c r="E33" s="2739">
        <v>3</v>
      </c>
      <c r="F33" s="2739"/>
      <c r="G33" s="2739"/>
      <c r="H33" s="2739"/>
      <c r="I33" s="2739"/>
      <c r="J33" s="2739"/>
      <c r="K33" s="2739"/>
      <c r="L33" s="2739"/>
      <c r="M33" s="2739"/>
      <c r="N33" s="2739"/>
      <c r="O33" s="2740"/>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2669" t="s">
        <v>1485</v>
      </c>
      <c r="B34" s="2738" t="s">
        <v>1401</v>
      </c>
      <c r="C34" s="2739">
        <v>3</v>
      </c>
      <c r="D34" s="2739" t="s">
        <v>1401</v>
      </c>
      <c r="E34" s="2739">
        <v>4</v>
      </c>
      <c r="F34" s="2739"/>
      <c r="G34" s="2739"/>
      <c r="H34" s="2739"/>
      <c r="I34" s="2739"/>
      <c r="J34" s="2739"/>
      <c r="K34" s="2739"/>
      <c r="L34" s="2739"/>
      <c r="M34" s="2739"/>
      <c r="N34" s="2739"/>
      <c r="O34" s="2740"/>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2669" t="s">
        <v>1486</v>
      </c>
      <c r="B35" s="2738" t="s">
        <v>1401</v>
      </c>
      <c r="C35" s="2739">
        <v>1</v>
      </c>
      <c r="D35" s="2739">
        <v>4</v>
      </c>
      <c r="E35" s="2739">
        <v>2</v>
      </c>
      <c r="F35" s="2739"/>
      <c r="G35" s="2739"/>
      <c r="H35" s="2739"/>
      <c r="I35" s="2739"/>
      <c r="J35" s="2739"/>
      <c r="K35" s="2739"/>
      <c r="L35" s="2739"/>
      <c r="M35" s="2739"/>
      <c r="N35" s="2739"/>
      <c r="O35" s="2740"/>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2669" t="s">
        <v>1487</v>
      </c>
      <c r="B36" s="2738" t="s">
        <v>1401</v>
      </c>
      <c r="C36" s="2739" t="s">
        <v>1401</v>
      </c>
      <c r="D36" s="2739">
        <v>1</v>
      </c>
      <c r="E36" s="2739">
        <v>1</v>
      </c>
      <c r="F36" s="2739"/>
      <c r="G36" s="2739"/>
      <c r="H36" s="2739"/>
      <c r="I36" s="2739"/>
      <c r="J36" s="2739"/>
      <c r="K36" s="2739"/>
      <c r="L36" s="2739"/>
      <c r="M36" s="2739"/>
      <c r="N36" s="2739"/>
      <c r="O36" s="2740"/>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2669" t="s">
        <v>1488</v>
      </c>
      <c r="B37" s="2738" t="s">
        <v>1401</v>
      </c>
      <c r="C37" s="2739">
        <v>2</v>
      </c>
      <c r="D37" s="2739">
        <v>2</v>
      </c>
      <c r="E37" s="2739" t="s">
        <v>1401</v>
      </c>
      <c r="F37" s="2739"/>
      <c r="G37" s="2739"/>
      <c r="H37" s="2739"/>
      <c r="I37" s="2739"/>
      <c r="J37" s="2739"/>
      <c r="K37" s="2739"/>
      <c r="L37" s="2739"/>
      <c r="M37" s="2739"/>
      <c r="N37" s="2739"/>
      <c r="O37" s="2740"/>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2669" t="s">
        <v>1489</v>
      </c>
      <c r="B38" s="2738" t="s">
        <v>1401</v>
      </c>
      <c r="C38" s="2739" t="s">
        <v>1401</v>
      </c>
      <c r="D38" s="2739">
        <v>3</v>
      </c>
      <c r="E38" s="2739" t="s">
        <v>1401</v>
      </c>
      <c r="F38" s="2739"/>
      <c r="G38" s="2739"/>
      <c r="H38" s="2739"/>
      <c r="I38" s="2739"/>
      <c r="J38" s="2739"/>
      <c r="K38" s="2739"/>
      <c r="L38" s="2739"/>
      <c r="M38" s="2739"/>
      <c r="N38" s="2739"/>
      <c r="O38" s="2740"/>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2669" t="s">
        <v>1490</v>
      </c>
      <c r="B39" s="2738" t="s">
        <v>1401</v>
      </c>
      <c r="C39" s="2739" t="s">
        <v>1401</v>
      </c>
      <c r="D39" s="2739">
        <v>10</v>
      </c>
      <c r="E39" s="2739" t="s">
        <v>1401</v>
      </c>
      <c r="F39" s="2739"/>
      <c r="G39" s="2739"/>
      <c r="H39" s="2739"/>
      <c r="I39" s="2739"/>
      <c r="J39" s="2739"/>
      <c r="K39" s="2739"/>
      <c r="L39" s="2739"/>
      <c r="M39" s="2739"/>
      <c r="N39" s="2739"/>
      <c r="O39" s="2740"/>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2669" t="s">
        <v>1491</v>
      </c>
      <c r="B40" s="2738" t="s">
        <v>1401</v>
      </c>
      <c r="C40" s="2739" t="s">
        <v>1401</v>
      </c>
      <c r="D40" s="2739">
        <v>4</v>
      </c>
      <c r="E40" s="2739" t="s">
        <v>1401</v>
      </c>
      <c r="F40" s="2739"/>
      <c r="G40" s="2739"/>
      <c r="H40" s="2739"/>
      <c r="I40" s="2739"/>
      <c r="J40" s="2739"/>
      <c r="K40" s="2739"/>
      <c r="L40" s="2739"/>
      <c r="M40" s="2739"/>
      <c r="N40" s="2739"/>
      <c r="O40" s="2740"/>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2669" t="s">
        <v>1492</v>
      </c>
      <c r="B41" s="2738" t="s">
        <v>1401</v>
      </c>
      <c r="C41" s="2739" t="s">
        <v>1401</v>
      </c>
      <c r="D41" s="2739">
        <v>7</v>
      </c>
      <c r="E41" s="2739" t="s">
        <v>1401</v>
      </c>
      <c r="F41" s="2739"/>
      <c r="G41" s="2739"/>
      <c r="H41" s="2739"/>
      <c r="I41" s="2739"/>
      <c r="J41" s="2739"/>
      <c r="K41" s="2739"/>
      <c r="L41" s="2739"/>
      <c r="M41" s="2739"/>
      <c r="N41" s="2739"/>
      <c r="O41" s="2740"/>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2669" t="s">
        <v>1493</v>
      </c>
      <c r="B42" s="2738" t="s">
        <v>1401</v>
      </c>
      <c r="C42" s="2739" t="s">
        <v>1401</v>
      </c>
      <c r="D42" s="2739">
        <v>1</v>
      </c>
      <c r="E42" s="2739" t="s">
        <v>1401</v>
      </c>
      <c r="F42" s="2739"/>
      <c r="G42" s="2739"/>
      <c r="H42" s="2739"/>
      <c r="I42" s="2739"/>
      <c r="J42" s="2739"/>
      <c r="K42" s="2739"/>
      <c r="L42" s="2739"/>
      <c r="M42" s="2739"/>
      <c r="N42" s="2739"/>
      <c r="O42" s="2740"/>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2669" t="s">
        <v>1494</v>
      </c>
      <c r="B43" s="2738" t="s">
        <v>1401</v>
      </c>
      <c r="C43" s="2739" t="s">
        <v>1401</v>
      </c>
      <c r="D43" s="2739">
        <v>2</v>
      </c>
      <c r="E43" s="2739" t="s">
        <v>1401</v>
      </c>
      <c r="F43" s="2739"/>
      <c r="G43" s="2739"/>
      <c r="H43" s="2739"/>
      <c r="I43" s="2739"/>
      <c r="J43" s="2739"/>
      <c r="K43" s="2739"/>
      <c r="L43" s="2739"/>
      <c r="M43" s="2739"/>
      <c r="N43" s="2739"/>
      <c r="O43" s="2740"/>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2669" t="s">
        <v>1495</v>
      </c>
      <c r="B44" s="2738" t="s">
        <v>1401</v>
      </c>
      <c r="C44" s="2739" t="s">
        <v>1401</v>
      </c>
      <c r="D44" s="2739">
        <v>1</v>
      </c>
      <c r="E44" s="2739" t="s">
        <v>1401</v>
      </c>
      <c r="F44" s="2739"/>
      <c r="G44" s="2739"/>
      <c r="H44" s="2739"/>
      <c r="I44" s="2739"/>
      <c r="J44" s="2739"/>
      <c r="K44" s="2739"/>
      <c r="L44" s="2739"/>
      <c r="M44" s="2739"/>
      <c r="N44" s="2739"/>
      <c r="O44" s="2740"/>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2669" t="s">
        <v>1496</v>
      </c>
      <c r="B45" s="2738" t="s">
        <v>1401</v>
      </c>
      <c r="C45" s="2739" t="s">
        <v>1401</v>
      </c>
      <c r="D45" s="2739">
        <v>1</v>
      </c>
      <c r="E45" s="2739" t="s">
        <v>1401</v>
      </c>
      <c r="F45" s="2739"/>
      <c r="G45" s="2739"/>
      <c r="H45" s="2739"/>
      <c r="I45" s="2739"/>
      <c r="J45" s="2739"/>
      <c r="K45" s="2739"/>
      <c r="L45" s="2739"/>
      <c r="M45" s="2739"/>
      <c r="N45" s="2739"/>
      <c r="O45" s="2740"/>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2669" t="s">
        <v>1497</v>
      </c>
      <c r="B46" s="2738" t="s">
        <v>1401</v>
      </c>
      <c r="C46" s="2739">
        <v>2</v>
      </c>
      <c r="D46" s="2739" t="s">
        <v>1401</v>
      </c>
      <c r="E46" s="2739" t="s">
        <v>1401</v>
      </c>
      <c r="F46" s="2739"/>
      <c r="G46" s="2739"/>
      <c r="H46" s="2739"/>
      <c r="I46" s="2739"/>
      <c r="J46" s="2739"/>
      <c r="K46" s="2739"/>
      <c r="L46" s="2739"/>
      <c r="M46" s="2739"/>
      <c r="N46" s="2739"/>
      <c r="O46" s="2740"/>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2669" t="s">
        <v>1498</v>
      </c>
      <c r="B47" s="2738" t="s">
        <v>1401</v>
      </c>
      <c r="C47" s="2739">
        <v>1</v>
      </c>
      <c r="D47" s="2739" t="s">
        <v>1401</v>
      </c>
      <c r="E47" s="2739" t="s">
        <v>1401</v>
      </c>
      <c r="F47" s="2739"/>
      <c r="G47" s="2739"/>
      <c r="H47" s="2739"/>
      <c r="I47" s="2739"/>
      <c r="J47" s="2739"/>
      <c r="K47" s="2739"/>
      <c r="L47" s="2739"/>
      <c r="M47" s="2739"/>
      <c r="N47" s="2739"/>
      <c r="O47" s="2740"/>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2669" t="s">
        <v>1499</v>
      </c>
      <c r="B48" s="2738" t="s">
        <v>1401</v>
      </c>
      <c r="C48" s="2739">
        <v>1</v>
      </c>
      <c r="D48" s="2739" t="s">
        <v>1401</v>
      </c>
      <c r="E48" s="2739" t="s">
        <v>1401</v>
      </c>
      <c r="F48" s="2739"/>
      <c r="G48" s="2739"/>
      <c r="H48" s="2739"/>
      <c r="I48" s="2739"/>
      <c r="J48" s="2739"/>
      <c r="K48" s="2739"/>
      <c r="L48" s="2739"/>
      <c r="M48" s="2739"/>
      <c r="N48" s="2739"/>
      <c r="O48" s="2740"/>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2676" t="s">
        <v>1500</v>
      </c>
      <c r="B49" s="2741" t="s">
        <v>1401</v>
      </c>
      <c r="C49" s="2742">
        <v>2</v>
      </c>
      <c r="D49" s="2742" t="s">
        <v>1401</v>
      </c>
      <c r="E49" s="2742" t="s">
        <v>1401</v>
      </c>
      <c r="F49" s="2742"/>
      <c r="G49" s="2742"/>
      <c r="H49" s="2742"/>
      <c r="I49" s="2742"/>
      <c r="J49" s="2742"/>
      <c r="K49" s="2742"/>
      <c r="L49" s="2742"/>
      <c r="M49" s="2742"/>
      <c r="N49" s="2742"/>
      <c r="O49" s="2743"/>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DqcRKEWYRVW++y4YjtwSBw/XzvJ3VAZAyDFb8QPNdizYG0VxONDzCqNVFKvCxgF/kK+rljTJ9kv+kVIpBuTDSw==" saltValue="lBOpBRZZ6FcKb1vYBcsLF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65" priority="2">
      <formula>OR(A14="Girder",A14="Girders",A14="Joist",A14="Joists",A14="Bridging")</formula>
    </cfRule>
    <cfRule type="expression" dxfId="564" priority="3">
      <formula>AND(P14&gt;0,ISBLANK(AF14),OR($R$1="",$R$1="M"))</formula>
    </cfRule>
    <cfRule type="expression" dxfId="563" priority="9">
      <formula>$AH14</formula>
    </cfRule>
  </conditionalFormatting>
  <conditionalFormatting sqref="H2:J4">
    <cfRule type="cellIs" dxfId="562" priority="7" stopIfTrue="1" operator="equal">
      <formula>""</formula>
    </cfRule>
  </conditionalFormatting>
  <conditionalFormatting sqref="B14:O49">
    <cfRule type="expression" dxfId="561" priority="4">
      <formula>IF($R$1="M",AND(B14&gt;R14,R14&gt;0),B14&lt;R14)</formula>
    </cfRule>
    <cfRule type="expression" dxfId="560" priority="5">
      <formula>OR(AND($R$1="M",NOT($S$1),B14=R14),B14="-")</formula>
    </cfRule>
    <cfRule type="expression" dxfId="559" priority="6">
      <formula>IF(NOT(ISBLANK($R$1)),IF($R$1="M",IF(ISTEXT(B14),0,B14)&lt;R14,IF(ISTEXT(B14),0,B14)&gt;R14))</formula>
    </cfRule>
    <cfRule type="expression" dxfId="558" priority="8">
      <formula>OR($AH14,B$63)</formula>
    </cfRule>
  </conditionalFormatting>
  <conditionalFormatting sqref="B13:O13">
    <cfRule type="expression" dxfId="557" priority="1">
      <formula>AND(NOT(ISBLANK(B$13)),ISERROR(MATCH(B$13,$AK:$AK,0)))</formula>
    </cfRule>
    <cfRule type="expression" dxfId="5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1501</v>
      </c>
      <c r="B15" s="2738" t="s">
        <v>1401</v>
      </c>
      <c r="C15" s="2739">
        <v>1</v>
      </c>
      <c r="D15" s="2739" t="s">
        <v>1401</v>
      </c>
      <c r="E15" s="2739" t="s">
        <v>1401</v>
      </c>
      <c r="F15" s="2739"/>
      <c r="G15" s="2739"/>
      <c r="H15" s="2739"/>
      <c r="I15" s="2739"/>
      <c r="J15" s="2739"/>
      <c r="K15" s="2739"/>
      <c r="L15" s="2739"/>
      <c r="M15" s="2739"/>
      <c r="N15" s="2739"/>
      <c r="O15" s="2740"/>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1502</v>
      </c>
      <c r="B16" s="2738" t="s">
        <v>1401</v>
      </c>
      <c r="C16" s="2739" t="s">
        <v>1401</v>
      </c>
      <c r="D16" s="2739">
        <v>2</v>
      </c>
      <c r="E16" s="2739" t="s">
        <v>1401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1503</v>
      </c>
      <c r="B17" s="2738" t="s">
        <v>1401</v>
      </c>
      <c r="C17" s="2739">
        <v>1</v>
      </c>
      <c r="D17" s="2739" t="s">
        <v>1401</v>
      </c>
      <c r="E17" s="2739" t="s">
        <v>1401</v>
      </c>
      <c r="F17" s="2739"/>
      <c r="G17" s="2739"/>
      <c r="H17" s="2739"/>
      <c r="I17" s="2739"/>
      <c r="J17" s="2739"/>
      <c r="K17" s="2739"/>
      <c r="L17" s="2739"/>
      <c r="M17" s="2739"/>
      <c r="N17" s="2739"/>
      <c r="O17" s="2740"/>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c r="B18" s="2738"/>
      <c r="C18" s="2739"/>
      <c r="D18" s="2739"/>
      <c r="E18" s="2739"/>
      <c r="F18" s="2739"/>
      <c r="G18" s="2739"/>
      <c r="H18" s="2739"/>
      <c r="I18" s="2739"/>
      <c r="J18" s="2739"/>
      <c r="K18" s="2739"/>
      <c r="L18" s="2739"/>
      <c r="M18" s="2739"/>
      <c r="N18" s="2739"/>
      <c r="O18" s="2740"/>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2669" t="s">
        <v>1504</v>
      </c>
      <c r="B19" s="2738"/>
      <c r="C19" s="2739"/>
      <c r="D19" s="2739"/>
      <c r="E19" s="2739"/>
      <c r="F19" s="2739"/>
      <c r="G19" s="2739"/>
      <c r="H19" s="2739"/>
      <c r="I19" s="2739"/>
      <c r="J19" s="2739"/>
      <c r="K19" s="2739"/>
      <c r="L19" s="2739"/>
      <c r="M19" s="2739"/>
      <c r="N19" s="2739"/>
      <c r="O19" s="2740"/>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2669" t="s">
        <v>1505</v>
      </c>
      <c r="B20" s="2738">
        <v>12</v>
      </c>
      <c r="C20" s="2739">
        <v>295</v>
      </c>
      <c r="D20" s="2739">
        <v>308</v>
      </c>
      <c r="E20" s="2739">
        <v>306</v>
      </c>
      <c r="F20" s="2739"/>
      <c r="G20" s="2739"/>
      <c r="H20" s="2739"/>
      <c r="I20" s="2739"/>
      <c r="J20" s="2739"/>
      <c r="K20" s="2739"/>
      <c r="L20" s="2739"/>
      <c r="M20" s="2739"/>
      <c r="N20" s="2739"/>
      <c r="O20" s="2740"/>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2669"/>
      <c r="B21" s="2738"/>
      <c r="C21" s="2739"/>
      <c r="D21" s="2739"/>
      <c r="E21" s="2739"/>
      <c r="F21" s="2739"/>
      <c r="G21" s="2739"/>
      <c r="H21" s="2739"/>
      <c r="I21" s="2739"/>
      <c r="J21" s="2739"/>
      <c r="K21" s="2739"/>
      <c r="L21" s="2739"/>
      <c r="M21" s="2739"/>
      <c r="N21" s="2739"/>
      <c r="O21" s="2740"/>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2669" t="s">
        <v>1506</v>
      </c>
      <c r="B22" s="2738" t="s">
        <v>1401</v>
      </c>
      <c r="C22" s="2739">
        <v>32</v>
      </c>
      <c r="D22" s="2739">
        <v>32</v>
      </c>
      <c r="E22" s="2739" t="s">
        <v>1401</v>
      </c>
      <c r="F22" s="2739"/>
      <c r="G22" s="2739"/>
      <c r="H22" s="2739"/>
      <c r="I22" s="2739"/>
      <c r="J22" s="2739"/>
      <c r="K22" s="2739"/>
      <c r="L22" s="2739"/>
      <c r="M22" s="2739"/>
      <c r="N22" s="2739"/>
      <c r="O22" s="2740"/>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2669" t="s">
        <v>1507</v>
      </c>
      <c r="B23" s="2738" t="s">
        <v>1401</v>
      </c>
      <c r="C23" s="2739">
        <v>4</v>
      </c>
      <c r="D23" s="2739">
        <v>4</v>
      </c>
      <c r="E23" s="2739" t="s">
        <v>1401</v>
      </c>
      <c r="F23" s="2739"/>
      <c r="G23" s="2739"/>
      <c r="H23" s="2739"/>
      <c r="I23" s="2739"/>
      <c r="J23" s="2739"/>
      <c r="K23" s="2739"/>
      <c r="L23" s="2739"/>
      <c r="M23" s="2739"/>
      <c r="N23" s="2739"/>
      <c r="O23" s="2740"/>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2669"/>
      <c r="B24" s="2738"/>
      <c r="C24" s="2739"/>
      <c r="D24" s="2739"/>
      <c r="E24" s="2739"/>
      <c r="F24" s="2739"/>
      <c r="G24" s="2739"/>
      <c r="H24" s="2739"/>
      <c r="I24" s="2739"/>
      <c r="J24" s="2739"/>
      <c r="K24" s="2739"/>
      <c r="L24" s="2739"/>
      <c r="M24" s="2739"/>
      <c r="N24" s="2739"/>
      <c r="O24" s="2740"/>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2669" t="s">
        <v>1508</v>
      </c>
      <c r="B25" s="2738" t="s">
        <v>1401</v>
      </c>
      <c r="C25" s="2739">
        <v>4</v>
      </c>
      <c r="D25" s="2739" t="s">
        <v>1401</v>
      </c>
      <c r="E25" s="2739">
        <v>4</v>
      </c>
      <c r="F25" s="2739"/>
      <c r="G25" s="2739"/>
      <c r="H25" s="2739"/>
      <c r="I25" s="2739"/>
      <c r="J25" s="2739"/>
      <c r="K25" s="2739"/>
      <c r="L25" s="2739"/>
      <c r="M25" s="2739"/>
      <c r="N25" s="2739"/>
      <c r="O25" s="2740"/>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2669" t="s">
        <v>1509</v>
      </c>
      <c r="B26" s="2738" t="s">
        <v>1401</v>
      </c>
      <c r="C26" s="2739">
        <v>6</v>
      </c>
      <c r="D26" s="2739" t="s">
        <v>1401</v>
      </c>
      <c r="E26" s="2739">
        <v>6</v>
      </c>
      <c r="F26" s="2739"/>
      <c r="G26" s="2739"/>
      <c r="H26" s="2739"/>
      <c r="I26" s="2739"/>
      <c r="J26" s="2739"/>
      <c r="K26" s="2739"/>
      <c r="L26" s="2739"/>
      <c r="M26" s="2739"/>
      <c r="N26" s="2739"/>
      <c r="O26" s="2740"/>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2669"/>
      <c r="B27" s="2738"/>
      <c r="C27" s="2739"/>
      <c r="D27" s="2739"/>
      <c r="E27" s="2739"/>
      <c r="F27" s="2739"/>
      <c r="G27" s="2739"/>
      <c r="H27" s="2739"/>
      <c r="I27" s="2739"/>
      <c r="J27" s="2739"/>
      <c r="K27" s="2739"/>
      <c r="L27" s="2739"/>
      <c r="M27" s="2739"/>
      <c r="N27" s="2739"/>
      <c r="O27" s="2740"/>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2669" t="s">
        <v>1510</v>
      </c>
      <c r="B28" s="2738" t="s">
        <v>1401</v>
      </c>
      <c r="C28" s="2739">
        <v>136</v>
      </c>
      <c r="D28" s="2739">
        <v>136</v>
      </c>
      <c r="E28" s="2739">
        <v>136</v>
      </c>
      <c r="F28" s="2739"/>
      <c r="G28" s="2739"/>
      <c r="H28" s="2739"/>
      <c r="I28" s="2739"/>
      <c r="J28" s="2739"/>
      <c r="K28" s="2739"/>
      <c r="L28" s="2739"/>
      <c r="M28" s="2739"/>
      <c r="N28" s="2739"/>
      <c r="O28" s="2740"/>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2669" t="s">
        <v>1511</v>
      </c>
      <c r="B29" s="2738" t="s">
        <v>1401</v>
      </c>
      <c r="C29" s="2739">
        <v>4</v>
      </c>
      <c r="D29" s="2739">
        <v>4</v>
      </c>
      <c r="E29" s="2739" t="s">
        <v>1401</v>
      </c>
      <c r="F29" s="2739"/>
      <c r="G29" s="2739"/>
      <c r="H29" s="2739"/>
      <c r="I29" s="2739"/>
      <c r="J29" s="2739"/>
      <c r="K29" s="2739"/>
      <c r="L29" s="2739"/>
      <c r="M29" s="2739"/>
      <c r="N29" s="2739"/>
      <c r="O29" s="2740"/>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2669" t="s">
        <v>1512</v>
      </c>
      <c r="B30" s="2738" t="s">
        <v>1401</v>
      </c>
      <c r="C30" s="2739">
        <v>204</v>
      </c>
      <c r="D30" s="2739">
        <v>204</v>
      </c>
      <c r="E30" s="2739">
        <v>204</v>
      </c>
      <c r="F30" s="2739"/>
      <c r="G30" s="2739"/>
      <c r="H30" s="2739"/>
      <c r="I30" s="2739"/>
      <c r="J30" s="2739"/>
      <c r="K30" s="2739"/>
      <c r="L30" s="2739"/>
      <c r="M30" s="2739"/>
      <c r="N30" s="2739"/>
      <c r="O30" s="2740"/>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2669" t="s">
        <v>1513</v>
      </c>
      <c r="B31" s="2738" t="s">
        <v>1401</v>
      </c>
      <c r="C31" s="2739" t="s">
        <v>1401</v>
      </c>
      <c r="D31" s="2739">
        <v>6</v>
      </c>
      <c r="E31" s="2739">
        <v>6</v>
      </c>
      <c r="F31" s="2739"/>
      <c r="G31" s="2739"/>
      <c r="H31" s="2739"/>
      <c r="I31" s="2739"/>
      <c r="J31" s="2739"/>
      <c r="K31" s="2739"/>
      <c r="L31" s="2739"/>
      <c r="M31" s="2739"/>
      <c r="N31" s="2739"/>
      <c r="O31" s="2740"/>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2669" t="s">
        <v>1514</v>
      </c>
      <c r="B32" s="2738" t="s">
        <v>1401</v>
      </c>
      <c r="C32" s="2739">
        <v>6</v>
      </c>
      <c r="D32" s="2739">
        <v>6</v>
      </c>
      <c r="E32" s="2739" t="s">
        <v>1401</v>
      </c>
      <c r="F32" s="2739"/>
      <c r="G32" s="2739"/>
      <c r="H32" s="2739"/>
      <c r="I32" s="2739"/>
      <c r="J32" s="2739"/>
      <c r="K32" s="2739"/>
      <c r="L32" s="2739"/>
      <c r="M32" s="2739"/>
      <c r="N32" s="2739"/>
      <c r="O32" s="2740"/>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2669"/>
      <c r="B33" s="2738"/>
      <c r="C33" s="2739"/>
      <c r="D33" s="2739"/>
      <c r="E33" s="2739"/>
      <c r="F33" s="2739"/>
      <c r="G33" s="2739"/>
      <c r="H33" s="2739"/>
      <c r="I33" s="2739"/>
      <c r="J33" s="2739"/>
      <c r="K33" s="2739"/>
      <c r="L33" s="2739"/>
      <c r="M33" s="2739"/>
      <c r="N33" s="2739"/>
      <c r="O33" s="2740"/>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2669"/>
      <c r="B34" s="2738"/>
      <c r="C34" s="2739"/>
      <c r="D34" s="2739"/>
      <c r="E34" s="2739"/>
      <c r="F34" s="2739"/>
      <c r="G34" s="2739"/>
      <c r="H34" s="2739"/>
      <c r="I34" s="2739"/>
      <c r="J34" s="2739"/>
      <c r="K34" s="2739"/>
      <c r="L34" s="2739"/>
      <c r="M34" s="2739"/>
      <c r="N34" s="2739"/>
      <c r="O34" s="2740"/>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2669"/>
      <c r="B35" s="2738"/>
      <c r="C35" s="2739"/>
      <c r="D35" s="2739"/>
      <c r="E35" s="2739"/>
      <c r="F35" s="2739"/>
      <c r="G35" s="2739"/>
      <c r="H35" s="2739"/>
      <c r="I35" s="2739"/>
      <c r="J35" s="2739"/>
      <c r="K35" s="2739"/>
      <c r="L35" s="2739"/>
      <c r="M35" s="2739"/>
      <c r="N35" s="2739"/>
      <c r="O35" s="2740"/>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2669"/>
      <c r="B36" s="2738"/>
      <c r="C36" s="2739"/>
      <c r="D36" s="2739"/>
      <c r="E36" s="2739"/>
      <c r="F36" s="2739"/>
      <c r="G36" s="2739"/>
      <c r="H36" s="2739"/>
      <c r="I36" s="2739"/>
      <c r="J36" s="2739"/>
      <c r="K36" s="2739"/>
      <c r="L36" s="2739"/>
      <c r="M36" s="2739"/>
      <c r="N36" s="2739"/>
      <c r="O36" s="2740"/>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2669"/>
      <c r="B37" s="2738"/>
      <c r="C37" s="2739"/>
      <c r="D37" s="2739"/>
      <c r="E37" s="2739"/>
      <c r="F37" s="2739"/>
      <c r="G37" s="2739"/>
      <c r="H37" s="2739"/>
      <c r="I37" s="2739"/>
      <c r="J37" s="2739"/>
      <c r="K37" s="2739"/>
      <c r="L37" s="2739"/>
      <c r="M37" s="2739"/>
      <c r="N37" s="2739"/>
      <c r="O37" s="2740"/>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2669"/>
      <c r="B38" s="2738"/>
      <c r="C38" s="2739"/>
      <c r="D38" s="2739"/>
      <c r="E38" s="2739"/>
      <c r="F38" s="2739"/>
      <c r="G38" s="2739"/>
      <c r="H38" s="2739"/>
      <c r="I38" s="2739"/>
      <c r="J38" s="2739"/>
      <c r="K38" s="2739"/>
      <c r="L38" s="2739"/>
      <c r="M38" s="2739"/>
      <c r="N38" s="2739"/>
      <c r="O38" s="2740"/>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2669"/>
      <c r="B39" s="2738"/>
      <c r="C39" s="2739"/>
      <c r="D39" s="2739"/>
      <c r="E39" s="2739"/>
      <c r="F39" s="2739"/>
      <c r="G39" s="2739"/>
      <c r="H39" s="2739"/>
      <c r="I39" s="2739"/>
      <c r="J39" s="2739"/>
      <c r="K39" s="2739"/>
      <c r="L39" s="2739"/>
      <c r="M39" s="2739"/>
      <c r="N39" s="2739"/>
      <c r="O39" s="2740"/>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2669"/>
      <c r="B40" s="2738"/>
      <c r="C40" s="2739"/>
      <c r="D40" s="2739"/>
      <c r="E40" s="2739"/>
      <c r="F40" s="2739"/>
      <c r="G40" s="2739"/>
      <c r="H40" s="2739"/>
      <c r="I40" s="2739"/>
      <c r="J40" s="2739"/>
      <c r="K40" s="2739"/>
      <c r="L40" s="2739"/>
      <c r="M40" s="2739"/>
      <c r="N40" s="2739"/>
      <c r="O40" s="2740"/>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2669"/>
      <c r="B41" s="2738"/>
      <c r="C41" s="2739"/>
      <c r="D41" s="2739"/>
      <c r="E41" s="2739"/>
      <c r="F41" s="2739"/>
      <c r="G41" s="2739"/>
      <c r="H41" s="2739"/>
      <c r="I41" s="2739"/>
      <c r="J41" s="2739"/>
      <c r="K41" s="2739"/>
      <c r="L41" s="2739"/>
      <c r="M41" s="2739"/>
      <c r="N41" s="2739"/>
      <c r="O41" s="2740"/>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2669"/>
      <c r="B42" s="2738"/>
      <c r="C42" s="2739"/>
      <c r="D42" s="2739"/>
      <c r="E42" s="2739"/>
      <c r="F42" s="2739"/>
      <c r="G42" s="2739"/>
      <c r="H42" s="2739"/>
      <c r="I42" s="2739"/>
      <c r="J42" s="2739"/>
      <c r="K42" s="2739"/>
      <c r="L42" s="2739"/>
      <c r="M42" s="2739"/>
      <c r="N42" s="2739"/>
      <c r="O42" s="2740"/>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2669"/>
      <c r="B43" s="2738"/>
      <c r="C43" s="2739"/>
      <c r="D43" s="2739"/>
      <c r="E43" s="2739"/>
      <c r="F43" s="2739"/>
      <c r="G43" s="2739"/>
      <c r="H43" s="2739"/>
      <c r="I43" s="2739"/>
      <c r="J43" s="2739"/>
      <c r="K43" s="2739"/>
      <c r="L43" s="2739"/>
      <c r="M43" s="2739"/>
      <c r="N43" s="2739"/>
      <c r="O43" s="2740"/>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2669"/>
      <c r="B44" s="2738"/>
      <c r="C44" s="2739"/>
      <c r="D44" s="2739"/>
      <c r="E44" s="2739"/>
      <c r="F44" s="2739"/>
      <c r="G44" s="2739"/>
      <c r="H44" s="2739"/>
      <c r="I44" s="2739"/>
      <c r="J44" s="2739"/>
      <c r="K44" s="2739"/>
      <c r="L44" s="2739"/>
      <c r="M44" s="2739"/>
      <c r="N44" s="2739"/>
      <c r="O44" s="2740"/>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669"/>
      <c r="B45" s="2738"/>
      <c r="C45" s="2739"/>
      <c r="D45" s="2739"/>
      <c r="E45" s="2739"/>
      <c r="F45" s="2739"/>
      <c r="G45" s="2739"/>
      <c r="H45" s="2739"/>
      <c r="I45" s="2739"/>
      <c r="J45" s="2739"/>
      <c r="K45" s="2739"/>
      <c r="L45" s="2739"/>
      <c r="M45" s="2739"/>
      <c r="N45" s="2739"/>
      <c r="O45" s="2740"/>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669"/>
      <c r="B46" s="2738"/>
      <c r="C46" s="2739"/>
      <c r="D46" s="2739"/>
      <c r="E46" s="2739"/>
      <c r="F46" s="2739"/>
      <c r="G46" s="2739"/>
      <c r="H46" s="2739"/>
      <c r="I46" s="2739"/>
      <c r="J46" s="2739"/>
      <c r="K46" s="2739"/>
      <c r="L46" s="2739"/>
      <c r="M46" s="2739"/>
      <c r="N46" s="2739"/>
      <c r="O46" s="2740"/>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669"/>
      <c r="B47" s="2738"/>
      <c r="C47" s="2739"/>
      <c r="D47" s="2739"/>
      <c r="E47" s="2739"/>
      <c r="F47" s="2739"/>
      <c r="G47" s="2739"/>
      <c r="H47" s="2739"/>
      <c r="I47" s="2739"/>
      <c r="J47" s="2739"/>
      <c r="K47" s="2739"/>
      <c r="L47" s="2739"/>
      <c r="M47" s="2739"/>
      <c r="N47" s="2739"/>
      <c r="O47" s="2740"/>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669"/>
      <c r="B48" s="2738"/>
      <c r="C48" s="2739"/>
      <c r="D48" s="2739"/>
      <c r="E48" s="2739"/>
      <c r="F48" s="2739"/>
      <c r="G48" s="2739"/>
      <c r="H48" s="2739"/>
      <c r="I48" s="2739"/>
      <c r="J48" s="2739"/>
      <c r="K48" s="2739"/>
      <c r="L48" s="2739"/>
      <c r="M48" s="2739"/>
      <c r="N48" s="2739"/>
      <c r="O48" s="2740"/>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676"/>
      <c r="B49" s="2741"/>
      <c r="C49" s="2742"/>
      <c r="D49" s="2742"/>
      <c r="E49" s="2742"/>
      <c r="F49" s="2742"/>
      <c r="G49" s="2742"/>
      <c r="H49" s="2742"/>
      <c r="I49" s="2742"/>
      <c r="J49" s="2742"/>
      <c r="K49" s="2742"/>
      <c r="L49" s="2742"/>
      <c r="M49" s="2742"/>
      <c r="N49" s="2742"/>
      <c r="O49" s="2743"/>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fL40SnhfMddNPry1AvxmmtlumxzpEvue2R+hgjyWni0ph1W34Gx/njD1tthwBY3kgsS78OB+eY41eDR0LttmoQ==" saltValue="aVDcTZL3VsVpFGLn25DPQ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55" priority="2">
      <formula>OR(A14="Girder",A14="Girders",A14="Joist",A14="Joists",A14="Bridging")</formula>
    </cfRule>
    <cfRule type="expression" dxfId="554" priority="3">
      <formula>AND(P14&gt;0,ISBLANK(AF14),OR($R$1="",$R$1="M"))</formula>
    </cfRule>
    <cfRule type="expression" dxfId="553" priority="9">
      <formula>$AH14</formula>
    </cfRule>
  </conditionalFormatting>
  <conditionalFormatting sqref="H2:J4">
    <cfRule type="cellIs" dxfId="552" priority="7" stopIfTrue="1" operator="equal">
      <formula>""</formula>
    </cfRule>
  </conditionalFormatting>
  <conditionalFormatting sqref="B14:O49">
    <cfRule type="expression" dxfId="551" priority="4">
      <formula>IF($R$1="M",AND(B14&gt;R14,R14&gt;0),B14&lt;R14)</formula>
    </cfRule>
    <cfRule type="expression" dxfId="550" priority="5">
      <formula>OR(AND($R$1="M",NOT($S$1),B14=R14),B14="-")</formula>
    </cfRule>
    <cfRule type="expression" dxfId="549" priority="6">
      <formula>IF(NOT(ISBLANK($R$1)),IF($R$1="M",IF(ISTEXT(B14),0,B14)&lt;R14,IF(ISTEXT(B14),0,B14)&gt;R14))</formula>
    </cfRule>
    <cfRule type="expression" dxfId="548" priority="8">
      <formula>OR($AH14,B$63)</formula>
    </cfRule>
  </conditionalFormatting>
  <conditionalFormatting sqref="B13:O13">
    <cfRule type="expression" dxfId="547" priority="1">
      <formula>AND(NOT(ISBLANK(B$13)),ISERROR(MATCH(B$13,$AK:$AK,0)))</formula>
    </cfRule>
    <cfRule type="expression" dxfId="54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C183110-6BB4-4ECE-B234-39BA629F8718}" mc:Ignorable="x14ac xr xr2 xr3">
  <x:sheetPr codeName="Sheet29">
    <x:tabColor indexed="42"/>
  </x:sheetPr>
  <x:dimension ref="A1:JP92"/>
  <x:sheetViews>
    <x:sheetView showGridLines="0" zoomScaleNormal="100" zoomScaleSheetLayoutView="50" workbookViewId="0">
      <x:selection activeCell="GA43" sqref="GA43"/>
    </x:sheetView>
  </x:sheetViews>
  <x:sheetFormatPr defaultColWidth="0" defaultRowHeight="12.75" x14ac:dyDescent="0.2"/>
  <x:cols>
    <x:col min="1" max="1" width="5.7109375" style="130" customWidth="1"/>
    <x:col min="2" max="2" width="4.28515625" style="130" customWidth="1"/>
    <x:col min="3" max="3" width="15.28515625" style="130" customWidth="1"/>
    <x:col min="4" max="4" width="3.7109375" style="130" customWidth="1"/>
    <x:col min="5" max="5" width="4.42578125" style="130" customWidth="1"/>
    <x:col min="6" max="6" width="4.7109375" style="130" customWidth="1"/>
    <x:col min="7" max="7" width="3" style="130" customWidth="1"/>
    <x:col min="8" max="8" width="4.42578125" style="130" customWidth="1"/>
    <x:col min="9" max="10" width="3" style="130" customWidth="1"/>
    <x:col min="11" max="11" width="4.42578125" style="130" customWidth="1"/>
    <x:col min="12" max="12" width="3" style="130" customWidth="1"/>
    <x:col min="13" max="14" width="4.28515625" style="130" customWidth="1"/>
    <x:col min="15" max="15" width="3.28515625" style="130" customWidth="1"/>
    <x:col min="16" max="16" width="5" style="130" customWidth="1"/>
    <x:col min="17" max="17" width="3.28515625" style="130" customWidth="1"/>
    <x:col min="18" max="18" width="5" style="130" customWidth="1"/>
    <x:col min="19" max="19" width="2.85546875" style="130" customWidth="1"/>
    <x:col min="20" max="20" width="4.42578125" style="130" customWidth="1"/>
    <x:col min="21" max="21" width="2.85546875" style="130" customWidth="1"/>
    <x:col min="22" max="22" width="4.42578125" style="130" customWidth="1"/>
    <x:col min="23" max="23" width="4.28515625" style="130" customWidth="1"/>
    <x:col min="24" max="25" width="4.7109375" style="130" customWidth="1"/>
    <x:col min="26" max="26" width="18.5703125" style="130" customWidth="1"/>
    <x:col min="27" max="27" width="4" style="130" customWidth="1"/>
    <x:col min="28" max="28" width="5.7109375" style="130" customWidth="1"/>
    <x:col min="29" max="29" width="3.28515625" style="130" customWidth="1"/>
    <x:col min="30" max="30" width="3" style="130" customWidth="1"/>
    <x:col min="31" max="31" width="4.42578125" style="130" customWidth="1"/>
    <x:col min="32" max="32" width="3.42578125" style="130" customWidth="1"/>
    <x:col min="33" max="33" width="3" style="130" customWidth="1"/>
    <x:col min="34" max="34" width="4.42578125" style="130" customWidth="1"/>
    <x:col min="35" max="35" width="3" style="130" customWidth="1"/>
    <x:col min="36" max="37" width="4.42578125" style="130" customWidth="1"/>
    <x:col min="38" max="38" width="5" style="130" customWidth="1"/>
    <x:col min="39" max="39" width="4.42578125" style="130" customWidth="1"/>
    <x:col min="40" max="40" width="5.28515625" style="130" customWidth="1"/>
    <x:col min="41" max="43" width="4.42578125" style="130" customWidth="1"/>
    <x:col min="44" max="44" width="3.7109375" style="130" customWidth="1"/>
    <x:col min="45" max="47" width="4.42578125" style="130" customWidth="1"/>
    <x:col min="48" max="48" width="3.7109375" style="130" customWidth="1"/>
    <x:col min="49" max="51" width="4.42578125" style="130" customWidth="1"/>
    <x:col min="52" max="52" width="3.7109375" style="130" customWidth="1"/>
    <x:col min="53" max="55" width="4.42578125" style="130" customWidth="1"/>
    <x:col min="56" max="56" width="3.7109375" style="130" customWidth="1"/>
    <x:col min="57" max="59" width="4.42578125" style="130" customWidth="1"/>
    <x:col min="60" max="60" width="4.7109375" style="258" customWidth="1"/>
    <x:col min="61" max="61" width="5.7109375" style="130" hidden="1" customWidth="1"/>
    <x:col min="62" max="63" width="6.7109375" style="130" hidden="1" customWidth="1"/>
    <x:col min="64" max="64" width="10.5703125" style="130" hidden="1" customWidth="1"/>
    <x:col min="65" max="65" width="12.140625" style="130" hidden="1" customWidth="1"/>
    <x:col min="66" max="67" width="7.140625" style="130" hidden="1" customWidth="1"/>
    <x:col min="68" max="68" width="10.5703125" style="130" hidden="1" customWidth="1"/>
    <x:col min="69" max="69" width="8.42578125" style="130" hidden="1" customWidth="1"/>
    <x:col min="70" max="70" width="15.7109375" style="130" hidden="1" customWidth="1"/>
    <x:col min="71" max="71" width="3.7109375" style="130" hidden="1" customWidth="1"/>
    <x:col min="72" max="72" width="6.7109375" style="130" hidden="1" customWidth="1"/>
    <x:col min="73" max="73" width="3.7109375" style="130" hidden="1" customWidth="1"/>
    <x:col min="74" max="78" width="6.7109375" style="130" hidden="1" customWidth="1"/>
    <x:col min="79" max="79" width="5.7109375" style="130" customWidth="1"/>
    <x:col min="80" max="80" width="6.7109375" style="130" hidden="1" customWidth="1"/>
    <x:col min="81" max="81" width="4.7109375" style="130" hidden="1" customWidth="1"/>
    <x:col min="82" max="82" width="15.7109375" style="130" hidden="1" customWidth="1"/>
    <x:col min="83" max="83" width="4.7109375" style="130" hidden="1" customWidth="1"/>
    <x:col min="84" max="84" width="5.7109375" style="130" hidden="1" customWidth="1"/>
    <x:col min="85" max="85" width="3.7109375" style="130" hidden="1" customWidth="1"/>
    <x:col min="86" max="89" width="5.28515625" style="130" hidden="1" customWidth="1"/>
    <x:col min="90" max="90" width="4.7109375" style="130" hidden="1" customWidth="1"/>
    <x:col min="91" max="91" width="5.7109375" style="130" hidden="1" customWidth="1"/>
    <x:col min="92" max="93" width="6" style="130" hidden="1" customWidth="1"/>
    <x:col min="94" max="94" width="4.7109375" style="130" hidden="1" customWidth="1"/>
    <x:col min="95" max="95" width="3.7109375" style="130" hidden="1" customWidth="1"/>
    <x:col min="96" max="99" width="5.28515625" style="130" hidden="1" customWidth="1"/>
    <x:col min="100" max="100" width="4.7109375" style="130" hidden="1" customWidth="1"/>
    <x:col min="101" max="101" width="5.7109375" style="130" hidden="1" customWidth="1"/>
    <x:col min="102" max="103" width="6" style="130" hidden="1" customWidth="1"/>
    <x:col min="104" max="104" width="4.7109375" style="130" hidden="1" customWidth="1"/>
    <x:col min="105" max="105" width="5.7109375" style="130" hidden="1" customWidth="1"/>
    <x:col min="106" max="106" width="15.7109375" style="130" hidden="1" customWidth="1"/>
    <x:col min="107" max="107" width="22.28515625" style="130" hidden="1" customWidth="1"/>
    <x:col min="108" max="109" width="4.7109375" style="130" hidden="1" customWidth="1"/>
    <x:col min="110" max="111" width="1.7109375" style="130" hidden="1" customWidth="1"/>
    <x:col min="112" max="112" width="5.7109375" style="130" hidden="1" customWidth="1"/>
    <x:col min="113" max="113" width="4.7109375" style="130" hidden="1" customWidth="1"/>
    <x:col min="114" max="114" width="3.7109375" style="130" hidden="1" customWidth="1"/>
    <x:col min="115" max="115" width="5.7109375" style="130" hidden="1" customWidth="1"/>
    <x:col min="116" max="116" width="2.7109375" style="130" hidden="1" customWidth="1"/>
    <x:col min="117" max="117" width="3.7109375" style="130" hidden="1" customWidth="1"/>
    <x:col min="118" max="118" width="5.7109375" style="130" hidden="1" customWidth="1"/>
    <x:col min="119" max="119" width="3.7109375" style="130" hidden="1" customWidth="1"/>
    <x:col min="120" max="120" width="4.7109375" style="130" hidden="1" customWidth="1"/>
    <x:col min="121" max="121" width="5.28515625" style="130" hidden="1" customWidth="1"/>
    <x:col min="122" max="125" width="4.28515625" style="130" hidden="1" customWidth="1"/>
    <x:col min="126" max="126" width="4.7109375" style="130" hidden="1" customWidth="1"/>
    <x:col min="127" max="127" width="5.7109375" style="130" hidden="1" customWidth="1"/>
    <x:col min="128" max="128" width="3.7109375" style="130" hidden="1" customWidth="1"/>
    <x:col min="129" max="129" width="3" style="130" hidden="1" customWidth="1"/>
    <x:col min="130" max="130" width="4.7109375" style="130" hidden="1" customWidth="1"/>
    <x:col min="131" max="131" width="5.7109375" style="130" hidden="1" customWidth="1"/>
    <x:col min="132" max="132" width="3.7109375" style="130" hidden="1" customWidth="1"/>
    <x:col min="133" max="133" width="3" style="130" hidden="1" customWidth="1"/>
    <x:col min="134" max="134" width="4.7109375" style="130" hidden="1" customWidth="1"/>
    <x:col min="135" max="135" width="5.7109375" style="130" hidden="1" customWidth="1"/>
    <x:col min="136" max="136" width="3.7109375" style="130" hidden="1" customWidth="1"/>
    <x:col min="137" max="137" width="3" style="130" hidden="1" customWidth="1"/>
    <x:col min="138" max="138" width="4.7109375" style="130" hidden="1" customWidth="1"/>
    <x:col min="139" max="139" width="5.7109375" style="130" hidden="1" customWidth="1"/>
    <x:col min="140" max="140" width="3.7109375" style="130" hidden="1" customWidth="1"/>
    <x:col min="141" max="141" width="3" style="130" hidden="1" customWidth="1"/>
    <x:col min="142" max="142" width="2.28515625" style="130" hidden="1" customWidth="1"/>
    <x:col min="143" max="143" width="6.7109375" style="130" hidden="1" customWidth="1"/>
    <x:col min="144" max="144" width="8.7109375" style="140" hidden="1" customWidth="1"/>
    <x:col min="145" max="145" width="8.7109375" style="130" hidden="1" customWidth="1"/>
    <x:col min="146" max="146" width="10.7109375" style="130" hidden="1" customWidth="1"/>
    <x:col min="147" max="147" width="6.7109375" style="130" hidden="1" customWidth="1"/>
    <x:col min="148" max="149" width="5.42578125" style="130" hidden="1" customWidth="1"/>
    <x:col min="150" max="151" width="4.28515625" style="130" hidden="1" customWidth="1"/>
    <x:col min="152" max="152" width="6.7109375" style="130" customWidth="1"/>
    <x:col min="153" max="177" width="8.7109375" style="130" hidden="1" customWidth="1"/>
    <x:col min="178" max="178" width="6.7109375" style="130" hidden="1" customWidth="1"/>
    <x:col min="179" max="181" width="8.7109375" style="130" hidden="1" customWidth="1"/>
    <x:col min="182" max="182" width="4.7109375" style="130" customWidth="1"/>
    <x:col min="183" max="183" width="5.28515625" style="130" customWidth="1"/>
    <x:col min="184" max="184" width="6.28515625" style="130" customWidth="1"/>
    <x:col min="185" max="187" width="8.7109375" style="130" customWidth="1"/>
    <x:col min="188" max="188" width="5.7109375" style="130" customWidth="1"/>
    <x:col min="189" max="189" width="5.28515625" style="130" customWidth="1"/>
    <x:col min="190" max="190" width="6.28515625" style="130" customWidth="1"/>
    <x:col min="191" max="191" width="5.28515625" style="130" hidden="1" customWidth="1"/>
    <x:col min="192" max="192" width="6.28515625" style="130" hidden="1" customWidth="1"/>
    <x:col min="193" max="195" width="8.7109375" style="130" hidden="1" customWidth="1"/>
    <x:col min="196" max="196" width="4.7109375" style="130" customWidth="1"/>
    <x:col min="197" max="198" width="8.7109375" style="130" hidden="1" customWidth="1"/>
    <x:col min="199" max="199" width="6.7109375" style="130" hidden="1" customWidth="1"/>
    <x:col min="200" max="206" width="8.7109375" style="130" hidden="1" customWidth="1"/>
    <x:col min="207" max="207" width="8.7109375" style="130" customWidth="1"/>
    <x:col min="208" max="208" width="8.7109375" style="130" hidden="1" customWidth="1"/>
    <x:col min="209" max="210" width="8.7109375" style="140" hidden="1" customWidth="1"/>
    <x:col min="211" max="211" width="12.7109375" style="140" hidden="1" customWidth="1"/>
    <x:col min="212" max="212" width="8.7109375" style="131" hidden="1" customWidth="1"/>
    <x:col min="213" max="213" width="8.7109375" style="132" hidden="1" customWidth="1"/>
    <x:col min="214" max="237" width="8.7109375" style="140" hidden="1" customWidth="1"/>
    <x:col min="238" max="260" width="8.7109375" style="130" hidden="1" customWidth="1"/>
    <x:col min="261" max="273" width="6.7109375" style="130" hidden="1" customWidth="1"/>
    <x:col min="274" max="274" width="8.7109375" style="130" hidden="1" customWidth="1"/>
    <x:col min="275" max="275" width="6.7109375" style="130" hidden="1" customWidth="1"/>
    <x:col min="276" max="706" width="6.7109375" style="130" customWidth="1"/>
    <x:col min="707" max="707" width="0" style="130" hidden="1" customWidth="1"/>
    <x:col min="708" max="16384" width="0" style="130" hidden="1"/>
  </x:cols>
  <x:sheetData>
    <x:row r="1" spans="1:276" s="117" customFormat="1" ht="14.45" customHeight="1" thickBot="1" x14ac:dyDescent="0.25">
      <x:c r="A1" s="382"/>
      <x:c r="B1" s="382"/>
      <x:c r="C1" s="382"/>
      <x:c r="D1" s="382"/>
      <x:c r="E1" s="382"/>
      <x:c r="F1" s="382"/>
      <x:c r="G1" s="382"/>
      <x:c r="H1" s="382"/>
      <x:c r="I1" s="382"/>
      <x:c r="J1" s="382"/>
      <x:c r="K1" s="382"/>
      <x:c r="L1" s="382"/>
      <x:c r="M1" s="382"/>
      <x:c r="N1" s="382"/>
      <x:c r="O1" s="382"/>
      <x:c r="P1" s="382"/>
      <x:c r="Q1" s="1832" t="str">
        <x:f>IF(BJ1="","",VLOOKUP(BJ1,'Job Info.'!X:AA,4,FALSE))</x:f>
        <x:v>Master</x:v>
      </x:c>
      <x:c r="R1" s="1832"/>
      <x:c r="S1" s="1832"/>
      <x:c r="T1" s="1832"/>
      <x:c r="U1" s="382"/>
      <x:c r="V1" s="375"/>
      <x:c r="W1" s="2067" t="s">
        <x:v>95</x:v>
      </x:c>
      <x:c r="X1" s="2067"/>
      <x:c r="Y1" s="2067"/>
      <x:c r="Z1" s="375" t="str">
        <x:f ca="1">'Job Info.'!D12</x:f>
        <x:v>775-428-0600</x:v>
      </x:c>
      <x:c r="AA1" s="374"/>
      <x:c r="AB1" s="382"/>
      <x:c r="AC1" s="382"/>
      <x:c r="AD1" s="382"/>
      <x:c r="AE1" s="382"/>
      <x:c r="AF1" s="382"/>
      <x:c r="AG1" s="382"/>
      <x:c r="AH1" s="382"/>
      <x:c r="AI1" s="382"/>
      <x:c r="AJ1" s="382"/>
      <x:c r="AK1" s="382"/>
      <x:c r="AL1" s="382"/>
      <x:c r="AM1" s="382"/>
      <x:c r="AN1" s="382"/>
      <x:c r="AO1" s="382"/>
      <x:c r="AP1" s="382"/>
      <x:c r="AQ1" s="374"/>
      <x:c r="AR1" s="382"/>
      <x:c r="AS1" s="382"/>
      <x:c r="AT1" s="382"/>
      <x:c r="AU1" s="2080" t="str">
        <x:f>Q1</x:f>
        <x:v>Master</x:v>
      </x:c>
      <x:c r="AV1" s="2080"/>
      <x:c r="AW1" s="2080"/>
      <x:c r="AX1" s="2080"/>
      <x:c r="AY1" s="382"/>
      <x:c r="AZ1" s="382"/>
      <x:c r="BA1" s="2067" t="s">
        <x:v>95</x:v>
      </x:c>
      <x:c r="BB1" s="2067"/>
      <x:c r="BC1" s="2067"/>
      <x:c r="BD1" s="1835" t="str">
        <x:f ca="1">'Job Info.'!D12</x:f>
        <x:v>775-428-0600</x:v>
      </x:c>
      <x:c r="BE1" s="1835"/>
      <x:c r="BF1" s="1835"/>
      <x:c r="BG1" s="466"/>
      <x:c r="BH1" s="487" t="s">
        <x:v>722</x:v>
      </x:c>
      <x:c r="BJ1" s="243" t="str">
        <x:f>'Job Info.'!Q30</x:f>
        <x:v>M</x:v>
      </x:c>
      <x:c r="BK1" s="243" t="b">
        <x:f>'Job Info.'!Q32</x:f>
        <x:v>0</x:v>
      </x:c>
      <x:c r="BL1" s="760" t="s">
        <x:v>957</x:v>
      </x:c>
      <x:c r="CA1" s="488" t="s">
        <x:v>723</x:v>
      </x:c>
      <x:c r="CB1" s="244"/>
      <x:c r="CC1" s="244"/>
      <x:c r="CD1" s="244"/>
      <x:c r="CE1" s="244"/>
      <x:c r="CF1" s="244"/>
      <x:c r="CG1" s="244"/>
      <x:c r="CH1" s="244"/>
      <x:c r="CI1" s="244"/>
      <x:c r="CJ1" s="244"/>
      <x:c r="CK1" s="244"/>
      <x:c r="CL1" s="244"/>
      <x:c r="CM1" s="244"/>
      <x:c r="CN1" s="244"/>
      <x:c r="CO1" s="244"/>
      <x:c r="CP1" s="244"/>
      <x:c r="CQ1" s="244"/>
      <x:c r="CR1" s="244"/>
      <x:c r="CS1" s="244"/>
      <x:c r="CT1" s="244"/>
      <x:c r="CU1" s="244"/>
      <x:c r="CV1" s="244"/>
      <x:c r="CW1" s="244"/>
      <x:c r="CX1" s="241"/>
      <x:c r="CY1" s="244"/>
      <x:c r="CZ1" s="244"/>
      <x:c r="DA1" s="244"/>
      <x:c r="DB1" s="244"/>
      <x:c r="DC1" s="244"/>
      <x:c r="DD1" s="244"/>
      <x:c r="DE1" s="244"/>
      <x:c r="DF1" s="244"/>
      <x:c r="DG1" s="244"/>
      <x:c r="DH1" s="244"/>
      <x:c r="DI1" s="244"/>
      <x:c r="DJ1" s="203"/>
      <x:c r="DK1" s="203"/>
      <x:c r="DL1" s="203"/>
      <x:c r="DM1" s="203"/>
      <x:c r="DN1" s="203"/>
      <x:c r="DO1" s="203"/>
      <x:c r="DP1" s="203"/>
      <x:c r="DQ1" s="241"/>
      <x:c r="DR1" s="241"/>
      <x:c r="DS1" s="241"/>
      <x:c r="DT1" s="241"/>
      <x:c r="DU1" s="241"/>
      <x:c r="DV1" s="241"/>
      <x:c r="DW1" s="241"/>
      <x:c r="DX1" s="241"/>
      <x:c r="DY1" s="241"/>
      <x:c r="DZ1" s="241"/>
      <x:c r="EA1" s="241"/>
      <x:c r="EB1" s="241"/>
      <x:c r="EC1" s="244"/>
      <x:c r="ED1" s="244"/>
      <x:c r="EE1" s="244"/>
      <x:c r="EF1" s="244"/>
      <x:c r="EG1" s="244"/>
      <x:c r="EH1" s="244"/>
      <x:c r="EI1" s="244"/>
      <x:c r="EJ1" s="244"/>
      <x:c r="EK1" s="244"/>
      <x:c r="EL1" s="241"/>
      <x:c r="EM1" s="241"/>
      <x:c r="EN1" s="241"/>
      <x:c r="EO1" s="924"/>
      <x:c r="EP1" s="925"/>
      <x:c r="EQ1" s="241"/>
      <x:c r="ER1" s="241"/>
      <x:c r="ES1" s="241"/>
      <x:c r="ET1" s="241"/>
      <x:c r="EU1" s="241"/>
      <x:c r="EV1" s="487" t="s">
        <x:v>722</x:v>
      </x:c>
      <x:c r="EW1" s="293"/>
      <x:c r="EY1" s="293"/>
      <x:c r="EZ1" s="294" t="s">
        <x:v>467</x:v>
      </x:c>
      <x:c r="FA1" s="295">
        <x:f>'Job Info.'!U26</x:f>
        <x:v>3</x:v>
      </x:c>
      <x:c r="FB1" s="293" t="str">
        <x:f>IF(FA1=1,"Girder BL @ CL of Steel Support (if possible), minimize BL",IF(FA1=2,"Minimize Joist Base Length",IF(FA1=3,"Minimize TCX (Maximize Joist BL)",IF(FA1=4,"Girder BL @ CL of Steel Support (if possible), minimize TCX"))))</x:f>
        <x:v>Minimize TCX (Maximize Joist BL)</x:v>
      </x:c>
      <x:c r="FC1" s="293"/>
      <x:c r="FD1" s="293"/>
      <x:c r="FE1" s="293"/>
      <x:c r="FF1" s="246" t="s">
        <x:v>941</x:v>
      </x:c>
      <x:c r="FG1" s="245" t="str">
        <x:f>'Job Info.'!U27</x:f>
        <x:v>N</x:v>
      </x:c>
      <x:c r="FH1" s="246"/>
      <x:c r="FI1" s="246"/>
      <x:c r="FJ1" s="246"/>
      <x:c r="FL1" s="246"/>
      <x:c r="FP1" s="246"/>
      <x:c r="FR1" s="246"/>
      <x:c r="FS1" s="246"/>
      <x:c r="FT1" s="246"/>
      <x:c r="FV1" s="488"/>
      <x:c r="FZ1" s="488" t="s">
        <x:v>723</x:v>
      </x:c>
      <x:c r="GA1" s="241"/>
      <x:c r="GB1" s="241"/>
      <x:c r="GC1" s="241"/>
      <x:c r="GD1" s="241"/>
      <x:c r="GE1" s="241"/>
      <x:c r="GF1" s="241"/>
      <x:c r="GG1" s="241"/>
      <x:c r="GH1" s="241"/>
      <x:c r="GI1" s="241"/>
      <x:c r="GJ1" s="241"/>
      <x:c r="GY1" s="487" t="s">
        <x:v>718</x:v>
      </x:c>
      <x:c r="GZ1" s="377" t="s">
        <x:v>1158</x:v>
      </x:c>
      <x:c r="HA1" s="117" t="b">
        <x:f>'Job Info.'!U4</x:f>
        <x:v>0</x:v>
      </x:c>
      <x:c r="HK1" s="243"/>
      <x:c r="HL1" s="243"/>
      <x:c r="HM1" s="243"/>
      <x:c r="HN1" s="242"/>
      <x:c r="HO1" s="248"/>
      <x:c r="HP1" s="243"/>
      <x:c r="HQ1" s="243"/>
      <x:c r="HR1" s="243"/>
      <x:c r="HS1" s="243"/>
      <x:c r="HT1" s="243"/>
      <x:c r="HU1" s="243"/>
      <x:c r="HV1" s="243"/>
      <x:c r="HW1" s="243"/>
      <x:c r="HX1" s="243"/>
      <x:c r="HY1" s="243"/>
      <x:c r="HZ1" s="243"/>
      <x:c r="IA1" s="243"/>
      <x:c r="IB1" s="243"/>
      <x:c r="IC1" s="243"/>
      <x:c r="ID1" s="243"/>
      <x:c r="IE1" s="243"/>
      <x:c r="IF1" s="243"/>
      <x:c r="IG1" s="243"/>
      <x:c r="IH1" s="243"/>
      <x:c r="II1" s="243"/>
      <x:c r="IJ1" s="243"/>
      <x:c r="IK1" s="243"/>
      <x:c r="IL1" s="243"/>
      <x:c r="IM1" s="243"/>
      <x:c r="JP1" s="488" t="s">
        <x:v>1143</x:v>
      </x:c>
    </x:row>
    <x:row r="2" spans="1:276" s="117" customFormat="1" ht="12.95" customHeight="1" thickTop="1" thickBot="1" x14ac:dyDescent="0.3">
      <x:c r="A2" s="382"/>
      <x:c r="B2" s="382"/>
      <x:c r="C2" s="382"/>
      <x:c r="D2" s="382"/>
      <x:c r="E2" s="382"/>
      <x:c r="F2" s="382"/>
      <x:c r="G2" s="382"/>
      <x:c r="H2" s="382"/>
      <x:c r="I2" s="382"/>
      <x:c r="J2" s="382"/>
      <x:c r="K2" s="382"/>
      <x:c r="L2" s="382"/>
      <x:c r="M2" s="382"/>
      <x:c r="N2" s="382"/>
      <x:c r="O2" s="382"/>
      <x:c r="P2" s="382"/>
      <x:c r="Q2" s="1837" t="str">
        <x:f>IF(BJ1="","",IF(VLOOKUP(BJ1,'Job Info.'!X:Z,2,FALSE),"Released for Fabrication",""))</x:f>
        <x:v/>
      </x:c>
      <x:c r="R2" s="1838"/>
      <x:c r="S2" s="1838"/>
      <x:c r="T2" s="1839"/>
      <x:c r="U2" s="382"/>
      <x:c r="V2" s="375"/>
      <x:c r="W2" s="2067" t="s">
        <x:v>96</x:v>
      </x:c>
      <x:c r="X2" s="2067"/>
      <x:c r="Y2" s="2067"/>
      <x:c r="Z2" s="375" t="str">
        <x:f ca="1">'Job Info.'!D13</x:f>
        <x:v>775-867-2140</x:v>
      </x:c>
      <x:c r="AA2" s="374"/>
      <x:c r="AB2" s="382"/>
      <x:c r="AC2" s="382"/>
      <x:c r="AD2" s="382"/>
      <x:c r="AE2" s="382"/>
      <x:c r="AF2" s="382"/>
      <x:c r="AG2" s="382"/>
      <x:c r="AH2" s="382"/>
      <x:c r="AI2" s="382"/>
      <x:c r="AJ2" s="382"/>
      <x:c r="AK2" s="382"/>
      <x:c r="AL2" s="382"/>
      <x:c r="AM2" s="382"/>
      <x:c r="AN2" s="382"/>
      <x:c r="AO2" s="382"/>
      <x:c r="AP2" s="382"/>
      <x:c r="AQ2" s="374"/>
      <x:c r="AR2" s="382"/>
      <x:c r="AS2" s="382"/>
      <x:c r="AT2" s="382"/>
      <x:c r="AU2" s="1837" t="str">
        <x:f>Q2</x:f>
        <x:v/>
      </x:c>
      <x:c r="AV2" s="1838"/>
      <x:c r="AW2" s="1838"/>
      <x:c r="AX2" s="1839"/>
      <x:c r="AY2" s="382"/>
      <x:c r="AZ2" s="382"/>
      <x:c r="BA2" s="2067" t="s">
        <x:v>96</x:v>
      </x:c>
      <x:c r="BB2" s="2067"/>
      <x:c r="BC2" s="2067"/>
      <x:c r="BD2" s="1835" t="str">
        <x:f ca="1">'Job Info.'!D13</x:f>
        <x:v>775-867-2140</x:v>
      </x:c>
      <x:c r="BE2" s="1835"/>
      <x:c r="BF2" s="1835"/>
      <x:c r="BG2" s="466"/>
      <x:c r="BH2" s="261"/>
      <x:c r="BK2" s="243"/>
      <x:c r="CA2" s="487" t="s">
        <x:v>730</x:v>
      </x:c>
      <x:c r="CB2" s="244"/>
      <x:c r="CC2" s="244"/>
      <x:c r="CD2" s="244"/>
      <x:c r="CE2" s="244"/>
      <x:c r="CF2" s="244"/>
      <x:c r="CG2" s="244"/>
      <x:c r="CH2" s="244"/>
      <x:c r="CI2" s="244"/>
      <x:c r="CJ2" s="244"/>
      <x:c r="CK2" s="244"/>
      <x:c r="CL2" s="244"/>
      <x:c r="CM2" s="244"/>
      <x:c r="CN2" s="244"/>
      <x:c r="CO2" s="244"/>
      <x:c r="CP2" s="244"/>
      <x:c r="CQ2" s="199"/>
      <x:c r="CR2" s="199"/>
      <x:c r="CS2" s="200"/>
      <x:c r="CT2" s="199"/>
      <x:c r="CU2" s="199"/>
      <x:c r="CV2" s="199"/>
      <x:c r="CW2" s="203"/>
      <x:c r="CX2" s="241"/>
      <x:c r="CY2" s="249"/>
      <x:c r="CZ2" s="203"/>
      <x:c r="DA2" s="244"/>
      <x:c r="DB2" s="244"/>
      <x:c r="DC2" s="244"/>
      <x:c r="DD2" s="244"/>
      <x:c r="DE2" s="244"/>
      <x:c r="DF2" s="244"/>
      <x:c r="DG2" s="244"/>
      <x:c r="DH2" s="244"/>
      <x:c r="DI2" s="244"/>
      <x:c r="DJ2" s="203"/>
      <x:c r="DK2" s="203"/>
      <x:c r="DL2" s="203"/>
      <x:c r="DM2" s="203"/>
      <x:c r="DN2" s="203"/>
      <x:c r="DO2" s="203"/>
      <x:c r="DP2" s="203"/>
      <x:c r="DQ2" s="241"/>
      <x:c r="DR2" s="241"/>
      <x:c r="DS2" s="241"/>
      <x:c r="DT2" s="241"/>
      <x:c r="DU2" s="241"/>
      <x:c r="DV2" s="241"/>
      <x:c r="DW2" s="241"/>
      <x:c r="DX2" s="241"/>
      <x:c r="DY2" s="241"/>
      <x:c r="DZ2" s="241"/>
      <x:c r="EA2" s="241"/>
      <x:c r="EB2" s="241"/>
      <x:c r="EC2" s="244"/>
      <x:c r="ED2" s="244"/>
      <x:c r="EE2" s="244"/>
      <x:c r="EF2" s="244"/>
      <x:c r="EG2" s="244"/>
      <x:c r="EH2" s="244"/>
      <x:c r="EI2" s="244"/>
      <x:c r="EJ2" s="244"/>
      <x:c r="EK2" s="244"/>
      <x:c r="EL2" s="241"/>
      <x:c r="EM2" s="241"/>
      <x:c r="EN2" s="926"/>
      <x:c r="EO2" s="924"/>
      <x:c r="EP2" s="241"/>
      <x:c r="EQ2" s="241"/>
      <x:c r="ER2" s="241"/>
      <x:c r="ES2" s="241"/>
      <x:c r="ET2" s="241"/>
      <x:c r="EU2" s="241"/>
      <x:c r="EV2" s="491" t="s">
        <x:v>731</x:v>
      </x:c>
      <x:c r="EW2" s="293"/>
      <x:c r="EY2" s="293"/>
      <x:c r="EZ2" s="294" t="s">
        <x:v>468</x:v>
      </x:c>
      <x:c r="FA2" s="295">
        <x:f>'Job Info.'!L19</x:f>
        <x:v>0.375</x:v>
      </x:c>
      <x:c r="FB2" s="294" t="s">
        <x:v>648</x:v>
      </x:c>
      <x:c r="FC2" s="296">
        <x:f>'Job Info.'!L21</x:f>
        <x:v>0.5</x:v>
      </x:c>
      <x:c r="FD2" s="294" t="s">
        <x:v>649</x:v>
      </x:c>
      <x:c r="FE2" s="296">
        <x:f>'Job Info.'!L22</x:f>
        <x:v>0.25</x:v>
      </x:c>
      <x:c r="FF2" s="293" t="s">
        <x:v>523</x:v>
      </x:c>
      <x:c r="FG2" s="296">
        <x:f>'Job Info.'!L20</x:f>
        <x:v>0.1875</x:v>
      </x:c>
      <x:c r="FH2" s="246"/>
      <x:c r="FI2" s="246"/>
      <x:c r="FJ2" s="246"/>
      <x:c r="FL2" s="246"/>
      <x:c r="FM2" s="246"/>
      <x:c r="FN2" s="246"/>
      <x:c r="FO2" s="246"/>
      <x:c r="FP2" s="246"/>
      <x:c r="FQ2" s="246"/>
      <x:c r="FR2" s="246"/>
      <x:c r="FS2" s="246"/>
      <x:c r="FT2" s="246"/>
      <x:c r="GA2" s="241"/>
      <x:c r="GB2" s="241"/>
      <x:c r="GC2" s="241"/>
      <x:c r="GD2" s="241"/>
      <x:c r="GE2" s="241"/>
      <x:c r="GF2" s="241"/>
      <x:c r="GG2" s="241"/>
      <x:c r="GH2" s="241"/>
      <x:c r="GI2" s="241"/>
      <x:c r="GJ2" s="241"/>
      <x:c r="HA2" s="2068" t="s">
        <x:v>40</x:v>
      </x:c>
      <x:c r="HB2" s="2069" t="s">
        <x:v>130</x:v>
      </x:c>
      <x:c r="HC2" s="2069" t="s">
        <x:v>31</x:v>
      </x:c>
      <x:c r="HD2" s="2069" t="s">
        <x:v>25</x:v>
      </x:c>
      <x:c r="HE2" s="2073"/>
      <x:c r="HF2" s="2079" t="s">
        <x:v>88</x:v>
      </x:c>
      <x:c r="HG2" s="1969" t="s">
        <x:v>9</x:v>
      </x:c>
      <x:c r="HH2" s="2077"/>
      <x:c r="HI2" s="2077"/>
      <x:c r="HJ2" s="2077" t="s">
        <x:v>10</x:v>
      </x:c>
      <x:c r="HK2" s="2077"/>
      <x:c r="HL2" s="1967"/>
      <x:c r="HM2" s="2071" t="s">
        <x:v>11</x:v>
      </x:c>
      <x:c r="HN2" s="2072"/>
      <x:c r="HO2" s="2074" t="s">
        <x:v>12</x:v>
      </x:c>
      <x:c r="HP2" s="2075"/>
      <x:c r="HQ2" s="2075" t="s">
        <x:v>13</x:v>
      </x:c>
      <x:c r="HR2" s="2086"/>
      <x:c r="HS2" s="2076" t="s">
        <x:v>14</x:v>
      </x:c>
      <x:c r="HT2" s="2077"/>
      <x:c r="HU2" s="2077"/>
      <x:c r="HV2" s="2077"/>
      <x:c r="HW2" s="2078"/>
      <x:c r="HX2" s="1969" t="s">
        <x:v>111</x:v>
      </x:c>
      <x:c r="HY2" s="1967"/>
      <x:c r="HZ2" s="1116" t="s">
        <x:v>15</x:v>
      </x:c>
      <x:c r="IA2" s="2116" t="s">
        <x:v>939</x:v>
      </x:c>
      <x:c r="IB2" s="243"/>
      <x:c r="IC2" s="243"/>
      <x:c r="ID2" s="243"/>
      <x:c r="IE2" s="243"/>
      <x:c r="IF2" s="1961" t="s">
        <x:v>62</x:v>
      </x:c>
      <x:c r="IG2" s="1963" t="s">
        <x:v>32</x:v>
      </x:c>
      <x:c r="IH2" s="1964"/>
      <x:c r="II2" s="1967" t="s">
        <x:v>34</x:v>
      </x:c>
      <x:c r="IJ2" s="1968"/>
      <x:c r="IK2" s="1969"/>
      <x:c r="IL2" s="1963" t="s">
        <x:v>35</x:v>
      </x:c>
      <x:c r="IM2" s="1964"/>
      <x:c r="IN2" s="1970" t="s">
        <x:v>63</x:v>
      </x:c>
      <x:c r="IO2" s="1972" t="s">
        <x:v>737</x:v>
      </x:c>
      <x:c r="IP2" s="1973"/>
      <x:c r="IQ2" s="1973"/>
      <x:c r="IR2" s="1973"/>
      <x:c r="IS2" s="1973"/>
      <x:c r="IT2" s="1974"/>
      <x:c r="IU2" s="1968" t="s">
        <x:v>82</x:v>
      </x:c>
      <x:c r="IV2" s="1968"/>
      <x:c r="IW2" s="1968"/>
      <x:c r="IX2" s="1968"/>
      <x:c r="IY2" s="1968"/>
      <x:c r="IZ2" s="1968"/>
      <x:c r="JA2" s="1968"/>
      <x:c r="JB2" s="1968"/>
      <x:c r="JC2" s="1968"/>
      <x:c r="JD2" s="1968"/>
      <x:c r="JE2" s="1968"/>
      <x:c r="JF2" s="1968"/>
      <x:c r="JG2" s="1968"/>
      <x:c r="JH2" s="1968"/>
      <x:c r="JI2" s="1968"/>
      <x:c r="JJ2" s="1975"/>
      <x:c r="JK2" s="1957" t="s">
        <x:v>1160</x:v>
      </x:c>
    </x:row>
    <x:row r="3" spans="1:276" s="117" customFormat="1" ht="12.95" customHeight="1" thickBot="1" x14ac:dyDescent="0.3">
      <x:c r="A3" s="382"/>
      <x:c r="B3" s="382"/>
      <x:c r="C3" s="382"/>
      <x:c r="D3" s="382"/>
      <x:c r="E3" s="382"/>
      <x:c r="F3" s="382"/>
      <x:c r="G3" s="382"/>
      <x:c r="H3" s="382"/>
      <x:c r="I3" s="382"/>
      <x:c r="J3" s="382"/>
      <x:c r="K3" s="382"/>
      <x:c r="L3" s="382"/>
      <x:c r="M3" s="382"/>
      <x:c r="N3" s="382"/>
      <x:c r="O3" s="382"/>
      <x:c r="P3" s="382"/>
      <x:c r="Q3" s="1840"/>
      <x:c r="R3" s="1841"/>
      <x:c r="S3" s="1841"/>
      <x:c r="T3" s="1842"/>
      <x:c r="U3" s="382"/>
      <x:c r="V3" s="375"/>
      <x:c r="W3" s="2067" t="s">
        <x:v>98</x:v>
      </x:c>
      <x:c r="X3" s="2067"/>
      <x:c r="Y3" s="2067"/>
      <x:c r="Z3" s="375" t="str">
        <x:f ca="1">'Job Info.'!D14</x:f>
        <x:v>775-867-2169</x:v>
      </x:c>
      <x:c r="AA3" s="374"/>
      <x:c r="AB3" s="382"/>
      <x:c r="AC3" s="382"/>
      <x:c r="AD3" s="382"/>
      <x:c r="AE3" s="382"/>
      <x:c r="AF3" s="382"/>
      <x:c r="AG3" s="382"/>
      <x:c r="AH3" s="382"/>
      <x:c r="AI3" s="382"/>
      <x:c r="AJ3" s="382"/>
      <x:c r="AK3" s="382"/>
      <x:c r="AL3" s="382"/>
      <x:c r="AM3" s="382"/>
      <x:c r="AN3" s="382"/>
      <x:c r="AO3" s="382"/>
      <x:c r="AP3" s="382"/>
      <x:c r="AQ3" s="374"/>
      <x:c r="AR3" s="382"/>
      <x:c r="AS3" s="382"/>
      <x:c r="AT3" s="382"/>
      <x:c r="AU3" s="1840"/>
      <x:c r="AV3" s="1841"/>
      <x:c r="AW3" s="1841"/>
      <x:c r="AX3" s="1842"/>
      <x:c r="AY3" s="382"/>
      <x:c r="AZ3" s="382"/>
      <x:c r="BA3" s="2067" t="s">
        <x:v>98</x:v>
      </x:c>
      <x:c r="BB3" s="2067"/>
      <x:c r="BC3" s="2067"/>
      <x:c r="BD3" s="1835" t="str">
        <x:f ca="1">'Job Info.'!D14</x:f>
        <x:v>775-867-2169</x:v>
      </x:c>
      <x:c r="BE3" s="1835"/>
      <x:c r="BF3" s="1835"/>
      <x:c r="BG3" s="374"/>
      <x:c r="BH3" s="261"/>
      <x:c r="CA3" s="246"/>
      <x:c r="CB3" s="244"/>
      <x:c r="CC3" s="244"/>
      <x:c r="CD3" s="244"/>
      <x:c r="CE3" s="244"/>
      <x:c r="CF3" s="244"/>
      <x:c r="CG3" s="244"/>
      <x:c r="CH3" s="244"/>
      <x:c r="CI3" s="244"/>
      <x:c r="CJ3" s="244"/>
      <x:c r="CK3" s="244"/>
      <x:c r="CL3" s="244"/>
      <x:c r="CM3" s="244"/>
      <x:c r="CN3" s="244"/>
      <x:c r="CO3" s="244"/>
      <x:c r="CP3" s="199"/>
      <x:c r="CQ3" s="201"/>
      <x:c r="CR3" s="202"/>
      <x:c r="CS3" s="203"/>
      <x:c r="CT3" s="203"/>
      <x:c r="CU3" s="204"/>
      <x:c r="CV3" s="201"/>
      <x:c r="CW3" s="201"/>
      <x:c r="CX3" s="241"/>
      <x:c r="CY3" s="249"/>
      <x:c r="CZ3" s="203"/>
      <x:c r="DA3" s="244"/>
      <x:c r="DB3" s="244"/>
      <x:c r="DC3" s="244"/>
      <x:c r="DD3" s="244"/>
      <x:c r="DE3" s="244"/>
      <x:c r="DF3" s="244"/>
      <x:c r="DG3" s="244"/>
      <x:c r="DH3" s="244"/>
      <x:c r="DI3" s="244"/>
      <x:c r="DJ3" s="203"/>
      <x:c r="DK3" s="203"/>
      <x:c r="DL3" s="203"/>
      <x:c r="DM3" s="203"/>
      <x:c r="DN3" s="203"/>
      <x:c r="DO3" s="203"/>
      <x:c r="DP3" s="203"/>
      <x:c r="DQ3" s="241"/>
      <x:c r="DR3" s="241"/>
      <x:c r="DS3" s="241"/>
      <x:c r="DT3" s="241"/>
      <x:c r="DU3" s="241"/>
      <x:c r="DV3" s="241"/>
      <x:c r="DW3" s="241"/>
      <x:c r="DX3" s="241"/>
      <x:c r="DY3" s="241"/>
      <x:c r="DZ3" s="241"/>
      <x:c r="EA3" s="241"/>
      <x:c r="EB3" s="241"/>
      <x:c r="EC3" s="244"/>
      <x:c r="ED3" s="244"/>
      <x:c r="EE3" s="244"/>
      <x:c r="EF3" s="244"/>
      <x:c r="EG3" s="244"/>
      <x:c r="EH3" s="244"/>
      <x:c r="EI3" s="244"/>
      <x:c r="EJ3" s="244"/>
      <x:c r="EK3" s="244"/>
      <x:c r="EL3" s="203"/>
      <x:c r="EM3" s="241"/>
      <x:c r="EN3" s="926"/>
      <x:c r="EO3" s="924"/>
      <x:c r="EP3" s="923"/>
      <x:c r="EQ3" s="241"/>
      <x:c r="ER3" s="241"/>
      <x:c r="ES3" s="241"/>
      <x:c r="ET3" s="241"/>
      <x:c r="EU3" s="987"/>
      <x:c r="EW3" s="293"/>
      <x:c r="EX3" s="298" t="s">
        <x:v>942</x:v>
      </x:c>
      <x:c r="EY3" s="298" t="s">
        <x:v>1102</x:v>
      </x:c>
      <x:c r="EZ3" s="299" t="s">
        <x:v>171</x:v>
      </x:c>
      <x:c r="FA3" s="300" t="s">
        <x:v>462</x:v>
      </x:c>
      <x:c r="FB3" s="301" t="s">
        <x:v>463</x:v>
      </x:c>
      <x:c r="FC3" s="300" t="s">
        <x:v>464</x:v>
      </x:c>
      <x:c r="FD3" s="300" t="s">
        <x:v>465</x:v>
      </x:c>
      <x:c r="FE3" s="300" t="s">
        <x:v>466</x:v>
      </x:c>
      <x:c r="FF3" s="300" t="s">
        <x:v>681</x:v>
      </x:c>
      <x:c r="FG3" s="1998" t="s">
        <x:v>1107</x:v>
      </x:c>
      <x:c r="FH3" s="1999"/>
      <x:c r="FI3" s="2000"/>
      <x:c r="FJ3" s="246"/>
      <x:c r="FK3" s="130"/>
      <x:c r="FL3" s="246"/>
      <x:c r="FM3" s="246"/>
      <x:c r="FN3" s="246"/>
      <x:c r="FO3" s="246"/>
      <x:c r="FP3" s="246"/>
      <x:c r="FQ3" s="246"/>
      <x:c r="FR3" s="246"/>
      <x:c r="FS3" s="246"/>
      <x:c r="FT3" s="246"/>
      <x:c r="FZ3" s="487" t="s">
        <x:v>716</x:v>
      </x:c>
      <x:c r="GA3" s="241"/>
      <x:c r="GB3" s="241"/>
      <x:c r="GC3" s="241"/>
      <x:c r="GD3" s="241"/>
      <x:c r="GE3" s="241"/>
      <x:c r="GF3" s="241"/>
      <x:c r="GG3" s="241"/>
      <x:c r="GH3" s="241"/>
      <x:c r="GI3" s="241"/>
      <x:c r="GJ3" s="241"/>
      <x:c r="GN3" s="490" t="s">
        <x:v>717</x:v>
      </x:c>
      <x:c r="HA3" s="2068"/>
      <x:c r="HB3" s="2069"/>
      <x:c r="HC3" s="2069"/>
      <x:c r="HD3" s="2069"/>
      <x:c r="HE3" s="2073"/>
      <x:c r="HF3" s="2079"/>
      <x:c r="HG3" s="1977" t="s">
        <x:v>16</x:v>
      </x:c>
      <x:c r="HH3" s="2070"/>
      <x:c r="HI3" s="1102" t="s">
        <x:v>732</x:v>
      </x:c>
      <x:c r="HJ3" s="2070" t="s">
        <x:v>16</x:v>
      </x:c>
      <x:c r="HK3" s="2070"/>
      <x:c r="HL3" s="1065" t="s">
        <x:v>732</x:v>
      </x:c>
      <x:c r="HM3" s="1106" t="s">
        <x:v>18</x:v>
      </x:c>
      <x:c r="HN3" s="461" t="s">
        <x:v>19</x:v>
      </x:c>
      <x:c r="HO3" s="2074"/>
      <x:c r="HP3" s="2075"/>
      <x:c r="HQ3" s="2075"/>
      <x:c r="HR3" s="2086"/>
      <x:c r="HS3" s="1980" t="s">
        <x:v>80</x:v>
      </x:c>
      <x:c r="HT3" s="2070"/>
      <x:c r="HU3" s="2070" t="s">
        <x:v>81</x:v>
      </x:c>
      <x:c r="HV3" s="2070"/>
      <x:c r="HW3" s="461" t="s">
        <x:v>27</x:v>
      </x:c>
      <x:c r="HX3" s="1101" t="s">
        <x:v>112</x:v>
      </x:c>
      <x:c r="HY3" s="1065" t="s">
        <x:v>113</x:v>
      </x:c>
      <x:c r="HZ3" s="1117" t="s">
        <x:v>57</x:v>
      </x:c>
      <x:c r="IA3" s="2117"/>
      <x:c r="IB3" s="243"/>
      <x:c r="IC3" s="243"/>
      <x:c r="ID3" s="243"/>
      <x:c r="IE3" s="243"/>
      <x:c r="IF3" s="1962"/>
      <x:c r="IG3" s="1965"/>
      <x:c r="IH3" s="1966"/>
      <x:c r="II3" s="1102" t="s">
        <x:v>33</x:v>
      </x:c>
      <x:c r="IJ3" s="1976" t="s">
        <x:v>16</x:v>
      </x:c>
      <x:c r="IK3" s="1977"/>
      <x:c r="IL3" s="1965"/>
      <x:c r="IM3" s="1966"/>
      <x:c r="IN3" s="1971"/>
      <x:c r="IO3" s="1118" t="s">
        <x:v>738</x:v>
      </x:c>
      <x:c r="IP3" s="1103" t="s">
        <x:v>735</x:v>
      </x:c>
      <x:c r="IQ3" s="1103" t="s">
        <x:v>736</x:v>
      </x:c>
      <x:c r="IR3" s="1107" t="s">
        <x:v>60</x:v>
      </x:c>
      <x:c r="IS3" s="1105" t="s">
        <x:v>739</x:v>
      </x:c>
      <x:c r="IT3" s="1119" t="s">
        <x:v>740</x:v>
      </x:c>
      <x:c r="IU3" s="1978" t="s">
        <x:v>58</x:v>
      </x:c>
      <x:c r="IV3" s="1977"/>
      <x:c r="IW3" s="1120" t="s">
        <x:v>63</x:v>
      </x:c>
      <x:c r="IX3" s="1121" t="s">
        <x:v>59</x:v>
      </x:c>
      <x:c r="IY3" s="1979" t="s">
        <x:v>58</x:v>
      </x:c>
      <x:c r="IZ3" s="1980"/>
      <x:c r="JA3" s="1120" t="s">
        <x:v>63</x:v>
      </x:c>
      <x:c r="JB3" s="1121" t="s">
        <x:v>59</x:v>
      </x:c>
      <x:c r="JC3" s="1979" t="s">
        <x:v>58</x:v>
      </x:c>
      <x:c r="JD3" s="1980"/>
      <x:c r="JE3" s="1120" t="s">
        <x:v>63</x:v>
      </x:c>
      <x:c r="JF3" s="1121" t="s">
        <x:v>59</x:v>
      </x:c>
      <x:c r="JG3" s="1979" t="s">
        <x:v>58</x:v>
      </x:c>
      <x:c r="JH3" s="1980"/>
      <x:c r="JI3" s="1120" t="s">
        <x:v>63</x:v>
      </x:c>
      <x:c r="JJ3" s="1121" t="s">
        <x:v>59</x:v>
      </x:c>
      <x:c r="JK3" s="1958"/>
    </x:row>
    <x:row r="4" spans="1:276" s="117" customFormat="1" ht="12.95" customHeight="1" thickTop="1" thickBot="1" x14ac:dyDescent="0.25">
      <x:c r="A4" s="382"/>
      <x:c r="B4" s="382"/>
      <x:c r="C4" s="382"/>
      <x:c r="D4" s="382"/>
      <x:c r="E4" s="382"/>
      <x:c r="F4" s="382"/>
      <x:c r="G4" s="382"/>
      <x:c r="H4" s="382"/>
      <x:c r="I4" s="382"/>
      <x:c r="J4" s="382"/>
      <x:c r="K4" s="382"/>
      <x:c r="L4" s="382"/>
      <x:c r="M4" s="1088"/>
      <x:c r="N4" s="374"/>
      <x:c r="O4" s="374"/>
      <x:c r="P4" s="374"/>
      <x:c r="Q4" s="1843" t="str">
        <x:f>IF(BJ1="","",IF(VLOOKUP(BJ1,'Job Info.'!X:Z,2,FALSE),VLOOKUP(BJ1,'Job Info.'!X:Z,3,FALSE),""))</x:f>
        <x:v/>
      </x:c>
      <x:c r="R4" s="1844"/>
      <x:c r="S4" s="1844"/>
      <x:c r="T4" s="1845"/>
      <x:c r="U4" s="374"/>
      <x:c r="V4" s="375"/>
      <x:c r="W4" s="2067" t="s">
        <x:v>97</x:v>
      </x:c>
      <x:c r="X4" s="2067"/>
      <x:c r="Y4" s="2067"/>
      <x:c r="Z4" s="375" t="str">
        <x:f ca="1">'Job Info.'!D15</x:f>
        <x:v>775-867-2060</x:v>
      </x:c>
      <x:c r="AA4" s="374"/>
      <x:c r="AB4" s="374"/>
      <x:c r="AC4" s="374"/>
      <x:c r="AD4" s="374"/>
      <x:c r="AE4" s="374"/>
      <x:c r="AF4" s="374"/>
      <x:c r="AG4" s="374"/>
      <x:c r="AH4" s="374"/>
      <x:c r="AI4" s="374"/>
      <x:c r="AJ4" s="374"/>
      <x:c r="AK4" s="374"/>
      <x:c r="AL4" s="374"/>
      <x:c r="AM4" s="374"/>
      <x:c r="AN4" s="374"/>
      <x:c r="AO4" s="374"/>
      <x:c r="AP4" s="374"/>
      <x:c r="AQ4" s="374"/>
      <x:c r="AR4" s="1088"/>
      <x:c r="AS4" s="1088"/>
      <x:c r="AT4" s="374"/>
      <x:c r="AU4" s="2081" t="str">
        <x:f>Q4</x:f>
        <x:v/>
      </x:c>
      <x:c r="AV4" s="2082"/>
      <x:c r="AW4" s="2082"/>
      <x:c r="AX4" s="2083"/>
      <x:c r="AY4" s="382"/>
      <x:c r="AZ4" s="382"/>
      <x:c r="BA4" s="2067" t="s">
        <x:v>97</x:v>
      </x:c>
      <x:c r="BB4" s="2067"/>
      <x:c r="BC4" s="2067"/>
      <x:c r="BD4" s="1835" t="str">
        <x:f ca="1">'Job Info.'!D15</x:f>
        <x:v>775-867-2060</x:v>
      </x:c>
      <x:c r="BE4" s="1835"/>
      <x:c r="BF4" s="1835"/>
      <x:c r="BG4" s="374"/>
      <x:c r="BH4" s="261"/>
      <x:c r="CA4" s="246"/>
      <x:c r="CB4" s="244"/>
      <x:c r="CC4" s="244"/>
      <x:c r="CD4" s="244"/>
      <x:c r="CE4" s="244"/>
      <x:c r="CF4" s="244"/>
      <x:c r="CG4" s="244"/>
      <x:c r="CH4" s="244"/>
      <x:c r="CI4" s="244"/>
      <x:c r="CJ4" s="244"/>
      <x:c r="CK4" s="244"/>
      <x:c r="CL4" s="252"/>
      <x:c r="CM4" s="244"/>
      <x:c r="CN4" s="244"/>
      <x:c r="CO4" s="244"/>
      <x:c r="CP4" s="244"/>
      <x:c r="CQ4" s="244"/>
      <x:c r="CR4" s="244"/>
      <x:c r="CS4" s="244"/>
      <x:c r="CT4" s="244"/>
      <x:c r="CU4" s="244"/>
      <x:c r="CV4" s="244"/>
      <x:c r="CW4" s="244"/>
      <x:c r="CX4" s="241"/>
      <x:c r="CY4" s="244"/>
      <x:c r="CZ4" s="244"/>
      <x:c r="DA4" s="244"/>
      <x:c r="DB4" s="244"/>
      <x:c r="DC4" s="244"/>
      <x:c r="DD4" s="244"/>
      <x:c r="DE4" s="244"/>
      <x:c r="DF4" s="244"/>
      <x:c r="DG4" s="244"/>
      <x:c r="DH4" s="244"/>
      <x:c r="DI4" s="244"/>
      <x:c r="DJ4" s="203"/>
      <x:c r="DK4" s="203"/>
      <x:c r="DL4" s="203"/>
      <x:c r="DM4" s="203"/>
      <x:c r="DN4" s="203"/>
      <x:c r="DO4" s="203"/>
      <x:c r="DP4" s="203"/>
      <x:c r="DQ4" s="241"/>
      <x:c r="DR4" s="241"/>
      <x:c r="DS4" s="241"/>
      <x:c r="DT4" s="241"/>
      <x:c r="DU4" s="241"/>
      <x:c r="DV4" s="241"/>
      <x:c r="DW4" s="241"/>
      <x:c r="DX4" s="241"/>
      <x:c r="DY4" s="241"/>
      <x:c r="DZ4" s="241"/>
      <x:c r="EA4" s="241"/>
      <x:c r="EB4" s="241"/>
      <x:c r="EC4" s="244"/>
      <x:c r="ED4" s="244"/>
      <x:c r="EE4" s="244"/>
      <x:c r="EF4" s="244"/>
      <x:c r="EG4" s="244"/>
      <x:c r="EH4" s="244"/>
      <x:c r="EI4" s="244"/>
      <x:c r="EJ4" s="244"/>
      <x:c r="EK4" s="244"/>
      <x:c r="EL4" s="203"/>
      <x:c r="EM4" s="241"/>
      <x:c r="EN4" s="926"/>
      <x:c r="EO4" s="924"/>
      <x:c r="EP4" s="924"/>
      <x:c r="EQ4" s="241"/>
      <x:c r="ER4" s="241"/>
      <x:c r="ES4" s="241"/>
      <x:c r="ET4" s="241"/>
      <x:c r="EU4" s="924"/>
      <x:c r="EW4" s="303" t="s">
        <x:v>438</x:v>
      </x:c>
      <x:c r="EX4" s="304">
        <x:v>1.125</x:v>
      </x:c>
      <x:c r="EY4" s="304">
        <x:f>'Job Info.'!N15/2</x:f>
        <x:v>1.5</x:v>
      </x:c>
      <x:c r="EZ4" s="305">
        <x:f>'Job Info.'!H15</x:f>
        <x:v>7.5</x:v>
      </x:c>
      <x:c r="FA4" s="306">
        <x:f>'Job Info.'!J15</x:f>
        <x:v>6</x:v>
      </x:c>
      <x:c r="FB4" s="306">
        <x:f>'Job Info.'!I15</x:f>
        <x:v>4</x:v>
      </x:c>
      <x:c r="FC4" s="306">
        <x:f>'Job Info.'!K15</x:f>
        <x:v>5</x:v>
      </x:c>
      <x:c r="FD4" s="307">
        <x:f>'Job Info.'!M15</x:f>
        <x:v>0.8125</x:v>
      </x:c>
      <x:c r="FE4" s="306">
        <x:f>'Job Info.'!L15</x:f>
        <x:v>1.5</x:v>
      </x:c>
      <x:c r="FF4" s="306">
        <x:f>'Job Info.'!O15</x:f>
        <x:v>5</x:v>
      </x:c>
      <x:c r="FG4" s="773">
        <x:v>0</x:v>
      </x:c>
      <x:c r="FH4" s="773">
        <x:v>7.125</x:v>
      </x:c>
      <x:c r="FI4" s="774">
        <x:v>17.125</x:v>
      </x:c>
      <x:c r="FJ4" s="246"/>
      <x:c r="FK4" s="246"/>
      <x:c r="FL4" s="246"/>
      <x:c r="FM4" s="246"/>
      <x:c r="FN4" s="246"/>
      <x:c r="FO4" s="246"/>
      <x:c r="FP4" s="246"/>
      <x:c r="FQ4" s="246"/>
      <x:c r="FR4" s="246"/>
      <x:c r="FS4" s="246"/>
      <x:c r="FT4" s="246"/>
      <x:c r="FU4" s="245"/>
      <x:c r="FV4" s="245"/>
      <x:c r="FZ4" s="245"/>
      <x:c r="GA4" s="241"/>
      <x:c r="GB4" s="241"/>
      <x:c r="GC4" s="241"/>
      <x:c r="GD4" s="241"/>
      <x:c r="GE4" s="241"/>
      <x:c r="GF4" s="241"/>
      <x:c r="GG4" s="241"/>
      <x:c r="GH4" s="241"/>
      <x:c r="GI4" s="241"/>
      <x:c r="GJ4" s="241"/>
      <x:c r="GK4" s="245"/>
      <x:c r="HA4" s="2094" t="s">
        <x:v>597</x:v>
      </x:c>
      <x:c r="HB4" s="2114" t="s">
        <x:v>130</x:v>
      </x:c>
      <x:c r="HC4" s="2186" t="s">
        <x:v>478</x:v>
      </x:c>
      <x:c r="HD4" s="2188" t="s">
        <x:v>479</x:v>
      </x:c>
      <x:c r="HE4" s="2189"/>
      <x:c r="HF4" s="2112" t="s">
        <x:v>611</x:v>
      </x:c>
      <x:c r="HG4" s="2088" t="s">
        <x:v>595</x:v>
      </x:c>
      <x:c r="HH4" s="2089"/>
      <x:c r="HI4" s="2088" t="s">
        <x:v>596</x:v>
      </x:c>
      <x:c r="HJ4" s="2089"/>
      <x:c r="HK4" s="2092" t="s">
        <x:v>488</x:v>
      </x:c>
      <x:c r="HL4" s="2096" t="s">
        <x:v>612</x:v>
      </x:c>
      <x:c r="HM4" s="2112" t="s">
        <x:v>611</x:v>
      </x:c>
      <x:c r="HN4" s="2088" t="s">
        <x:v>595</x:v>
      </x:c>
      <x:c r="HO4" s="2089"/>
      <x:c r="HP4" s="2088" t="s">
        <x:v>596</x:v>
      </x:c>
      <x:c r="HQ4" s="2089"/>
      <x:c r="HR4" s="2092" t="s">
        <x:v>488</x:v>
      </x:c>
      <x:c r="HS4" s="2096" t="s">
        <x:v>612</x:v>
      </x:c>
      <x:c r="HT4" s="2253" t="s">
        <x:v>552</x:v>
      </x:c>
      <x:c r="HU4" s="2100" t="s">
        <x:v>480</x:v>
      </x:c>
      <x:c r="HV4" s="2101"/>
      <x:c r="HW4" s="2102" t="s">
        <x:v>1155</x:v>
      </x:c>
      <x:c r="HX4" s="2102" t="s">
        <x:v>481</x:v>
      </x:c>
      <x:c r="HY4" s="2248" t="s">
        <x:v>636</x:v>
      </x:c>
      <x:c r="HZ4" s="2250" t="s">
        <x:v>637</x:v>
      </x:c>
      <x:c r="IA4" s="2252" t="s">
        <x:v>805</x:v>
      </x:c>
      <x:c r="IB4" s="2252"/>
      <x:c r="IC4" s="2111" t="s">
        <x:v>1021</x:v>
      </x:c>
      <x:c r="ID4" s="2111"/>
      <x:c r="IE4" s="243"/>
      <x:c r="IF4" s="1981" t="s">
        <x:v>1062</x:v>
      </x:c>
      <x:c r="IG4" s="1983" t="s">
        <x:v>32</x:v>
      </x:c>
      <x:c r="IH4" s="1984"/>
      <x:c r="II4" s="1987" t="s">
        <x:v>34</x:v>
      </x:c>
      <x:c r="IJ4" s="1989" t="s">
        <x:v>489</x:v>
      </x:c>
      <x:c r="IK4" s="1990"/>
      <x:c r="IL4" s="1959" t="s">
        <x:v>600</x:v>
      </x:c>
      <x:c r="IM4" s="1959" t="s">
        <x:v>601</x:v>
      </x:c>
      <x:c r="IN4" s="1990" t="s">
        <x:v>602</x:v>
      </x:c>
      <x:c r="IO4" s="1990" t="s">
        <x:v>603</x:v>
      </x:c>
      <x:c r="IP4" s="1990" t="s">
        <x:v>604</x:v>
      </x:c>
      <x:c r="IQ4" s="1993" t="s">
        <x:v>605</x:v>
      </x:c>
      <x:c r="IR4" s="1994"/>
      <x:c r="IS4" s="1995" t="s">
        <x:v>598</x:v>
      </x:c>
      <x:c r="IT4" s="1996"/>
      <x:c r="IU4" s="1987" t="s">
        <x:v>609</x:v>
      </x:c>
      <x:c r="IV4" s="1997" t="s">
        <x:v>599</x:v>
      </x:c>
      <x:c r="IW4" s="1995" t="s">
        <x:v>598</x:v>
      </x:c>
      <x:c r="IX4" s="1996"/>
      <x:c r="IY4" s="1987" t="s">
        <x:v>609</x:v>
      </x:c>
      <x:c r="IZ4" s="1997" t="s">
        <x:v>599</x:v>
      </x:c>
      <x:c r="JA4" s="1995" t="s">
        <x:v>598</x:v>
      </x:c>
      <x:c r="JB4" s="1996"/>
      <x:c r="JC4" s="1987" t="s">
        <x:v>609</x:v>
      </x:c>
      <x:c r="JD4" s="1997" t="s">
        <x:v>599</x:v>
      </x:c>
      <x:c r="JE4" s="1995" t="s">
        <x:v>598</x:v>
      </x:c>
      <x:c r="JF4" s="1996"/>
      <x:c r="JG4" s="1987" t="s">
        <x:v>609</x:v>
      </x:c>
      <x:c r="JH4" s="1957" t="s">
        <x:v>599</x:v>
      </x:c>
      <x:c r="JK4" s="1957" t="s">
        <x:v>1160</x:v>
      </x:c>
    </x:row>
    <x:row r="5" spans="1:276" s="117" customFormat="1" ht="12.95" customHeight="1" thickTop="1" thickBot="1" x14ac:dyDescent="0.25">
      <x:c r="A5" s="2062" t="str">
        <x:f ca="1">'Job Info.'!D11</x:f>
        <x:v>8200 Woolery Way | Fallon, NV 89406 | www.newmill.com</x:v>
      </x:c>
      <x:c r="B5" s="2063"/>
      <x:c r="C5" s="2063"/>
      <x:c r="D5" s="2063"/>
      <x:c r="E5" s="2063"/>
      <x:c r="F5" s="2063"/>
      <x:c r="G5" s="2063"/>
      <x:c r="H5" s="2063"/>
      <x:c r="I5" s="2063"/>
      <x:c r="J5" s="2063"/>
      <x:c r="K5" s="2063"/>
      <x:c r="L5" s="2063"/>
      <x:c r="M5" s="374"/>
      <x:c r="N5" s="374"/>
      <x:c r="O5" s="374"/>
      <x:c r="P5" s="374"/>
      <x:c r="Q5" s="374"/>
      <x:c r="R5" s="374"/>
      <x:c r="S5" s="374"/>
      <x:c r="T5" s="374"/>
      <x:c r="U5" s="374"/>
      <x:c r="V5" s="374"/>
      <x:c r="W5" s="374"/>
      <x:c r="X5" s="374"/>
      <x:c r="Y5" s="1089"/>
      <x:c r="Z5" s="1089"/>
      <x:c r="AA5" s="374"/>
      <x:c r="AB5" s="2084" t="str">
        <x:f ca="1">'Job Info.'!D11</x:f>
        <x:v>8200 Woolery Way | Fallon, NV 89406 | www.newmill.com</x:v>
      </x:c>
      <x:c r="AC5" s="2084"/>
      <x:c r="AD5" s="2084"/>
      <x:c r="AE5" s="2084"/>
      <x:c r="AF5" s="2084"/>
      <x:c r="AG5" s="2084"/>
      <x:c r="AH5" s="2084"/>
      <x:c r="AI5" s="2084"/>
      <x:c r="AJ5" s="2084"/>
      <x:c r="AK5" s="2084"/>
      <x:c r="AL5" s="2084"/>
      <x:c r="AM5" s="2084"/>
      <x:c r="AN5" s="2084"/>
      <x:c r="AO5" s="2084"/>
      <x:c r="AP5" s="2084"/>
      <x:c r="AQ5" s="2084"/>
      <x:c r="AR5" s="374"/>
      <x:c r="AS5" s="374"/>
      <x:c r="AT5" s="374"/>
      <x:c r="AU5" s="374"/>
      <x:c r="AV5" s="374"/>
      <x:c r="AW5" s="374"/>
      <x:c r="AX5" s="374"/>
      <x:c r="AY5" s="374"/>
      <x:c r="AZ5" s="374"/>
      <x:c r="BA5" s="374"/>
      <x:c r="BB5" s="374"/>
      <x:c r="BC5" s="374"/>
      <x:c r="BD5" s="374"/>
      <x:c r="BE5" s="374"/>
      <x:c r="BF5" s="374"/>
      <x:c r="BG5" s="374"/>
      <x:c r="BH5" s="261"/>
      <x:c r="CA5" s="246"/>
      <x:c r="CB5" s="244"/>
      <x:c r="CC5" s="244"/>
      <x:c r="CD5" s="244"/>
      <x:c r="CE5" s="244"/>
      <x:c r="CF5" s="244"/>
      <x:c r="CG5" s="244"/>
      <x:c r="CH5" s="244"/>
      <x:c r="CI5" s="244"/>
      <x:c r="CJ5" s="244"/>
      <x:c r="CK5" s="244"/>
      <x:c r="CL5" s="244"/>
      <x:c r="CM5" s="244"/>
      <x:c r="CN5" s="244"/>
      <x:c r="CO5" s="244"/>
      <x:c r="CP5" s="244"/>
      <x:c r="CQ5" s="244"/>
      <x:c r="CR5" s="244"/>
      <x:c r="CS5" s="244"/>
      <x:c r="CT5" s="244"/>
      <x:c r="CU5" s="244"/>
      <x:c r="CV5" s="244"/>
      <x:c r="CW5" s="244"/>
      <x:c r="CX5" s="241"/>
      <x:c r="CY5" s="244"/>
      <x:c r="CZ5" s="244"/>
      <x:c r="DA5" s="244"/>
      <x:c r="DB5" s="244"/>
      <x:c r="DC5" s="244"/>
      <x:c r="DD5" s="244"/>
      <x:c r="DE5" s="244"/>
      <x:c r="DF5" s="244"/>
      <x:c r="DG5" s="244"/>
      <x:c r="DH5" s="1622">
        <x:v>5</x:v>
      </x:c>
      <x:c r="DI5" s="1622">
        <x:v>4</x:v>
      </x:c>
      <x:c r="DJ5" s="1622">
        <x:v>3</x:v>
      </x:c>
      <x:c r="DK5" s="1622">
        <x:v>5</x:v>
      </x:c>
      <x:c r="DL5" s="1622">
        <x:v>2</x:v>
      </x:c>
      <x:c r="DM5" s="1622">
        <x:v>3</x:v>
      </x:c>
      <x:c r="DN5" s="1622">
        <x:v>5</x:v>
      </x:c>
      <x:c r="DO5" s="1622">
        <x:v>3</x:v>
      </x:c>
      <x:c r="DP5" s="1622">
        <x:v>4</x:v>
      </x:c>
      <x:c r="DQ5" s="1623">
        <x:v>4.57</x:v>
      </x:c>
      <x:c r="DR5" s="1623">
        <x:v>3.57</x:v>
      </x:c>
      <x:c r="DS5" s="1623">
        <x:v>3.57</x:v>
      </x:c>
      <x:c r="DT5" s="1623">
        <x:v>3.57</x:v>
      </x:c>
      <x:c r="DU5" s="1623">
        <x:v>3.57</x:v>
      </x:c>
      <x:c r="DV5" s="1622">
        <x:v>4</x:v>
      </x:c>
      <x:c r="DW5" s="1622">
        <x:v>5</x:v>
      </x:c>
      <x:c r="DX5" s="1622">
        <x:v>3</x:v>
      </x:c>
      <x:c r="DY5" s="1622">
        <x:v>2.29</x:v>
      </x:c>
      <x:c r="DZ5" s="1622">
        <x:v>4</x:v>
      </x:c>
      <x:c r="EA5" s="1622">
        <x:v>5</x:v>
      </x:c>
      <x:c r="EB5" s="1622">
        <x:v>3</x:v>
      </x:c>
      <x:c r="EC5" s="1622">
        <x:v>2.29</x:v>
      </x:c>
      <x:c r="ED5" s="1622">
        <x:v>4</x:v>
      </x:c>
      <x:c r="EE5" s="1622">
        <x:v>5</x:v>
      </x:c>
      <x:c r="EF5" s="1622">
        <x:v>3</x:v>
      </x:c>
      <x:c r="EG5" s="1622">
        <x:v>2.29</x:v>
      </x:c>
      <x:c r="EH5" s="1622">
        <x:v>4</x:v>
      </x:c>
      <x:c r="EI5" s="1622">
        <x:v>5</x:v>
      </x:c>
      <x:c r="EJ5" s="1622">
        <x:v>3</x:v>
      </x:c>
      <x:c r="EK5" s="1622">
        <x:v>2.29</x:v>
      </x:c>
      <x:c r="EL5" s="1622">
        <x:v>8</x:v>
      </x:c>
      <x:c r="EM5" s="1622">
        <x:v>8</x:v>
      </x:c>
      <x:c r="EN5" s="1622">
        <x:v>10</x:v>
      </x:c>
      <x:c r="EO5" s="1622">
        <x:v>6</x:v>
      </x:c>
      <x:c r="EP5" s="1622">
        <x:v>4.71</x:v>
      </x:c>
      <x:c r="EQ5" s="1622">
        <x:v>4.71</x:v>
      </x:c>
      <x:c r="ER5" s="1622">
        <x:v>3.57</x:v>
      </x:c>
      <x:c r="ES5" s="1622">
        <x:v>3.57</x:v>
      </x:c>
      <x:c r="ET5" s="1622">
        <x:v>3.57</x:v>
      </x:c>
      <x:c r="EU5" s="1622">
        <x:v>3.57</x:v>
      </x:c>
      <x:c r="EW5" s="1025" t="s">
        <x:v>1129</x:v>
      </x:c>
      <x:c r="EX5" s="1026">
        <x:f ca="1">OFFSET('Job Info.'!AI3,'Job Info.'!P34,1)</x:f>
        <x:v>1.1499999999999999</x:v>
      </x:c>
      <x:c r="EY5" s="309"/>
      <x:c r="EZ5" s="309"/>
      <x:c r="FA5" s="293"/>
      <x:c r="FB5" s="293"/>
      <x:c r="FC5" s="293"/>
      <x:c r="FD5" s="293"/>
      <x:c r="FE5" s="293"/>
      <x:c r="FF5" s="293"/>
      <x:c r="FG5" s="775">
        <x:v>4.5</x:v>
      </x:c>
      <x:c r="FH5" s="775">
        <x:v>5</x:v>
      </x:c>
      <x:c r="FI5" s="776">
        <x:v>6</x:v>
      </x:c>
      <x:c r="FJ5" s="246"/>
      <x:c r="FK5" s="246"/>
      <x:c r="FM5" s="243"/>
      <x:c r="FN5" s="243"/>
      <x:c r="FO5" s="243"/>
      <x:c r="FP5" s="242"/>
      <x:c r="FQ5" s="248"/>
      <x:c r="FR5" s="243"/>
      <x:c r="FS5" s="243"/>
      <x:c r="FT5" s="243"/>
      <x:c r="FU5" s="245"/>
      <x:c r="FV5" s="245"/>
      <x:c r="FZ5" s="245"/>
      <x:c r="GA5" s="241"/>
      <x:c r="GB5" s="241"/>
      <x:c r="GC5" s="241"/>
      <x:c r="GD5" s="241"/>
      <x:c r="GE5" s="241"/>
      <x:c r="GF5" s="241"/>
      <x:c r="GG5" s="241"/>
      <x:c r="GH5" s="241"/>
      <x:c r="GI5" s="241"/>
      <x:c r="GJ5" s="241"/>
      <x:c r="GK5" s="245"/>
      <x:c r="HA5" s="2095"/>
      <x:c r="HB5" s="2115"/>
      <x:c r="HC5" s="2187"/>
      <x:c r="HD5" s="2190"/>
      <x:c r="HE5" s="2191"/>
      <x:c r="HF5" s="2113"/>
      <x:c r="HG5" s="2090"/>
      <x:c r="HH5" s="2091"/>
      <x:c r="HI5" s="2090"/>
      <x:c r="HJ5" s="2091"/>
      <x:c r="HK5" s="2093"/>
      <x:c r="HL5" s="2097"/>
      <x:c r="HM5" s="2113"/>
      <x:c r="HN5" s="2090"/>
      <x:c r="HO5" s="2091"/>
      <x:c r="HP5" s="2090"/>
      <x:c r="HQ5" s="2091"/>
      <x:c r="HR5" s="2093"/>
      <x:c r="HS5" s="2097"/>
      <x:c r="HT5" s="2191"/>
      <x:c r="HU5" s="128" t="s">
        <x:v>418</x:v>
      </x:c>
      <x:c r="HV5" s="129" t="s">
        <x:v>553</x:v>
      </x:c>
      <x:c r="HW5" s="2103"/>
      <x:c r="HX5" s="2103"/>
      <x:c r="HY5" s="2249"/>
      <x:c r="HZ5" s="2251"/>
      <x:c r="IA5" s="810" t="s">
        <x:v>606</x:v>
      </x:c>
      <x:c r="IB5" s="811" t="s">
        <x:v>607</x:v>
      </x:c>
      <x:c r="IC5" s="496" t="s">
        <x:v>606</x:v>
      </x:c>
      <x:c r="ID5" s="497" t="s">
        <x:v>607</x:v>
      </x:c>
      <x:c r="IE5" s="243"/>
      <x:c r="IF5" s="1982"/>
      <x:c r="IG5" s="1985"/>
      <x:c r="IH5" s="1986"/>
      <x:c r="II5" s="1988"/>
      <x:c r="IJ5" s="1991"/>
      <x:c r="IK5" s="1992"/>
      <x:c r="IL5" s="1960"/>
      <x:c r="IM5" s="1960"/>
      <x:c r="IN5" s="1992"/>
      <x:c r="IO5" s="1992"/>
      <x:c r="IP5" s="1992"/>
      <x:c r="IQ5" s="520" t="s">
        <x:v>606</x:v>
      </x:c>
      <x:c r="IR5" s="521" t="s">
        <x:v>607</x:v>
      </x:c>
      <x:c r="IS5" s="545" t="s">
        <x:v>633</x:v>
      </x:c>
      <x:c r="IT5" s="546" t="s">
        <x:v>608</x:v>
      </x:c>
      <x:c r="IU5" s="1988"/>
      <x:c r="IV5" s="1989"/>
      <x:c r="IW5" s="545" t="s">
        <x:v>633</x:v>
      </x:c>
      <x:c r="IX5" s="546" t="s">
        <x:v>608</x:v>
      </x:c>
      <x:c r="IY5" s="1988"/>
      <x:c r="IZ5" s="1989"/>
      <x:c r="JA5" s="545" t="s">
        <x:v>633</x:v>
      </x:c>
      <x:c r="JB5" s="546" t="s">
        <x:v>608</x:v>
      </x:c>
      <x:c r="JC5" s="1988"/>
      <x:c r="JD5" s="1989"/>
      <x:c r="JE5" s="545" t="s">
        <x:v>633</x:v>
      </x:c>
      <x:c r="JF5" s="546" t="s">
        <x:v>608</x:v>
      </x:c>
      <x:c r="JG5" s="1988"/>
      <x:c r="JH5" s="1958"/>
      <x:c r="JK5" s="1958"/>
    </x:row>
    <x:row r="6" spans="1:276" s="117" customFormat="1" ht="12.95" customHeight="1" thickTop="1" thickBot="1" x14ac:dyDescent="0.25">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x:c r="V6" s="2060" t="s">
        <x:v>20</x:v>
      </x:c>
      <x:c r="W6" s="2060"/>
      <x:c r="X6" s="1816">
        <x:f>IF(ISBLANK('Job Info.'!D8),"",'Job Info.'!D8)</x:f>
        <x:v>45048</x:v>
      </x:c>
      <x:c r="Y6" s="1816"/>
      <x:c r="Z6" s="1089"/>
      <x:c r="AA6" s="374"/>
      <x:c r="AB6" s="374"/>
      <x:c r="AC6" s="374"/>
      <x:c r="AD6" s="374"/>
      <x:c r="AE6" s="374"/>
      <x:c r="AF6" s="374"/>
      <x:c r="AG6" s="374"/>
      <x:c r="AH6" s="374"/>
      <x:c r="AI6" s="374"/>
      <x:c r="AJ6" s="374"/>
      <x:c r="AK6" s="374"/>
      <x:c r="AL6" s="374"/>
      <x:c r="AM6" s="374"/>
      <x:c r="AN6" s="374"/>
      <x:c r="AO6" s="374"/>
      <x:c r="AP6" s="374"/>
      <x:c r="AQ6" s="374"/>
      <x:c r="AR6" s="374"/>
      <x:c r="AS6" s="374"/>
      <x:c r="AT6" s="374"/>
      <x:c r="AU6" s="374"/>
      <x:c r="AV6" s="374"/>
      <x:c r="AW6" s="374"/>
      <x:c r="AX6" s="374"/>
      <x:c r="AY6" s="374"/>
      <x:c r="AZ6" s="2060" t="s">
        <x:v>20</x:v>
      </x:c>
      <x:c r="BA6" s="2060"/>
      <x:c r="BB6" s="1816">
        <x:f>X6</x:f>
        <x:v>45048</x:v>
      </x:c>
      <x:c r="BC6" s="1816"/>
      <x:c r="BD6" s="1816"/>
      <x:c r="BE6" s="1090"/>
      <x:c r="BF6" s="374"/>
      <x:c r="BG6" s="374"/>
      <x:c r="BH6" s="261"/>
      <x:c r="BI6" s="503" t="s">
        <x:v>1132</x:v>
      </x:c>
      <x:c r="CA6" s="246"/>
      <x:c r="CB6" s="244"/>
      <x:c r="CC6" s="244"/>
      <x:c r="CD6" s="244"/>
      <x:c r="CE6" s="244"/>
      <x:c r="CF6" s="244"/>
      <x:c r="CG6" s="244"/>
      <x:c r="CH6" s="244"/>
      <x:c r="CI6" s="244"/>
      <x:c r="CJ6" s="244"/>
      <x:c r="CK6" s="244"/>
      <x:c r="CL6" s="244"/>
      <x:c r="CM6" s="244"/>
      <x:c r="CN6" s="244"/>
      <x:c r="CO6" s="244"/>
      <x:c r="CP6" s="244"/>
      <x:c r="CQ6" s="244"/>
      <x:c r="CR6" s="244"/>
      <x:c r="CS6" s="244"/>
      <x:c r="CT6" s="244"/>
      <x:c r="CU6" s="244"/>
      <x:c r="CV6" s="244"/>
      <x:c r="CW6" s="244"/>
      <x:c r="CX6" s="241"/>
      <x:c r="CY6" s="244"/>
      <x:c r="CZ6" s="244"/>
      <x:c r="DA6" s="244"/>
      <x:c r="DB6" s="244"/>
      <x:c r="DC6" s="244"/>
      <x:c r="DD6" s="244"/>
      <x:c r="DE6" s="244"/>
      <x:c r="DF6" s="244"/>
      <x:c r="DG6" s="244"/>
      <x:c r="DH6" s="2018" t="s">
        <x:v>639</x:v>
      </x:c>
      <x:c r="DI6" s="2019"/>
      <x:c r="DJ6" s="2019"/>
      <x:c r="DK6" s="2019"/>
      <x:c r="DL6" s="2019"/>
      <x:c r="DM6" s="2019"/>
      <x:c r="DN6" s="2019"/>
      <x:c r="DO6" s="2019"/>
      <x:c r="DP6" s="2019"/>
      <x:c r="DQ6" s="2019"/>
      <x:c r="DR6" s="2019"/>
      <x:c r="DS6" s="2019"/>
      <x:c r="DT6" s="2019"/>
      <x:c r="DU6" s="2019"/>
      <x:c r="DV6" s="2019"/>
      <x:c r="DW6" s="2019"/>
      <x:c r="DX6" s="2019"/>
      <x:c r="DY6" s="2019"/>
      <x:c r="DZ6" s="2019"/>
      <x:c r="EA6" s="2019"/>
      <x:c r="EB6" s="2019"/>
      <x:c r="EC6" s="2019"/>
      <x:c r="ED6" s="2019"/>
      <x:c r="EE6" s="2019"/>
      <x:c r="EF6" s="2019"/>
      <x:c r="EG6" s="2019"/>
      <x:c r="EH6" s="2019"/>
      <x:c r="EI6" s="2019"/>
      <x:c r="EJ6" s="2019"/>
      <x:c r="EK6" s="2020"/>
      <x:c r="EL6" s="203"/>
      <x:c r="EM6" s="203"/>
      <x:c r="EN6" s="203"/>
      <x:c r="EO6" s="927"/>
      <x:c r="EP6" s="927"/>
      <x:c r="EQ6" s="927"/>
      <x:c r="ER6" s="927"/>
      <x:c r="ES6" s="927"/>
      <x:c r="ET6" s="924"/>
      <x:c r="EU6" s="924"/>
      <x:c r="EV6" s="293"/>
      <x:c r="EW6" s="1300" t="s">
        <x:v>1207</x:v>
      </x:c>
      <x:c r="EX6" s="1299">
        <x:v>0.5</x:v>
      </x:c>
      <x:c r="EY6" s="293"/>
      <x:c r="EZ6" s="293"/>
      <x:c r="FA6" s="293"/>
      <x:c r="FB6" s="293"/>
      <x:c r="FC6" s="293"/>
      <x:c r="FD6" s="310"/>
      <x:c r="FE6" s="246"/>
      <x:c r="FF6" s="246"/>
      <x:c r="FG6" s="246"/>
      <x:c r="FH6" s="246"/>
      <x:c r="FI6" s="246"/>
      <x:c r="FJ6" s="246"/>
      <x:c r="FK6" s="246"/>
      <x:c r="FL6" s="253"/>
      <x:c r="FM6" s="243"/>
      <x:c r="FN6" s="243"/>
      <x:c r="FO6" s="243"/>
      <x:c r="FP6" s="242"/>
      <x:c r="FQ6" s="248"/>
      <x:c r="FR6" s="243"/>
      <x:c r="FS6" s="243"/>
      <x:c r="FT6" s="243"/>
      <x:c r="FU6" s="245"/>
      <x:c r="FV6" s="245"/>
      <x:c r="FZ6" s="245"/>
      <x:c r="GA6" s="241"/>
      <x:c r="GB6" s="241"/>
      <x:c r="GC6" s="241"/>
      <x:c r="GD6" s="241"/>
      <x:c r="GE6" s="241"/>
      <x:c r="GF6" s="241"/>
      <x:c r="GG6" s="241"/>
      <x:c r="GH6" s="241"/>
      <x:c r="GI6" s="241"/>
      <x:c r="GJ6" s="241"/>
      <x:c r="GK6" s="245"/>
      <x:c r="ID6" s="921" t="s">
        <x:v>1157</x:v>
      </x:c>
      <x:c r="IE6" s="255">
        <x:v>112</x:v>
      </x:c>
      <x:c r="IF6" s="255">
        <x:v>113</x:v>
      </x:c>
      <x:c r="IG6" s="255">
        <x:f t="shared" ref="IG6:JH7" si="0">IF6+1</x:f>
        <x:v>114</x:v>
      </x:c>
      <x:c r="IH6" s="255">
        <x:f t="shared" si="0"/>
        <x:v>115</x:v>
      </x:c>
      <x:c r="II6" s="255">
        <x:f t="shared" si="0"/>
        <x:v>116</x:v>
      </x:c>
      <x:c r="IJ6" s="255">
        <x:f t="shared" si="0"/>
        <x:v>117</x:v>
      </x:c>
      <x:c r="IK6" s="255">
        <x:f t="shared" si="0"/>
        <x:v>118</x:v>
      </x:c>
      <x:c r="IL6" s="255">
        <x:f t="shared" si="0"/>
        <x:v>119</x:v>
      </x:c>
      <x:c r="IM6" s="255">
        <x:f t="shared" si="0"/>
        <x:v>120</x:v>
      </x:c>
      <x:c r="IN6" s="255">
        <x:f t="shared" si="0"/>
        <x:v>121</x:v>
      </x:c>
      <x:c r="IO6" s="255">
        <x:f t="shared" si="0"/>
        <x:v>122</x:v>
      </x:c>
      <x:c r="IP6" s="255">
        <x:f t="shared" si="0"/>
        <x:v>123</x:v>
      </x:c>
      <x:c r="IQ6" s="255">
        <x:f t="shared" si="0"/>
        <x:v>124</x:v>
      </x:c>
      <x:c r="IR6" s="255">
        <x:f t="shared" si="0"/>
        <x:v>125</x:v>
      </x:c>
      <x:c r="IS6" s="255">
        <x:f t="shared" si="0"/>
        <x:v>126</x:v>
      </x:c>
      <x:c r="IT6" s="255">
        <x:f t="shared" si="0"/>
        <x:v>127</x:v>
      </x:c>
      <x:c r="IU6" s="255">
        <x:f t="shared" si="0"/>
        <x:v>128</x:v>
      </x:c>
      <x:c r="IV6" s="255">
        <x:f t="shared" si="0"/>
        <x:v>129</x:v>
      </x:c>
      <x:c r="IW6" s="255">
        <x:f t="shared" si="0"/>
        <x:v>130</x:v>
      </x:c>
      <x:c r="IX6" s="255">
        <x:f t="shared" si="0"/>
        <x:v>131</x:v>
      </x:c>
      <x:c r="IY6" s="255">
        <x:f t="shared" si="0"/>
        <x:v>132</x:v>
      </x:c>
      <x:c r="IZ6" s="255">
        <x:f t="shared" si="0"/>
        <x:v>133</x:v>
      </x:c>
      <x:c r="JA6" s="255">
        <x:f t="shared" si="0"/>
        <x:v>134</x:v>
      </x:c>
      <x:c r="JB6" s="255">
        <x:f t="shared" si="0"/>
        <x:v>135</x:v>
      </x:c>
      <x:c r="JC6" s="255">
        <x:f t="shared" si="0"/>
        <x:v>136</x:v>
      </x:c>
      <x:c r="JD6" s="255">
        <x:f t="shared" si="0"/>
        <x:v>137</x:v>
      </x:c>
      <x:c r="JE6" s="255">
        <x:f t="shared" si="0"/>
        <x:v>138</x:v>
      </x:c>
      <x:c r="JF6" s="255">
        <x:f t="shared" si="0"/>
        <x:v>139</x:v>
      </x:c>
      <x:c r="JG6" s="255">
        <x:f t="shared" si="0"/>
        <x:v>140</x:v>
      </x:c>
      <x:c r="JH6" s="255">
        <x:f t="shared" si="0"/>
        <x:v>141</x:v>
      </x:c>
      <x:c r="JI6" s="255"/>
      <x:c r="JJ6" s="255"/>
      <x:c r="JK6" s="255"/>
    </x:row>
    <x:row r="7" spans="1:276" s="117" customFormat="1" ht="12.95" customHeight="1" x14ac:dyDescent="0.2">
      <x:c r="A7" s="1091" t="s">
        <x:v>37</x:v>
      </x:c>
      <x:c r="B7" s="374"/>
      <x:c r="C7" s="374"/>
      <x:c r="D7" s="374"/>
      <x:c r="E7" s="374"/>
      <x:c r="F7" s="374"/>
      <x:c r="G7" s="374"/>
      <x:c r="H7" s="374"/>
      <x:c r="I7" s="374"/>
      <x:c r="J7" s="374"/>
      <x:c r="K7" s="2060" t="s">
        <x:v>26</x:v>
      </x:c>
      <x:c r="L7" s="2061"/>
      <x:c r="M7" s="2827" t="s">
        <x:v>1389</x:v>
      </x:c>
      <x:c r="N7" s="2828"/>
      <x:c r="O7" s="2828"/>
      <x:c r="P7" s="2828"/>
      <x:c r="Q7" s="2828"/>
      <x:c r="R7" s="2828"/>
      <x:c r="S7" s="2828"/>
      <x:c r="T7"/>
      <x:c r="U7"/>
      <x:c r="V7" s="2060" t="s">
        <x:v>21</x:v>
      </x:c>
      <x:c r="W7" s="2060"/>
      <x:c r="X7" s="1175" t="str">
        <x:f>CONCATENATE(BI7, " of ",IF(ISBLANK('Job Info.'!D9),"",'Job Info.'!D9))</x:f>
        <x:v>11 of 19</x:v>
      </x:c>
      <x:c r="Y7" s="658"/>
      <x:c r="Z7" s="1089"/>
      <x:c r="AA7" s="374"/>
      <x:c r="AB7" s="1091" t="s">
        <x:v>38</x:v>
      </x:c>
      <x:c r="AC7" s="374"/>
      <x:c r="AD7" s="374"/>
      <x:c r="AE7" s="374"/>
      <x:c r="AF7" s="374"/>
      <x:c r="AG7" s="374"/>
      <x:c r="AH7" s="374"/>
      <x:c r="AI7" s="374"/>
      <x:c r="AJ7" s="374"/>
      <x:c r="AK7" s="374"/>
      <x:c r="AL7" s="374"/>
      <x:c r="AM7" s="374"/>
      <x:c r="AN7" s="374"/>
      <x:c r="AO7" s="374"/>
      <x:c r="AP7" s="374"/>
      <x:c r="AQ7" s="374"/>
      <x:c r="AR7" s="374"/>
      <x:c r="AS7" s="374"/>
      <x:c r="AT7" s="374"/>
      <x:c r="AU7" s="374"/>
      <x:c r="AV7" s="374"/>
      <x:c r="AW7" s="374"/>
      <x:c r="AX7" s="374"/>
      <x:c r="AY7" s="374"/>
      <x:c r="AZ7" s="2060" t="s">
        <x:v>21</x:v>
      </x:c>
      <x:c r="BA7" s="2060"/>
      <x:c r="BB7" s="1099" t="str">
        <x:f>CONCATENATE(IF(ISBLANK(BI7),"",BI7+1), " of ",IF(ISBLANK('Job Info.'!D9),"",'Job Info.'!D9))</x:f>
        <x:v>12 of 19</x:v>
      </x:c>
      <x:c r="BC7" s="658"/>
      <x:c r="BD7" s="658"/>
      <x:c r="BE7" s="374"/>
      <x:c r="BF7" s="374"/>
      <x:c r="BG7" s="374"/>
      <x:c r="BH7" s="261"/>
      <x:c r="BI7" s="1083">
        <x:v>11</x:v>
      </x:c>
      <x:c r="CA7" s="246"/>
      <x:c r="CB7" s="244"/>
      <x:c r="CC7" s="244"/>
      <x:c r="CD7" s="244"/>
      <x:c r="CE7" s="244"/>
      <x:c r="CF7" s="244"/>
      <x:c r="CG7" s="244"/>
      <x:c r="CH7" s="244"/>
      <x:c r="CI7" s="244"/>
      <x:c r="CJ7" s="244"/>
      <x:c r="CK7" s="244"/>
      <x:c r="CL7" s="244"/>
      <x:c r="CM7" s="244"/>
      <x:c r="CN7" s="244"/>
      <x:c r="CO7" s="244"/>
      <x:c r="CP7" s="244"/>
      <x:c r="CQ7" s="244"/>
      <x:c r="CR7" s="244"/>
      <x:c r="CS7" s="244"/>
      <x:c r="CT7" s="244"/>
      <x:c r="CU7" s="244"/>
      <x:c r="CV7" s="244"/>
      <x:c r="CW7" s="244"/>
      <x:c r="CX7" s="241"/>
      <x:c r="CY7" s="244"/>
      <x:c r="CZ7" s="244"/>
      <x:c r="DA7" s="244"/>
      <x:c r="DB7" s="244"/>
      <x:c r="DC7" s="244"/>
      <x:c r="DD7" s="244"/>
      <x:c r="DE7" s="244"/>
      <x:c r="DF7" s="244"/>
      <x:c r="DG7" s="244"/>
      <x:c r="DH7" s="2021"/>
      <x:c r="DI7" s="2022"/>
      <x:c r="DJ7" s="2022"/>
      <x:c r="DK7" s="2022"/>
      <x:c r="DL7" s="2022"/>
      <x:c r="DM7" s="2022"/>
      <x:c r="DN7" s="2022"/>
      <x:c r="DO7" s="2022"/>
      <x:c r="DP7" s="2022"/>
      <x:c r="DQ7" s="2022"/>
      <x:c r="DR7" s="2022"/>
      <x:c r="DS7" s="2022"/>
      <x:c r="DT7" s="2022"/>
      <x:c r="DU7" s="2022"/>
      <x:c r="DV7" s="2022"/>
      <x:c r="DW7" s="2022"/>
      <x:c r="DX7" s="2022"/>
      <x:c r="DY7" s="2022"/>
      <x:c r="DZ7" s="2022"/>
      <x:c r="EA7" s="2022"/>
      <x:c r="EB7" s="2022"/>
      <x:c r="EC7" s="2022"/>
      <x:c r="ED7" s="2022"/>
      <x:c r="EE7" s="2022"/>
      <x:c r="EF7" s="2022"/>
      <x:c r="EG7" s="2022"/>
      <x:c r="EH7" s="2022"/>
      <x:c r="EI7" s="2022"/>
      <x:c r="EJ7" s="2022"/>
      <x:c r="EK7" s="2023"/>
      <x:c r="EL7" s="244"/>
      <x:c r="EM7" s="244"/>
      <x:c r="EN7" s="203"/>
      <x:c r="EO7" s="924"/>
      <x:c r="EP7" s="927"/>
      <x:c r="EQ7" s="927"/>
      <x:c r="ER7" s="927"/>
      <x:c r="ES7" s="924"/>
      <x:c r="ET7" s="924"/>
      <x:c r="EU7" s="924"/>
      <x:c r="EV7" s="293"/>
      <x:c r="EW7" s="293"/>
      <x:c r="EX7" s="293"/>
      <x:c r="EY7" s="293"/>
      <x:c r="EZ7" s="293"/>
      <x:c r="FA7" s="293"/>
      <x:c r="FB7" s="293"/>
      <x:c r="FC7" s="293"/>
      <x:c r="FD7" s="310"/>
      <x:c r="FE7" s="246"/>
      <x:c r="FF7" s="246"/>
      <x:c r="FG7" s="246"/>
      <x:c r="FH7" s="246"/>
      <x:c r="FI7" s="246"/>
      <x:c r="FJ7" s="246"/>
      <x:c r="FK7" s="246"/>
      <x:c r="FL7" s="253"/>
      <x:c r="FM7" s="243"/>
      <x:c r="FN7" s="243"/>
      <x:c r="FO7" s="243"/>
      <x:c r="FP7" s="242"/>
      <x:c r="FQ7" s="248"/>
      <x:c r="FR7" s="243"/>
      <x:c r="FS7" s="243"/>
      <x:c r="FT7" s="243"/>
      <x:c r="FU7" s="245"/>
      <x:c r="FV7" s="245"/>
      <x:c r="FZ7" s="245"/>
      <x:c r="GA7" s="241"/>
      <x:c r="GB7" s="241"/>
      <x:c r="GC7" s="241"/>
      <x:c r="GD7" s="241"/>
      <x:c r="GE7" s="241"/>
      <x:c r="GF7" s="241"/>
      <x:c r="GG7" s="241"/>
      <x:c r="GH7" s="241"/>
      <x:c r="GI7" s="241"/>
      <x:c r="GJ7" s="241"/>
      <x:c r="GK7" s="245"/>
      <x:c r="ID7" s="921" t="s">
        <x:v>1133</x:v>
      </x:c>
      <x:c r="IE7" s="1169">
        <x:v>28</x:v>
      </x:c>
      <x:c r="IF7" s="255">
        <x:v>29</x:v>
      </x:c>
      <x:c r="IG7" s="255">
        <x:f t="shared" si="0"/>
        <x:v>30</x:v>
      </x:c>
      <x:c r="IH7" s="255">
        <x:f t="shared" si="0"/>
        <x:v>31</x:v>
      </x:c>
      <x:c r="II7" s="255">
        <x:f t="shared" si="0"/>
        <x:v>32</x:v>
      </x:c>
      <x:c r="IJ7" s="255">
        <x:f t="shared" si="0"/>
        <x:v>33</x:v>
      </x:c>
      <x:c r="IK7" s="255">
        <x:f t="shared" si="0"/>
        <x:v>34</x:v>
      </x:c>
      <x:c r="IL7" s="255">
        <x:f t="shared" si="0"/>
        <x:v>35</x:v>
      </x:c>
      <x:c r="IM7" s="255">
        <x:f t="shared" si="0"/>
        <x:v>36</x:v>
      </x:c>
      <x:c r="IN7" s="255">
        <x:f t="shared" si="0"/>
        <x:v>37</x:v>
      </x:c>
      <x:c r="IO7" s="255">
        <x:f t="shared" si="0"/>
        <x:v>38</x:v>
      </x:c>
      <x:c r="IP7" s="255">
        <x:f t="shared" si="0"/>
        <x:v>39</x:v>
      </x:c>
      <x:c r="IQ7" s="255">
        <x:f t="shared" si="0"/>
        <x:v>40</x:v>
      </x:c>
      <x:c r="IR7" s="255">
        <x:f t="shared" si="0"/>
        <x:v>41</x:v>
      </x:c>
      <x:c r="IS7" s="255">
        <x:f t="shared" si="0"/>
        <x:v>42</x:v>
      </x:c>
      <x:c r="IT7" s="255">
        <x:f t="shared" si="0"/>
        <x:v>43</x:v>
      </x:c>
      <x:c r="IU7" s="255">
        <x:f t="shared" si="0"/>
        <x:v>44</x:v>
      </x:c>
      <x:c r="IV7" s="255">
        <x:f t="shared" si="0"/>
        <x:v>45</x:v>
      </x:c>
      <x:c r="IW7" s="255">
        <x:f t="shared" si="0"/>
        <x:v>46</x:v>
      </x:c>
      <x:c r="IX7" s="255">
        <x:f t="shared" si="0"/>
        <x:v>47</x:v>
      </x:c>
      <x:c r="IY7" s="255">
        <x:f t="shared" si="0"/>
        <x:v>48</x:v>
      </x:c>
      <x:c r="IZ7" s="255">
        <x:f t="shared" si="0"/>
        <x:v>49</x:v>
      </x:c>
      <x:c r="JA7" s="255">
        <x:f t="shared" si="0"/>
        <x:v>50</x:v>
      </x:c>
      <x:c r="JB7" s="255">
        <x:f t="shared" si="0"/>
        <x:v>51</x:v>
      </x:c>
      <x:c r="JC7" s="255">
        <x:f t="shared" si="0"/>
        <x:v>52</x:v>
      </x:c>
      <x:c r="JD7" s="255">
        <x:f t="shared" si="0"/>
        <x:v>53</x:v>
      </x:c>
      <x:c r="JE7" s="255">
        <x:f t="shared" si="0"/>
        <x:v>54</x:v>
      </x:c>
      <x:c r="JF7" s="255">
        <x:f t="shared" si="0"/>
        <x:v>55</x:v>
      </x:c>
      <x:c r="JG7" s="255">
        <x:f t="shared" si="0"/>
        <x:v>56</x:v>
      </x:c>
      <x:c r="JH7" s="255">
        <x:f t="shared" si="0"/>
        <x:v>57</x:v>
      </x:c>
      <x:c r="JI7" s="255">
        <x:f>JH7+1</x:f>
        <x:v>58</x:v>
      </x:c>
      <x:c r="JJ7" s="255">
        <x:f>JI7+1</x:f>
        <x:v>59</x:v>
      </x:c>
      <x:c r="JK7" s="255"/>
    </x:row>
    <x:row r="8" spans="1:276" s="117" customFormat="1" ht="2.85" customHeight="1" thickBot="1" x14ac:dyDescent="0.25">
      <x:c r="A8" s="2064"/>
      <x:c r="B8" s="2064"/>
      <x:c r="C8" s="2064"/>
      <x:c r="D8" s="2064"/>
      <x:c r="E8" s="2064"/>
      <x:c r="F8" s="2064"/>
      <x:c r="G8" s="2064"/>
      <x:c r="H8" s="2064"/>
      <x:c r="I8" s="2064"/>
      <x:c r="J8" s="2064"/>
      <x:c r="K8" s="2064"/>
      <x:c r="L8" s="2064"/>
      <x:c r="M8" s="2064"/>
      <x:c r="N8" s="2064"/>
      <x:c r="O8" s="2064"/>
      <x:c r="P8" s="2064"/>
      <x:c r="Q8" s="2064"/>
      <x:c r="R8" s="2064"/>
      <x:c r="S8" s="2064"/>
      <x:c r="T8" s="2064"/>
      <x:c r="U8" s="2064"/>
      <x:c r="V8" s="2064"/>
      <x:c r="W8" s="2064"/>
      <x:c r="X8" s="2064"/>
      <x:c r="Y8" s="2064"/>
      <x:c r="Z8" s="2064"/>
      <x:c r="AA8" s="2064"/>
      <x:c r="AB8" s="2064"/>
      <x:c r="AC8" s="2064"/>
      <x:c r="AD8" s="2064"/>
      <x:c r="AE8" s="2064"/>
      <x:c r="AF8" s="2064"/>
      <x:c r="AG8" s="2064"/>
      <x:c r="AH8" s="2064"/>
      <x:c r="AI8" s="2064"/>
      <x:c r="AJ8" s="2064"/>
      <x:c r="AK8" s="2064"/>
      <x:c r="AL8" s="2064"/>
      <x:c r="AM8" s="2064"/>
      <x:c r="AN8" s="2064"/>
      <x:c r="AO8" s="2064"/>
      <x:c r="AP8" s="2064"/>
      <x:c r="AQ8" s="2064"/>
      <x:c r="AR8" s="2064"/>
      <x:c r="AS8" s="2064"/>
      <x:c r="AT8" s="2064"/>
      <x:c r="AU8" s="2064"/>
      <x:c r="AV8" s="2064"/>
      <x:c r="AW8" s="2064"/>
      <x:c r="AX8" s="2064"/>
      <x:c r="AY8" s="2064"/>
      <x:c r="AZ8" s="2064"/>
      <x:c r="BA8" s="2064"/>
      <x:c r="BB8" s="2064"/>
      <x:c r="BC8" s="2064"/>
      <x:c r="BD8" s="2064"/>
      <x:c r="BE8" s="2064"/>
      <x:c r="BF8" s="2064"/>
      <x:c r="BG8" s="2064"/>
      <x:c r="BH8" s="261"/>
      <x:c r="CA8" s="246"/>
      <x:c r="CB8" s="244"/>
      <x:c r="CC8" s="244"/>
      <x:c r="CD8" s="244"/>
      <x:c r="CE8" s="244"/>
      <x:c r="CF8" s="244"/>
      <x:c r="CG8" s="244"/>
      <x:c r="CH8" s="244"/>
      <x:c r="CI8" s="244"/>
      <x:c r="CJ8" s="244"/>
      <x:c r="CK8" s="244"/>
      <x:c r="CL8" s="244"/>
      <x:c r="CM8" s="244"/>
      <x:c r="CN8" s="244"/>
      <x:c r="CO8" s="244"/>
      <x:c r="CP8" s="244"/>
      <x:c r="CQ8" s="244"/>
      <x:c r="CR8" s="244"/>
      <x:c r="CS8" s="244"/>
      <x:c r="CT8" s="244"/>
      <x:c r="CU8" s="244"/>
      <x:c r="CV8" s="244"/>
      <x:c r="CW8" s="244"/>
      <x:c r="CX8" s="241"/>
      <x:c r="CY8" s="244"/>
      <x:c r="CZ8" s="244"/>
      <x:c r="DA8" s="244"/>
      <x:c r="DB8" s="244"/>
      <x:c r="DC8" s="244"/>
      <x:c r="DD8" s="244"/>
      <x:c r="DE8" s="244"/>
      <x:c r="DF8" s="244"/>
      <x:c r="DG8" s="244"/>
      <x:c r="DH8" s="2024"/>
      <x:c r="DI8" s="2025"/>
      <x:c r="DJ8" s="2025"/>
      <x:c r="DK8" s="2025"/>
      <x:c r="DL8" s="2025"/>
      <x:c r="DM8" s="2025"/>
      <x:c r="DN8" s="2025"/>
      <x:c r="DO8" s="2025"/>
      <x:c r="DP8" s="2025"/>
      <x:c r="DQ8" s="2025"/>
      <x:c r="DR8" s="2025"/>
      <x:c r="DS8" s="2025"/>
      <x:c r="DT8" s="2025"/>
      <x:c r="DU8" s="2025"/>
      <x:c r="DV8" s="2025"/>
      <x:c r="DW8" s="2025"/>
      <x:c r="DX8" s="2025"/>
      <x:c r="DY8" s="2025"/>
      <x:c r="DZ8" s="2025"/>
      <x:c r="EA8" s="2025"/>
      <x:c r="EB8" s="2025"/>
      <x:c r="EC8" s="2025"/>
      <x:c r="ED8" s="2025"/>
      <x:c r="EE8" s="2025"/>
      <x:c r="EF8" s="2025"/>
      <x:c r="EG8" s="2025"/>
      <x:c r="EH8" s="2025"/>
      <x:c r="EI8" s="2025"/>
      <x:c r="EJ8" s="2025"/>
      <x:c r="EK8" s="2026"/>
      <x:c r="EL8" s="244"/>
      <x:c r="EM8" s="244"/>
      <x:c r="EN8" s="203"/>
      <x:c r="EO8" s="244"/>
      <x:c r="EP8" s="203"/>
      <x:c r="EQ8" s="203"/>
      <x:c r="ER8" s="203"/>
      <x:c r="ES8" s="244"/>
      <x:c r="ET8" s="244"/>
      <x:c r="EU8" s="244"/>
      <x:c r="EV8" s="246"/>
      <x:c r="EW8" s="246"/>
      <x:c r="EX8" s="246"/>
      <x:c r="EY8" s="246"/>
      <x:c r="EZ8" s="246"/>
      <x:c r="FA8" s="246"/>
      <x:c r="FB8" s="246"/>
      <x:c r="FC8" s="246"/>
      <x:c r="FD8" s="246"/>
      <x:c r="FE8" s="246"/>
      <x:c r="FF8" s="246"/>
      <x:c r="FG8" s="246"/>
      <x:c r="FH8" s="246"/>
      <x:c r="FI8" s="246"/>
      <x:c r="FJ8" s="246"/>
      <x:c r="FK8" s="246"/>
      <x:c r="FM8" s="243"/>
      <x:c r="FN8" s="243"/>
      <x:c r="FO8" s="254"/>
      <x:c r="FP8" s="242"/>
      <x:c r="FQ8" s="248"/>
      <x:c r="FR8" s="243"/>
      <x:c r="FS8" s="243"/>
      <x:c r="FT8" s="243"/>
      <x:c r="FU8" s="245"/>
      <x:c r="FV8" s="245"/>
      <x:c r="FZ8" s="245"/>
      <x:c r="GA8" s="241"/>
      <x:c r="GB8" s="241"/>
      <x:c r="GC8" s="241"/>
      <x:c r="GD8" s="241"/>
      <x:c r="GE8" s="241"/>
      <x:c r="GF8" s="241"/>
      <x:c r="GG8" s="241"/>
      <x:c r="GH8" s="241"/>
      <x:c r="GI8" s="241"/>
      <x:c r="GJ8" s="241"/>
      <x:c r="GK8" s="245"/>
    </x:row>
    <x:row r="9" spans="1:276" s="117" customFormat="1" ht="12.2" customHeight="1" thickTop="1" x14ac:dyDescent="0.2">
      <x:c r="A9" s="1901" t="s">
        <x:v>1</x:v>
      </x:c>
      <x:c r="B9" s="1857"/>
      <x:c r="C9" s="1808" t="str">
        <x:f>IF(ISBLANK('Job Info.'!D3),"",'Job Info.'!D3)</x:f>
        <x:v>MINDEN UPS BLDG 1</x:v>
      </x:c>
      <x:c r="D9" s="1808"/>
      <x:c r="E9" s="1808"/>
      <x:c r="F9" s="1808"/>
      <x:c r="G9" s="1808"/>
      <x:c r="H9" s="1808"/>
      <x:c r="I9" s="1808"/>
      <x:c r="J9" s="1808"/>
      <x:c r="K9" s="1808"/>
      <x:c r="L9" s="1808"/>
      <x:c r="M9" s="1808"/>
      <x:c r="N9" s="1808"/>
      <x:c r="O9" s="1808"/>
      <x:c r="P9" s="1809"/>
      <x:c r="Q9" s="1901" t="s">
        <x:v>2</x:v>
      </x:c>
      <x:c r="R9" s="1857"/>
      <x:c r="S9" s="1857"/>
      <x:c r="T9" s="1809" t="str">
        <x:f>IF(ISBLANK('Job Info.'!D5),"",'Job Info.'!D5)</x:f>
        <x:v>NN22-0071</x:v>
      </x:c>
      <x:c r="U9" s="2085"/>
      <x:c r="V9" s="2085"/>
      <x:c r="W9" s="2085"/>
      <x:c r="X9" s="2085"/>
      <x:c r="Y9" s="2085"/>
      <x:c r="Z9" s="2085"/>
      <x:c r="AA9" s="2085"/>
      <x:c r="AB9" s="2059" t="s">
        <x:v>1</x:v>
      </x:c>
      <x:c r="AC9" s="2059"/>
      <x:c r="AD9" s="1901"/>
      <x:c r="AE9" s="1808" t="str">
        <x:f>C9</x:f>
        <x:v>MINDEN UPS BLDG 1</x:v>
      </x:c>
      <x:c r="AF9" s="1808"/>
      <x:c r="AG9" s="1808"/>
      <x:c r="AH9" s="1808"/>
      <x:c r="AI9" s="1808"/>
      <x:c r="AJ9" s="1808"/>
      <x:c r="AK9" s="1808"/>
      <x:c r="AL9" s="1808"/>
      <x:c r="AM9" s="1808"/>
      <x:c r="AN9" s="1808"/>
      <x:c r="AO9" s="1808"/>
      <x:c r="AP9" s="1808"/>
      <x:c r="AQ9" s="1808"/>
      <x:c r="AR9" s="1808"/>
      <x:c r="AS9" s="1808"/>
      <x:c r="AT9" s="1809"/>
      <x:c r="AU9" s="1901" t="s">
        <x:v>2</x:v>
      </x:c>
      <x:c r="AV9" s="1857"/>
      <x:c r="AW9" s="1857"/>
      <x:c r="AX9" s="1808" t="str">
        <x:f>T9</x:f>
        <x:v>NN22-0071</x:v>
      </x:c>
      <x:c r="AY9" s="1808"/>
      <x:c r="AZ9" s="1808"/>
      <x:c r="BA9" s="1808"/>
      <x:c r="BB9" s="1808"/>
      <x:c r="BC9" s="1808"/>
      <x:c r="BD9" s="1808"/>
      <x:c r="BE9" s="1808"/>
      <x:c r="BF9" s="1808"/>
      <x:c r="BG9" s="1809"/>
      <x:c r="BH9" s="261"/>
      <x:c r="CA9" s="246"/>
      <x:c r="CB9" s="244"/>
      <x:c r="CC9" s="244"/>
      <x:c r="CD9" s="244"/>
      <x:c r="CE9" s="244"/>
      <x:c r="CF9" s="244"/>
      <x:c r="CG9" s="244"/>
      <x:c r="CH9" s="244"/>
      <x:c r="CI9" s="244"/>
      <x:c r="CJ9" s="244"/>
      <x:c r="CK9" s="244"/>
      <x:c r="CL9" s="244"/>
      <x:c r="CM9" s="244"/>
      <x:c r="CN9" s="244"/>
      <x:c r="CO9" s="244"/>
      <x:c r="CP9" s="244"/>
      <x:c r="CQ9" s="244"/>
      <x:c r="CR9" s="244"/>
      <x:c r="CS9" s="244"/>
      <x:c r="CT9" s="244"/>
      <x:c r="CU9" s="244"/>
      <x:c r="CV9" s="244"/>
      <x:c r="CW9" s="244"/>
      <x:c r="CX9" s="241"/>
      <x:c r="CY9" s="244"/>
      <x:c r="CZ9" s="244"/>
      <x:c r="DA9" s="244"/>
      <x:c r="DB9" s="244"/>
      <x:c r="DC9" s="244"/>
      <x:c r="DD9" s="244"/>
      <x:c r="DE9" s="244"/>
      <x:c r="DF9" s="244"/>
      <x:c r="DG9" s="244"/>
      <x:c r="DH9" s="2004" t="s">
        <x:v>613</x:v>
      </x:c>
      <x:c r="DI9" s="1914" t="s">
        <x:v>640</x:v>
      </x:c>
      <x:c r="DJ9" s="1927"/>
      <x:c r="DK9" s="1927"/>
      <x:c r="DL9" s="1927"/>
      <x:c r="DM9" s="1927"/>
      <x:c r="DN9" s="1954"/>
      <x:c r="DO9" s="2001" t="s">
        <x:v>1287</x:v>
      </x:c>
      <x:c r="DP9" s="1914" t="s">
        <x:v>641</x:v>
      </x:c>
      <x:c r="DQ9" s="1915"/>
      <x:c r="DR9" s="1915"/>
      <x:c r="DS9" s="1915"/>
      <x:c r="DT9" s="1915"/>
      <x:c r="DU9" s="1916"/>
      <x:c r="DV9" s="2193" t="s">
        <x:v>610</x:v>
      </x:c>
      <x:c r="DW9" s="1915"/>
      <x:c r="DX9" s="1915"/>
      <x:c r="DY9" s="1915"/>
      <x:c r="DZ9" s="1915"/>
      <x:c r="EA9" s="1915"/>
      <x:c r="EB9" s="1915"/>
      <x:c r="EC9" s="1915"/>
      <x:c r="ED9" s="1915"/>
      <x:c r="EE9" s="1915"/>
      <x:c r="EF9" s="1915"/>
      <x:c r="EG9" s="1915"/>
      <x:c r="EH9" s="1915"/>
      <x:c r="EI9" s="1915"/>
      <x:c r="EJ9" s="1915"/>
      <x:c r="EK9" s="1916"/>
      <x:c r="EL9" s="244"/>
      <x:c r="EM9" s="244"/>
      <x:c r="EN9" s="203"/>
      <x:c r="EO9" s="244"/>
      <x:c r="EP9" s="203"/>
      <x:c r="EQ9" s="241"/>
      <x:c r="ER9" s="241"/>
      <x:c r="ES9" s="241"/>
      <x:c r="ET9" s="241"/>
      <x:c r="EU9" s="244"/>
      <x:c r="EV9" s="246"/>
      <x:c r="EW9" s="246"/>
      <x:c r="EX9" s="246"/>
      <x:c r="EY9" s="246"/>
      <x:c r="EZ9" s="246"/>
      <x:c r="FA9" s="246"/>
      <x:c r="FB9" s="246"/>
      <x:c r="FC9" s="246"/>
      <x:c r="FD9" s="246"/>
      <x:c r="FE9" s="246"/>
      <x:c r="FG9" s="246"/>
      <x:c r="FH9" s="246"/>
      <x:c r="FI9" s="246"/>
      <x:c r="FJ9" s="246"/>
      <x:c r="FK9" s="246"/>
      <x:c r="FL9" s="253"/>
      <x:c r="FM9" s="243"/>
      <x:c r="FN9" s="243"/>
      <x:c r="FO9" s="243"/>
      <x:c r="FP9" s="242"/>
      <x:c r="FQ9" s="248"/>
      <x:c r="FR9" s="243"/>
      <x:c r="FS9" s="243"/>
      <x:c r="FT9" s="243"/>
      <x:c r="FU9" s="245"/>
      <x:c r="FV9" s="245"/>
      <x:c r="FZ9" s="245"/>
      <x:c r="GA9" s="241"/>
      <x:c r="GB9" s="241"/>
      <x:c r="GC9" s="241"/>
      <x:c r="GD9" s="241"/>
      <x:c r="GE9" s="241"/>
      <x:c r="GF9" s="241"/>
      <x:c r="GG9" s="241"/>
      <x:c r="GH9" s="241"/>
      <x:c r="GI9" s="241"/>
      <x:c r="GJ9" s="241"/>
      <x:c r="GK9" s="245"/>
      <x:c r="ID9" s="921" t="s">
        <x:v>1156</x:v>
      </x:c>
      <x:c r="IE9" s="255">
        <x:v>1</x:v>
      </x:c>
      <x:c r="IF9" s="255">
        <x:f>1+ID21</x:f>
        <x:v>31</x:v>
      </x:c>
      <x:c r="IG9" s="255">
        <x:f t="shared" ref="IG9:JH10" si="1">IF9+1</x:f>
        <x:v>32</x:v>
      </x:c>
      <x:c r="IH9" s="255">
        <x:f t="shared" si="1"/>
        <x:v>33</x:v>
      </x:c>
      <x:c r="II9" s="255">
        <x:f t="shared" si="1"/>
        <x:v>34</x:v>
      </x:c>
      <x:c r="IJ9" s="255">
        <x:f t="shared" si="1"/>
        <x:v>35</x:v>
      </x:c>
      <x:c r="IK9" s="255">
        <x:f t="shared" si="1"/>
        <x:v>36</x:v>
      </x:c>
      <x:c r="IL9" s="255">
        <x:f t="shared" si="1"/>
        <x:v>37</x:v>
      </x:c>
      <x:c r="IM9" s="255">
        <x:f t="shared" si="1"/>
        <x:v>38</x:v>
      </x:c>
      <x:c r="IN9" s="255">
        <x:f t="shared" si="1"/>
        <x:v>39</x:v>
      </x:c>
      <x:c r="IO9" s="255">
        <x:f t="shared" si="1"/>
        <x:v>40</x:v>
      </x:c>
      <x:c r="IP9" s="255">
        <x:f t="shared" si="1"/>
        <x:v>41</x:v>
      </x:c>
      <x:c r="IQ9" s="255">
        <x:f t="shared" si="1"/>
        <x:v>42</x:v>
      </x:c>
      <x:c r="IR9" s="255">
        <x:f t="shared" si="1"/>
        <x:v>43</x:v>
      </x:c>
      <x:c r="IS9" s="255">
        <x:f t="shared" si="1"/>
        <x:v>44</x:v>
      </x:c>
      <x:c r="IT9" s="255">
        <x:f t="shared" si="1"/>
        <x:v>45</x:v>
      </x:c>
      <x:c r="IU9" s="255">
        <x:f t="shared" si="1"/>
        <x:v>46</x:v>
      </x:c>
      <x:c r="IV9" s="255">
        <x:f t="shared" si="1"/>
        <x:v>47</x:v>
      </x:c>
      <x:c r="IW9" s="255">
        <x:f t="shared" si="1"/>
        <x:v>48</x:v>
      </x:c>
      <x:c r="IX9" s="255">
        <x:f t="shared" si="1"/>
        <x:v>49</x:v>
      </x:c>
      <x:c r="IY9" s="255">
        <x:f t="shared" si="1"/>
        <x:v>50</x:v>
      </x:c>
      <x:c r="IZ9" s="255">
        <x:f t="shared" si="1"/>
        <x:v>51</x:v>
      </x:c>
      <x:c r="JA9" s="255">
        <x:f t="shared" si="1"/>
        <x:v>52</x:v>
      </x:c>
      <x:c r="JB9" s="255">
        <x:f t="shared" si="1"/>
        <x:v>53</x:v>
      </x:c>
      <x:c r="JC9" s="255">
        <x:f t="shared" si="1"/>
        <x:v>54</x:v>
      </x:c>
      <x:c r="JD9" s="255">
        <x:f t="shared" si="1"/>
        <x:v>55</x:v>
      </x:c>
      <x:c r="JE9" s="255">
        <x:f t="shared" si="1"/>
        <x:v>56</x:v>
      </x:c>
      <x:c r="JF9" s="255">
        <x:f t="shared" si="1"/>
        <x:v>57</x:v>
      </x:c>
      <x:c r="JG9" s="255">
        <x:f t="shared" si="1"/>
        <x:v>58</x:v>
      </x:c>
      <x:c r="JH9" s="255">
        <x:f t="shared" si="1"/>
        <x:v>59</x:v>
      </x:c>
      <x:c r="JI9" s="255"/>
      <x:c r="JJ9" s="255"/>
      <x:c r="JK9" s="255">
        <x:v>62</x:v>
      </x:c>
    </x:row>
    <x:row r="10" spans="1:276" s="117" customFormat="1" ht="12.2" customHeight="1" x14ac:dyDescent="0.2">
      <x:c r="A10" s="1901" t="s">
        <x:v>3</x:v>
      </x:c>
      <x:c r="B10" s="1857"/>
      <x:c r="C10" s="1808" t="str">
        <x:f>IF(ISBLANK('Job Info.'!D4),"",'Job Info.'!D4)</x:f>
        <x:v>MINDEN, NV</x:v>
      </x:c>
      <x:c r="D10" s="1808"/>
      <x:c r="E10" s="1808"/>
      <x:c r="F10" s="1808"/>
      <x:c r="G10" s="1808"/>
      <x:c r="H10" s="1808"/>
      <x:c r="I10" s="1808"/>
      <x:c r="J10" s="1808"/>
      <x:c r="K10" s="1808"/>
      <x:c r="L10" s="1808"/>
      <x:c r="M10" s="1808"/>
      <x:c r="N10" s="1808"/>
      <x:c r="O10" s="1808"/>
      <x:c r="P10" s="1809"/>
      <x:c r="Q10" s="1901" t="s">
        <x:v>22</x:v>
      </x:c>
      <x:c r="R10" s="1857"/>
      <x:c r="S10" s="1857"/>
      <x:c r="T10" s="1808" t="str">
        <x:f>IF(ISBLANK('Job Info.'!D6),"",'Job Info.'!D6)</x:f>
        <x:v>JMM</x:v>
      </x:c>
      <x:c r="U10" s="1808"/>
      <x:c r="V10" s="1808"/>
      <x:c r="W10" s="1809"/>
      <x:c r="X10" s="1901" t="s">
        <x:v>23</x:v>
      </x:c>
      <x:c r="Y10" s="1857"/>
      <x:c r="Z10" s="1809" t="str">
        <x:f>IF(ISBLANK('Job Info.'!D7),"",'Job Info.'!D7)</x:f>
        <x:v>NR</x:v>
      </x:c>
      <x:c r="AA10" s="2085"/>
      <x:c r="AB10" s="2059" t="s">
        <x:v>3</x:v>
      </x:c>
      <x:c r="AC10" s="2059"/>
      <x:c r="AD10" s="1901"/>
      <x:c r="AE10" s="1808" t="str">
        <x:f>C10</x:f>
        <x:v>MINDEN, NV</x:v>
      </x:c>
      <x:c r="AF10" s="1808"/>
      <x:c r="AG10" s="1808"/>
      <x:c r="AH10" s="1808"/>
      <x:c r="AI10" s="1808"/>
      <x:c r="AJ10" s="1808"/>
      <x:c r="AK10" s="1808"/>
      <x:c r="AL10" s="1808"/>
      <x:c r="AM10" s="1808"/>
      <x:c r="AN10" s="1808"/>
      <x:c r="AO10" s="1808"/>
      <x:c r="AP10" s="1808"/>
      <x:c r="AQ10" s="1808"/>
      <x:c r="AR10" s="1808"/>
      <x:c r="AS10" s="1808"/>
      <x:c r="AT10" s="1809"/>
      <x:c r="AU10" s="1901" t="s">
        <x:v>22</x:v>
      </x:c>
      <x:c r="AV10" s="1857"/>
      <x:c r="AW10" s="1857"/>
      <x:c r="AX10" s="1808" t="str">
        <x:f>T10</x:f>
        <x:v>JMM</x:v>
      </x:c>
      <x:c r="AY10" s="1808"/>
      <x:c r="AZ10" s="1808"/>
      <x:c r="BA10" s="1809"/>
      <x:c r="BB10" s="1901" t="s">
        <x:v>23</x:v>
      </x:c>
      <x:c r="BC10" s="1857"/>
      <x:c r="BD10" s="1857"/>
      <x:c r="BE10" s="1808" t="str">
        <x:f>Z10</x:f>
        <x:v>NR</x:v>
      </x:c>
      <x:c r="BF10" s="1808"/>
      <x:c r="BG10" s="1809"/>
      <x:c r="BH10" s="261"/>
      <x:c r="CA10" s="246"/>
      <x:c r="CB10" s="244"/>
      <x:c r="CC10" s="244"/>
      <x:c r="CD10" s="244"/>
      <x:c r="CE10" s="244"/>
      <x:c r="CF10" s="244"/>
      <x:c r="CG10" s="244"/>
      <x:c r="CH10" s="244"/>
      <x:c r="CI10" s="244"/>
      <x:c r="CJ10" s="244"/>
      <x:c r="CK10" s="244"/>
      <x:c r="CL10" s="244"/>
      <x:c r="CM10" s="244"/>
      <x:c r="CN10" s="244"/>
      <x:c r="CO10" s="244"/>
      <x:c r="CP10" s="244"/>
      <x:c r="CQ10" s="244"/>
      <x:c r="CR10" s="244"/>
      <x:c r="CS10" s="244"/>
      <x:c r="CT10" s="244"/>
      <x:c r="CU10" s="244"/>
      <x:c r="CV10" s="244"/>
      <x:c r="CW10" s="244"/>
      <x:c r="CX10" s="241"/>
      <x:c r="CY10" s="244"/>
      <x:c r="CZ10" s="241"/>
      <x:c r="DA10" s="241"/>
      <x:c r="DB10" s="241"/>
      <x:c r="DC10" s="241"/>
      <x:c r="DD10" s="241"/>
      <x:c r="DE10" s="241"/>
      <x:c r="DF10" s="241"/>
      <x:c r="DG10" s="241"/>
      <x:c r="DH10" s="2005"/>
      <x:c r="DI10" s="1955"/>
      <x:c r="DJ10" s="1931"/>
      <x:c r="DK10" s="1931"/>
      <x:c r="DL10" s="1931"/>
      <x:c r="DM10" s="1931"/>
      <x:c r="DN10" s="1956"/>
      <x:c r="DO10" s="2002"/>
      <x:c r="DP10" s="1917"/>
      <x:c r="DQ10" s="1868"/>
      <x:c r="DR10" s="1868"/>
      <x:c r="DS10" s="1868"/>
      <x:c r="DT10" s="1868"/>
      <x:c r="DU10" s="1918"/>
      <x:c r="DV10" s="2171"/>
      <x:c r="DW10" s="1868"/>
      <x:c r="DX10" s="1868"/>
      <x:c r="DY10" s="1868"/>
      <x:c r="DZ10" s="1868"/>
      <x:c r="EA10" s="1868"/>
      <x:c r="EB10" s="1868"/>
      <x:c r="EC10" s="1868"/>
      <x:c r="ED10" s="1868"/>
      <x:c r="EE10" s="1868"/>
      <x:c r="EF10" s="1868"/>
      <x:c r="EG10" s="1868"/>
      <x:c r="EH10" s="1868"/>
      <x:c r="EI10" s="1868"/>
      <x:c r="EJ10" s="1868"/>
      <x:c r="EK10" s="1918"/>
      <x:c r="EL10" s="241"/>
      <x:c r="EM10" s="241"/>
      <x:c r="EN10" s="926"/>
      <x:c r="EO10" s="241"/>
      <x:c r="EP10" s="241"/>
      <x:c r="EQ10" s="241"/>
      <x:c r="ER10" s="241"/>
      <x:c r="ES10" s="241"/>
      <x:c r="ET10" s="241"/>
      <x:c r="EU10" s="241"/>
      <x:c r="FV10" s="245"/>
      <x:c r="FZ10" s="245"/>
      <x:c r="GA10" s="241"/>
      <x:c r="GB10" s="241"/>
      <x:c r="GC10" s="241"/>
      <x:c r="GD10" s="241"/>
      <x:c r="GE10" s="241"/>
      <x:c r="GF10" s="241"/>
      <x:c r="GG10" s="241"/>
      <x:c r="GH10" s="241"/>
      <x:c r="GI10" s="241"/>
      <x:c r="GJ10" s="241"/>
      <x:c r="GK10" s="245"/>
      <x:c r="ID10" s="921" t="s">
        <x:v>1133</x:v>
      </x:c>
      <x:c r="IE10" s="255">
        <x:v>1</x:v>
      </x:c>
      <x:c r="IF10" s="255">
        <x:v>31</x:v>
      </x:c>
      <x:c r="IG10" s="255">
        <x:f t="shared" si="1"/>
        <x:v>32</x:v>
      </x:c>
      <x:c r="IH10" s="255">
        <x:f t="shared" si="1"/>
        <x:v>33</x:v>
      </x:c>
      <x:c r="II10" s="255">
        <x:f t="shared" si="1"/>
        <x:v>34</x:v>
      </x:c>
      <x:c r="IJ10" s="255">
        <x:f t="shared" si="1"/>
        <x:v>35</x:v>
      </x:c>
      <x:c r="IK10" s="255">
        <x:f t="shared" si="1"/>
        <x:v>36</x:v>
      </x:c>
      <x:c r="IL10" s="255">
        <x:f t="shared" si="1"/>
        <x:v>37</x:v>
      </x:c>
      <x:c r="IM10" s="255">
        <x:f t="shared" si="1"/>
        <x:v>38</x:v>
      </x:c>
      <x:c r="IN10" s="255">
        <x:f t="shared" si="1"/>
        <x:v>39</x:v>
      </x:c>
      <x:c r="IO10" s="255">
        <x:f t="shared" si="1"/>
        <x:v>40</x:v>
      </x:c>
      <x:c r="IP10" s="255">
        <x:f t="shared" si="1"/>
        <x:v>41</x:v>
      </x:c>
      <x:c r="IQ10" s="255">
        <x:f t="shared" si="1"/>
        <x:v>42</x:v>
      </x:c>
      <x:c r="IR10" s="255">
        <x:f t="shared" si="1"/>
        <x:v>43</x:v>
      </x:c>
      <x:c r="IS10" s="255">
        <x:f t="shared" si="1"/>
        <x:v>44</x:v>
      </x:c>
      <x:c r="IT10" s="255">
        <x:f t="shared" si="1"/>
        <x:v>45</x:v>
      </x:c>
      <x:c r="IU10" s="255">
        <x:f t="shared" si="1"/>
        <x:v>46</x:v>
      </x:c>
      <x:c r="IV10" s="255">
        <x:f t="shared" si="1"/>
        <x:v>47</x:v>
      </x:c>
      <x:c r="IW10" s="255">
        <x:f t="shared" si="1"/>
        <x:v>48</x:v>
      </x:c>
      <x:c r="IX10" s="255">
        <x:f t="shared" si="1"/>
        <x:v>49</x:v>
      </x:c>
      <x:c r="IY10" s="255">
        <x:f t="shared" si="1"/>
        <x:v>50</x:v>
      </x:c>
      <x:c r="IZ10" s="255">
        <x:f t="shared" si="1"/>
        <x:v>51</x:v>
      </x:c>
      <x:c r="JA10" s="255">
        <x:f t="shared" si="1"/>
        <x:v>52</x:v>
      </x:c>
      <x:c r="JB10" s="255">
        <x:f t="shared" si="1"/>
        <x:v>53</x:v>
      </x:c>
      <x:c r="JC10" s="255">
        <x:f t="shared" si="1"/>
        <x:v>54</x:v>
      </x:c>
      <x:c r="JD10" s="255">
        <x:f t="shared" si="1"/>
        <x:v>55</x:v>
      </x:c>
      <x:c r="JE10" s="255">
        <x:f t="shared" si="1"/>
        <x:v>56</x:v>
      </x:c>
      <x:c r="JF10" s="255">
        <x:f t="shared" si="1"/>
        <x:v>57</x:v>
      </x:c>
      <x:c r="JG10" s="255">
        <x:f t="shared" si="1"/>
        <x:v>58</x:v>
      </x:c>
      <x:c r="JH10" s="255">
        <x:f t="shared" si="1"/>
        <x:v>59</x:v>
      </x:c>
      <x:c r="JI10" s="255">
        <x:f t="shared" ref="JI10:JK10" si="2">JH10+1</x:f>
        <x:v>60</x:v>
      </x:c>
      <x:c r="JJ10" s="255">
        <x:f t="shared" si="2"/>
        <x:v>61</x:v>
      </x:c>
      <x:c r="JK10" s="255">
        <x:f t="shared" si="2"/>
        <x:v>62</x:v>
      </x:c>
    </x:row>
    <x:row r="11" spans="1:276" ht="3.95" customHeight="1" thickBot="1" x14ac:dyDescent="0.25">
      <x:c r="A11" s="2110"/>
      <x:c r="B11" s="2110"/>
      <x:c r="C11" s="2110"/>
      <x:c r="D11" s="2110"/>
      <x:c r="E11" s="2110"/>
      <x:c r="F11" s="2110"/>
      <x:c r="G11" s="2110"/>
      <x:c r="H11" s="2110"/>
      <x:c r="I11" s="2110"/>
      <x:c r="J11" s="2110"/>
      <x:c r="K11" s="2110"/>
      <x:c r="L11" s="2110"/>
      <x:c r="M11" s="2110"/>
      <x:c r="N11" s="2110"/>
      <x:c r="O11" s="2110"/>
      <x:c r="P11" s="2110"/>
      <x:c r="Q11" s="2110"/>
      <x:c r="R11" s="2110"/>
      <x:c r="S11" s="2110"/>
      <x:c r="T11" s="2110"/>
      <x:c r="U11" s="2110"/>
      <x:c r="V11" s="2110"/>
      <x:c r="W11" s="2110"/>
      <x:c r="X11" s="2110"/>
      <x:c r="Y11" s="2110"/>
      <x:c r="Z11" s="2110"/>
      <x:c r="AA11" s="2110"/>
      <x:c r="AB11" s="1115"/>
      <x:c r="AC11" s="1115"/>
      <x:c r="AD11" s="1115"/>
      <x:c r="AE11" s="1115"/>
      <x:c r="AF11" s="1115"/>
      <x:c r="AG11" s="1115"/>
      <x:c r="AH11" s="1115"/>
      <x:c r="AI11" s="1115"/>
      <x:c r="AJ11" s="1115"/>
      <x:c r="AK11" s="1115"/>
      <x:c r="AL11" s="1115"/>
      <x:c r="AM11" s="1115"/>
      <x:c r="AN11" s="1115"/>
      <x:c r="AO11" s="1115"/>
      <x:c r="AP11" s="1115"/>
      <x:c r="AQ11" s="1115"/>
      <x:c r="AR11" s="1115"/>
      <x:c r="AS11" s="1115"/>
      <x:c r="AT11" s="1115"/>
      <x:c r="AU11" s="1115"/>
      <x:c r="AV11" s="1115"/>
      <x:c r="AW11" s="1115"/>
      <x:c r="AX11" s="1115"/>
      <x:c r="AY11" s="1115"/>
      <x:c r="AZ11" s="1115"/>
      <x:c r="BA11" s="1115"/>
      <x:c r="BB11" s="1115"/>
      <x:c r="BC11" s="1115"/>
      <x:c r="BD11" s="1115"/>
      <x:c r="BE11" s="1115"/>
      <x:c r="BF11" s="1115"/>
      <x:c r="BG11" s="1115"/>
      <x:c r="BH11" s="261"/>
      <x:c r="BJ11" s="117"/>
      <x:c r="BK11" s="117"/>
      <x:c r="BL11" s="117"/>
      <x:c r="BM11" s="117"/>
      <x:c r="BN11" s="117"/>
      <x:c r="BO11" s="117"/>
      <x:c r="CA11" s="105"/>
      <x:c r="CB11" s="198"/>
      <x:c r="CC11" s="198"/>
      <x:c r="CD11" s="198"/>
      <x:c r="CE11" s="198"/>
      <x:c r="CF11" s="198"/>
      <x:c r="CG11" s="198"/>
      <x:c r="CH11" s="198"/>
      <x:c r="CI11" s="198"/>
      <x:c r="CJ11" s="198"/>
      <x:c r="CK11" s="198"/>
      <x:c r="CL11" s="198"/>
      <x:c r="CM11" s="198"/>
      <x:c r="CN11" s="198"/>
      <x:c r="CO11" s="198"/>
      <x:c r="CP11" s="198"/>
      <x:c r="CQ11" s="198"/>
      <x:c r="CR11" s="198"/>
      <x:c r="CS11" s="198"/>
      <x:c r="CT11" s="198"/>
      <x:c r="CU11" s="198"/>
      <x:c r="CV11" s="198"/>
      <x:c r="CW11" s="198"/>
      <x:c r="CX11" s="141"/>
      <x:c r="CY11" s="198"/>
      <x:c r="CZ11" s="141"/>
      <x:c r="DA11" s="141"/>
      <x:c r="DB11" s="141"/>
      <x:c r="DC11" s="141"/>
      <x:c r="DD11" s="141"/>
      <x:c r="DE11" s="141"/>
      <x:c r="DF11" s="141"/>
      <x:c r="DG11" s="141"/>
      <x:c r="DH11" s="2005"/>
      <x:c r="DI11" s="1955"/>
      <x:c r="DJ11" s="1931"/>
      <x:c r="DK11" s="1931"/>
      <x:c r="DL11" s="1931"/>
      <x:c r="DM11" s="1931"/>
      <x:c r="DN11" s="1956"/>
      <x:c r="DO11" s="2002"/>
      <x:c r="DP11" s="1919" t="s">
        <x:v>601</x:v>
      </x:c>
      <x:c r="DQ11" s="1555"/>
      <x:c r="DR11" s="1921" t="s">
        <x:v>603</x:v>
      </x:c>
      <x:c r="DS11" s="1555"/>
      <x:c r="DT11" s="1555"/>
      <x:c r="DU11" s="1555"/>
      <x:c r="DV11" s="2171"/>
      <x:c r="DW11" s="1868"/>
      <x:c r="DX11" s="1868"/>
      <x:c r="DY11" s="1868"/>
      <x:c r="DZ11" s="1868"/>
      <x:c r="EA11" s="1868"/>
      <x:c r="EB11" s="1868"/>
      <x:c r="EC11" s="1868"/>
      <x:c r="ED11" s="1868"/>
      <x:c r="EE11" s="1868"/>
      <x:c r="EF11" s="1868"/>
      <x:c r="EG11" s="1868"/>
      <x:c r="EH11" s="1868"/>
      <x:c r="EI11" s="1868"/>
      <x:c r="EJ11" s="1868"/>
      <x:c r="EK11" s="1918"/>
      <x:c r="EL11" s="141"/>
      <x:c r="EM11" s="141"/>
      <x:c r="EN11" s="928"/>
      <x:c r="EO11" s="141"/>
      <x:c r="EP11" s="141"/>
      <x:c r="EQ11" s="141"/>
      <x:c r="ER11" s="141"/>
      <x:c r="ES11" s="141"/>
      <x:c r="ET11" s="141"/>
      <x:c r="EU11" s="141"/>
      <x:c r="FV11" s="2"/>
      <x:c r="FW11" s="117"/>
      <x:c r="FX11" s="117"/>
      <x:c r="FY11" s="117"/>
      <x:c r="FZ11" s="2"/>
      <x:c r="GA11" s="141"/>
      <x:c r="GB11" s="141"/>
      <x:c r="GC11" s="141"/>
      <x:c r="GD11" s="141"/>
      <x:c r="GE11" s="141"/>
      <x:c r="GF11" s="141"/>
      <x:c r="GG11" s="141"/>
      <x:c r="GH11" s="141"/>
      <x:c r="GI11" s="141"/>
      <x:c r="GJ11" s="141"/>
      <x:c r="GK11" s="2"/>
      <x:c r="HA11" s="130"/>
      <x:c r="HB11" s="130"/>
      <x:c r="HC11" s="130"/>
      <x:c r="HD11" s="130"/>
      <x:c r="HE11" s="130"/>
      <x:c r="HF11" s="130"/>
      <x:c r="HG11" s="130"/>
      <x:c r="HH11" s="130"/>
      <x:c r="HI11" s="130"/>
      <x:c r="HM11" s="131"/>
      <x:c r="HN11" s="132"/>
      <x:c r="ID11" s="140"/>
      <x:c r="IE11" s="140"/>
      <x:c r="IF11" s="140"/>
      <x:c r="IG11" s="140"/>
      <x:c r="IH11" s="140"/>
      <x:c r="II11" s="140"/>
      <x:c r="IJ11" s="140"/>
      <x:c r="IK11" s="140"/>
      <x:c r="IL11" s="140"/>
      <x:c r="JL11" s="117"/>
      <x:c r="JM11" s="117"/>
    </x:row>
    <x:row r="12" spans="1:276" ht="12" customHeight="1" thickBot="1" x14ac:dyDescent="0.25">
      <x:c r="A12" s="1093"/>
      <x:c r="B12" s="1093"/>
      <x:c r="C12" s="1093"/>
      <x:c r="D12" s="1093"/>
      <x:c r="E12" s="1093"/>
      <x:c r="F12" s="1093"/>
      <x:c r="G12" s="1093"/>
      <x:c r="H12" s="1093"/>
      <x:c r="I12" s="1093"/>
      <x:c r="J12" s="1093"/>
      <x:c r="K12" s="1093"/>
      <x:c r="L12" s="1093"/>
      <x:c r="M12" s="1093"/>
      <x:c r="N12" s="1093"/>
      <x:c r="O12" s="1093"/>
      <x:c r="P12" s="1093"/>
      <x:c r="Q12" s="1093"/>
      <x:c r="R12" s="1093"/>
      <x:c r="S12" s="1093"/>
      <x:c r="T12" s="1093"/>
      <x:c r="U12" s="1093"/>
      <x:c r="V12" s="1093"/>
      <x:c r="W12" s="1093"/>
      <x:c r="X12" s="1093"/>
      <x:c r="Y12" s="1093"/>
      <x:c r="Z12" s="1093"/>
      <x:c r="AA12" s="1093"/>
      <x:c r="AB12" s="2068" t="s">
        <x:v>40</x:v>
      </x:c>
      <x:c r="AC12" s="1961" t="s">
        <x:v>62</x:v>
      </x:c>
      <x:c r="AD12" s="1963" t="s">
        <x:v>32</x:v>
      </x:c>
      <x:c r="AE12" s="1964"/>
      <x:c r="AF12" s="1967" t="s">
        <x:v>34</x:v>
      </x:c>
      <x:c r="AG12" s="1968"/>
      <x:c r="AH12" s="1969"/>
      <x:c r="AI12" s="1963" t="s">
        <x:v>35</x:v>
      </x:c>
      <x:c r="AJ12" s="1964"/>
      <x:c r="AK12" s="1970" t="s">
        <x:v>63</x:v>
      </x:c>
      <x:c r="AL12" s="1972" t="s">
        <x:v>737</x:v>
      </x:c>
      <x:c r="AM12" s="1973"/>
      <x:c r="AN12" s="1973"/>
      <x:c r="AO12" s="1973"/>
      <x:c r="AP12" s="1973"/>
      <x:c r="AQ12" s="1974"/>
      <x:c r="AR12" s="1968" t="s">
        <x:v>82</x:v>
      </x:c>
      <x:c r="AS12" s="1968"/>
      <x:c r="AT12" s="1968"/>
      <x:c r="AU12" s="1968"/>
      <x:c r="AV12" s="1968"/>
      <x:c r="AW12" s="1968"/>
      <x:c r="AX12" s="1968"/>
      <x:c r="AY12" s="1968"/>
      <x:c r="AZ12" s="1968"/>
      <x:c r="BA12" s="1968"/>
      <x:c r="BB12" s="1968"/>
      <x:c r="BC12" s="1968"/>
      <x:c r="BD12" s="1968"/>
      <x:c r="BE12" s="1968"/>
      <x:c r="BF12" s="1968"/>
      <x:c r="BG12" s="1975"/>
      <x:c r="BH12" s="261"/>
      <x:c r="BJ12" s="117"/>
      <x:c r="BK12" s="117"/>
      <x:c r="BL12" s="117"/>
      <x:c r="BM12" s="117"/>
      <x:c r="BN12" s="117"/>
      <x:c r="BO12" s="117"/>
      <x:c r="BW12" s="2039" t="s">
        <x:v>630</x:v>
      </x:c>
      <x:c r="BX12" s="2040"/>
      <x:c r="BY12" s="2040"/>
      <x:c r="BZ12" s="2041"/>
      <x:c r="CA12" s="105"/>
      <x:c r="CB12" s="198"/>
      <x:c r="CC12" s="198"/>
      <x:c r="CD12" s="198"/>
      <x:c r="CE12" s="198"/>
      <x:c r="CF12" s="198"/>
      <x:c r="CG12" s="198"/>
      <x:c r="CH12" s="198"/>
      <x:c r="CI12" s="198"/>
      <x:c r="CJ12" s="198"/>
      <x:c r="CK12" s="198"/>
      <x:c r="CL12" s="198"/>
      <x:c r="CM12" s="198"/>
      <x:c r="CN12" s="198"/>
      <x:c r="CO12" s="198"/>
      <x:c r="CP12" s="198"/>
      <x:c r="CQ12" s="198"/>
      <x:c r="CR12" s="198"/>
      <x:c r="CS12" s="198"/>
      <x:c r="CT12" s="198"/>
      <x:c r="CU12" s="198"/>
      <x:c r="CV12" s="198"/>
      <x:c r="CW12" s="198"/>
      <x:c r="CX12" s="141"/>
      <x:c r="CY12" s="198"/>
      <x:c r="CZ12" s="141"/>
      <x:c r="DA12" s="141"/>
      <x:c r="DB12" s="141"/>
      <x:c r="DC12" s="141"/>
      <x:c r="DD12" s="141"/>
      <x:c r="DE12" s="141"/>
      <x:c r="DF12" s="141"/>
      <x:c r="DG12" s="141"/>
      <x:c r="DH12" s="2005"/>
      <x:c r="DI12" s="2011" t="s">
        <x:v>1289</x:v>
      </x:c>
      <x:c r="DJ12" s="1983" t="s">
        <x:v>32</x:v>
      </x:c>
      <x:c r="DK12" s="1984"/>
      <x:c r="DL12" s="1987" t="s">
        <x:v>34</x:v>
      </x:c>
      <x:c r="DM12" s="1989" t="s">
        <x:v>489</x:v>
      </x:c>
      <x:c r="DN12" s="1990"/>
      <x:c r="DO12" s="2002"/>
      <x:c r="DP12" s="1919"/>
      <x:c r="DQ12" s="2013" t="s">
        <x:v>602</x:v>
      </x:c>
      <x:c r="DR12" s="1921"/>
      <x:c r="DS12" s="2013" t="s">
        <x:v>604</x:v>
      </x:c>
      <x:c r="DT12" s="2015" t="s">
        <x:v>605</x:v>
      </x:c>
      <x:c r="DU12" s="2016"/>
      <x:c r="DV12" s="1995" t="s">
        <x:v>598</x:v>
      </x:c>
      <x:c r="DW12" s="1996"/>
      <x:c r="DX12" s="2007" t="s">
        <x:v>1287</x:v>
      </x:c>
      <x:c r="DY12" s="2009" t="s">
        <x:v>1288</x:v>
      </x:c>
      <x:c r="DZ12" s="1995" t="s">
        <x:v>598</x:v>
      </x:c>
      <x:c r="EA12" s="1996"/>
      <x:c r="EB12" s="2007" t="s">
        <x:v>1287</x:v>
      </x:c>
      <x:c r="EC12" s="2009" t="s">
        <x:v>1288</x:v>
      </x:c>
      <x:c r="ED12" s="1995" t="s">
        <x:v>598</x:v>
      </x:c>
      <x:c r="EE12" s="1996"/>
      <x:c r="EF12" s="2007" t="s">
        <x:v>1287</x:v>
      </x:c>
      <x:c r="EG12" s="2009" t="s">
        <x:v>1288</x:v>
      </x:c>
      <x:c r="EH12" s="1995" t="s">
        <x:v>598</x:v>
      </x:c>
      <x:c r="EI12" s="1996"/>
      <x:c r="EJ12" s="2007" t="s">
        <x:v>1287</x:v>
      </x:c>
      <x:c r="EK12" s="2194" t="s">
        <x:v>1288</x:v>
      </x:c>
      <x:c r="EL12" s="141"/>
      <x:c r="EM12" s="2017"/>
      <x:c r="EN12" s="928"/>
      <x:c r="EO12" s="141"/>
      <x:c r="EP12" s="141"/>
      <x:c r="EQ12" s="141"/>
      <x:c r="ER12" s="141"/>
      <x:c r="ES12" s="141"/>
      <x:c r="ET12" s="141"/>
      <x:c r="EU12" s="141"/>
      <x:c r="FV12" s="2"/>
      <x:c r="FW12" s="117"/>
      <x:c r="FX12" s="117"/>
      <x:c r="FY12" s="117"/>
      <x:c r="FZ12" s="2"/>
      <x:c r="GA12" s="141"/>
      <x:c r="GB12" s="141"/>
      <x:c r="GC12" s="141"/>
      <x:c r="GD12" s="141"/>
      <x:c r="GE12" s="141"/>
      <x:c r="GF12" s="141"/>
      <x:c r="GG12" s="141"/>
      <x:c r="GH12" s="141"/>
      <x:c r="GI12" s="141"/>
      <x:c r="GJ12" s="141"/>
      <x:c r="GK12" s="2"/>
      <x:c r="HA12" s="130"/>
      <x:c r="HB12" s="130"/>
      <x:c r="HC12" s="130"/>
      <x:c r="HD12" s="130"/>
      <x:c r="HE12" s="130"/>
      <x:c r="HF12" s="130"/>
      <x:c r="HG12" s="130"/>
      <x:c r="HH12" s="130"/>
      <x:c r="HI12" s="130"/>
      <x:c r="HM12" s="131"/>
      <x:c r="HN12" s="132"/>
      <x:c r="ID12" s="140"/>
      <x:c r="IE12" s="2168" t="s">
        <x:v>632</x:v>
      </x:c>
      <x:c r="IF12" s="2098" t="s">
        <x:v>1161</x:v>
      </x:c>
      <x:c r="IG12" s="2098" t="s">
        <x:v>1162</x:v>
      </x:c>
      <x:c r="IH12" s="2098" t="s">
        <x:v>1163</x:v>
      </x:c>
      <x:c r="II12" s="2098" t="s">
        <x:v>1164</x:v>
      </x:c>
      <x:c r="IJ12" s="2098" t="s">
        <x:v>1166</x:v>
      </x:c>
      <x:c r="IK12" s="2098" t="s">
        <x:v>1165</x:v>
      </x:c>
      <x:c r="IL12" s="2098" t="str">
        <x:f>IF($HA$1,"Load (Kip)","Panel ""B"" Feet")</x:f>
        <x:v>Panel "B" Feet</x:v>
      </x:c>
      <x:c r="IM12" s="2098" t="str">
        <x:f>IF($HA$1,"OSHA N/F/B","Panel ""B"" Inch")</x:f>
        <x:v>Panel "B" Inch</x:v>
      </x:c>
      <x:c r="IN12" s="2098" t="str">
        <x:f>IF($HA$1,"Girder TC Ga","Load (Kip)")</x:f>
        <x:v>Load (Kip)</x:v>
      </x:c>
      <x:c r="IO12" s="2098" t="str">
        <x:f>IF($HA$1,"Jst Hole (x/16)","OSHA N/F/B")</x:f>
        <x:v>OSHA N/F/B</x:v>
      </x:c>
      <x:c r="IP12" s="2098" t="str">
        <x:f>IF($HA$1,"Joist Gage","Girder TC Gage")</x:f>
        <x:v>Girder TC Gage</x:v>
      </x:c>
      <x:c r="IQ12" s="2098" t="str">
        <x:f>IF($HA$1,"TC Hole L","Girder TC Hole (x/16)")</x:f>
        <x:v>Girder TC Hole (x/16)</x:v>
      </x:c>
      <x:c r="IR12" s="2098" t="str">
        <x:f>IF($HA$1,"TC Hole R","Joist Gage")</x:f>
        <x:v>Joist Gage</x:v>
      </x:c>
      <x:c r="IS12" s="2098" t="str">
        <x:f>IF($HA$1,"Add Jst#1 Feet","TCHoleL")</x:f>
        <x:v>TCHoleL</x:v>
      </x:c>
      <x:c r="IT12" s="2098" t="str">
        <x:f>IF($HA$1,"Add Jst#1 Inch","TC Hole R")</x:f>
        <x:v>TC Hole R</x:v>
      </x:c>
      <x:c r="IU12" s="2098" t="str">
        <x:f>IF($HA$1,"Add Jst#1 Load","Add Jst#1 Feet")</x:f>
        <x:v>Add Jst#1 Feet</x:v>
      </x:c>
      <x:c r="IV12" s="2098" t="str">
        <x:f>IF($HA$1,"Add Jst#1 Bolt N/F/B","Add Jst#1 inch")</x:f>
        <x:v>Add Jst#1 inch</x:v>
      </x:c>
      <x:c r="IW12" s="2098" t="str">
        <x:f>IF($HA$1,"Add Jst#2 Feet","Add Jst#1 Load")</x:f>
        <x:v>Add Jst#1 Load</x:v>
      </x:c>
      <x:c r="IX12" s="2098" t="str">
        <x:f>IF($HA$1,"Add Jst#2 Inch","Add Jst#1 Bolt N/F/B")</x:f>
        <x:v>Add Jst#1 Bolt N/F/B</x:v>
      </x:c>
      <x:c r="IY12" s="2098" t="str">
        <x:f>IF($HA$1,"Add Jst#2 Load","Add Jst#2 Feet")</x:f>
        <x:v>Add Jst#2 Feet</x:v>
      </x:c>
      <x:c r="IZ12" s="2098" t="str">
        <x:f>IF($HA$1,"Add Jst#2 Bolt N/F/B","Add Jst#2 inch")</x:f>
        <x:v>Add Jst#2 inch</x:v>
      </x:c>
      <x:c r="JA12" s="2098" t="str">
        <x:f>IF($HA$1,"Add Jst#3 Feet","Add Jst#2 Load")</x:f>
        <x:v>Add Jst#2 Load</x:v>
      </x:c>
      <x:c r="JB12" s="2098" t="str">
        <x:f>IF($HA$1,"Add Jst#3 Inch","Add Jst#2 Bolt N/F/B")</x:f>
        <x:v>Add Jst#2 Bolt N/F/B</x:v>
      </x:c>
      <x:c r="JC12" s="2098" t="str">
        <x:f>IF($HA$1,"Add Jst#3 Load","Add Jst#3 Feet")</x:f>
        <x:v>Add Jst#3 Feet</x:v>
      </x:c>
      <x:c r="JD12" s="2098" t="str">
        <x:f>IF($HA$1,"Add Jst#3 Bolt N/F/B","Add Jst#3 inch")</x:f>
        <x:v>Add Jst#3 inch</x:v>
      </x:c>
      <x:c r="JE12" s="2098" t="str">
        <x:f>IF($HA$1,"Add Jst#4 Feet","Add Jst#3 Load")</x:f>
        <x:v>Add Jst#3 Load</x:v>
      </x:c>
      <x:c r="JF12" s="2098" t="str">
        <x:f>IF($HA$1,"Add Jst#4 Inch","Add Jst#3 Bolt N/F/B")</x:f>
        <x:v>Add Jst#3 Bolt N/F/B</x:v>
      </x:c>
      <x:c r="JG12" s="2098" t="str">
        <x:f>IF($HA$1,"Add Jst#4 Load","Add Jst#4 Feet")</x:f>
        <x:v>Add Jst#4 Feet</x:v>
      </x:c>
      <x:c r="JH12" s="2098" t="str">
        <x:f>IF($HA$1,"Add Jst#4 Bolt N/F/B","Add Jst#4 inch")</x:f>
        <x:v>Add Jst#4 inch</x:v>
      </x:c>
      <x:c r="JI12" s="2098" t="str">
        <x:f>IF($HA$1,"-","Add Jst#4 Load")</x:f>
        <x:v>Add Jst#4 Load</x:v>
      </x:c>
      <x:c r="JJ12" s="2098" t="str">
        <x:f>IF($HA$1,"-","Add Jst#4 Bolt N/F/B")</x:f>
        <x:v>Add Jst#4 Bolt N/F/B</x:v>
      </x:c>
      <x:c r="JK12" s="2254" t="str">
        <x:f>IF($HA$1,"# Rows Req'd","# Rows Req'd")</x:f>
        <x:v># Rows Req'd</x:v>
      </x:c>
      <x:c r="JL12" s="2256" t="s">
        <x:v>1168</x:v>
      </x:c>
      <x:c r="JM12" s="117"/>
    </x:row>
    <x:row r="13" spans="1:276" ht="21" customHeight="1" thickTop="1" thickBot="1" x14ac:dyDescent="0.3">
      <x:c r="A13" s="1093"/>
      <x:c r="B13" s="1093"/>
      <x:c r="C13" s="1093"/>
      <x:c r="D13" s="1093"/>
      <x:c r="E13" s="1093"/>
      <x:c r="F13" s="1093"/>
      <x:c r="G13" s="1093"/>
      <x:c r="H13" s="1093"/>
      <x:c r="I13" s="1093"/>
      <x:c r="J13" s="1093"/>
      <x:c r="K13" s="1093"/>
      <x:c r="L13" s="1093"/>
      <x:c r="M13" s="1093"/>
      <x:c r="N13" s="1093"/>
      <x:c r="O13" s="1093"/>
      <x:c r="P13" s="1093"/>
      <x:c r="Q13" s="1093"/>
      <x:c r="R13" s="1093"/>
      <x:c r="S13" s="1093"/>
      <x:c r="T13" s="1093"/>
      <x:c r="U13" s="1093"/>
      <x:c r="V13" s="1093"/>
      <x:c r="W13" s="1093"/>
      <x:c r="X13" s="1093"/>
      <x:c r="Y13" s="1093"/>
      <x:c r="Z13" s="1093"/>
      <x:c r="AA13" s="1093"/>
      <x:c r="AB13" s="2068"/>
      <x:c r="AC13" s="1962"/>
      <x:c r="AD13" s="1965"/>
      <x:c r="AE13" s="1966"/>
      <x:c r="AF13" s="1102" t="s">
        <x:v>33</x:v>
      </x:c>
      <x:c r="AG13" s="1976" t="s">
        <x:v>16</x:v>
      </x:c>
      <x:c r="AH13" s="1977"/>
      <x:c r="AI13" s="1965"/>
      <x:c r="AJ13" s="1966"/>
      <x:c r="AK13" s="1971"/>
      <x:c r="AL13" s="1118" t="s">
        <x:v>738</x:v>
      </x:c>
      <x:c r="AM13" s="1103" t="s">
        <x:v>735</x:v>
      </x:c>
      <x:c r="AN13" s="1103" t="s">
        <x:v>736</x:v>
      </x:c>
      <x:c r="AO13" s="1107" t="s">
        <x:v>60</x:v>
      </x:c>
      <x:c r="AP13" s="1105" t="s">
        <x:v>739</x:v>
      </x:c>
      <x:c r="AQ13" s="1119" t="s">
        <x:v>740</x:v>
      </x:c>
      <x:c r="AR13" s="1978" t="s">
        <x:v>58</x:v>
      </x:c>
      <x:c r="AS13" s="1977"/>
      <x:c r="AT13" s="1120" t="s">
        <x:v>63</x:v>
      </x:c>
      <x:c r="AU13" s="1121" t="s">
        <x:v>59</x:v>
      </x:c>
      <x:c r="AV13" s="1979" t="s">
        <x:v>58</x:v>
      </x:c>
      <x:c r="AW13" s="1980"/>
      <x:c r="AX13" s="1120" t="s">
        <x:v>63</x:v>
      </x:c>
      <x:c r="AY13" s="1121" t="s">
        <x:v>59</x:v>
      </x:c>
      <x:c r="AZ13" s="1979" t="s">
        <x:v>58</x:v>
      </x:c>
      <x:c r="BA13" s="1980"/>
      <x:c r="BB13" s="1120" t="s">
        <x:v>63</x:v>
      </x:c>
      <x:c r="BC13" s="1121" t="s">
        <x:v>59</x:v>
      </x:c>
      <x:c r="BD13" s="1979" t="s">
        <x:v>58</x:v>
      </x:c>
      <x:c r="BE13" s="1980"/>
      <x:c r="BF13" s="1120" t="s">
        <x:v>63</x:v>
      </x:c>
      <x:c r="BG13" s="1121" t="s">
        <x:v>59</x:v>
      </x:c>
      <x:c r="BH13" s="261"/>
      <x:c r="BJ13" s="117"/>
      <x:c r="BK13" s="117"/>
      <x:c r="BL13" s="117"/>
      <x:c r="BM13" s="117"/>
      <x:c r="BN13" s="117"/>
      <x:c r="BW13" s="371" t="s">
        <x:v>631</x:v>
      </x:c>
      <x:c r="BX13" s="372" t="s">
        <x:v>632</x:v>
      </x:c>
      <x:c r="BY13" s="372" t="s">
        <x:v>170</x:v>
      </x:c>
      <x:c r="BZ13" s="371" t="s">
        <x:v>788</x:v>
      </x:c>
      <x:c r="CB13" s="198"/>
      <x:c r="CC13" s="198"/>
      <x:c r="CD13" s="198"/>
      <x:c r="CE13" s="198"/>
      <x:c r="CF13" s="198"/>
      <x:c r="CG13" s="198"/>
      <x:c r="CH13" s="198"/>
      <x:c r="CI13" s="198"/>
      <x:c r="CJ13" s="198"/>
      <x:c r="CK13" s="198"/>
      <x:c r="CL13" s="198"/>
      <x:c r="CM13" s="198"/>
      <x:c r="CN13" s="198"/>
      <x:c r="CO13" s="198"/>
      <x:c r="CP13" s="198"/>
      <x:c r="CQ13" s="198"/>
      <x:c r="CR13" s="198"/>
      <x:c r="CS13" s="198"/>
      <x:c r="CT13" s="198"/>
      <x:c r="CU13" s="198"/>
      <x:c r="CV13" s="198"/>
      <x:c r="CW13" s="198"/>
      <x:c r="CX13" s="141"/>
      <x:c r="CY13" s="198"/>
      <x:c r="CZ13" s="141"/>
      <x:c r="DA13" s="141"/>
      <x:c r="DB13" s="141"/>
      <x:c r="DC13" s="141"/>
      <x:c r="DD13" s="141"/>
      <x:c r="DE13" s="141"/>
      <x:c r="DF13" s="141"/>
      <x:c r="DG13" s="141"/>
      <x:c r="DH13" s="2006"/>
      <x:c r="DI13" s="2012"/>
      <x:c r="DJ13" s="1985"/>
      <x:c r="DK13" s="1986"/>
      <x:c r="DL13" s="1988"/>
      <x:c r="DM13" s="1991"/>
      <x:c r="DN13" s="1992"/>
      <x:c r="DO13" s="2003"/>
      <x:c r="DP13" s="1920"/>
      <x:c r="DQ13" s="2014"/>
      <x:c r="DR13" s="1922"/>
      <x:c r="DS13" s="2014"/>
      <x:c r="DT13" s="1602" t="s">
        <x:v>606</x:v>
      </x:c>
      <x:c r="DU13" s="1603" t="s">
        <x:v>607</x:v>
      </x:c>
      <x:c r="DV13" s="1580" t="s">
        <x:v>633</x:v>
      </x:c>
      <x:c r="DW13" s="1581" t="s">
        <x:v>608</x:v>
      </x:c>
      <x:c r="DX13" s="2008"/>
      <x:c r="DY13" s="2010"/>
      <x:c r="DZ13" s="1580" t="s">
        <x:v>633</x:v>
      </x:c>
      <x:c r="EA13" s="1581" t="s">
        <x:v>608</x:v>
      </x:c>
      <x:c r="EB13" s="2008"/>
      <x:c r="EC13" s="2010"/>
      <x:c r="ED13" s="1580" t="s">
        <x:v>633</x:v>
      </x:c>
      <x:c r="EE13" s="1581" t="s">
        <x:v>608</x:v>
      </x:c>
      <x:c r="EF13" s="2008"/>
      <x:c r="EG13" s="2010"/>
      <x:c r="EH13" s="1580" t="s">
        <x:v>633</x:v>
      </x:c>
      <x:c r="EI13" s="1581" t="s">
        <x:v>608</x:v>
      </x:c>
      <x:c r="EJ13" s="2008"/>
      <x:c r="EK13" s="2195"/>
      <x:c r="EL13" s="141"/>
      <x:c r="EM13" s="2017"/>
      <x:c r="EN13" s="141"/>
      <x:c r="EO13" s="141"/>
      <x:c r="EP13" s="928"/>
      <x:c r="EQ13" s="141"/>
      <x:c r="ER13" s="141"/>
      <x:c r="ES13" s="141"/>
      <x:c r="ET13" s="141"/>
      <x:c r="EU13" s="141"/>
      <x:c r="EX13" s="372" t="s">
        <x:v>632</x:v>
      </x:c>
      <x:c r="EY13" s="939" t="s">
        <x:v>1061</x:v>
      </x:c>
      <x:c r="EZ13" s="941" t="s">
        <x:v>1063</x:v>
      </x:c>
      <x:c r="FA13" s="134" t="s">
        <x:v>1099</x:v>
      </x:c>
      <x:c r="FB13" s="957" t="s">
        <x:v>176</x:v>
      </x:c>
      <x:c r="FC13" s="957" t="s">
        <x:v>32</x:v>
      </x:c>
      <x:c r="FD13" s="957" t="s">
        <x:v>34</x:v>
      </x:c>
      <x:c r="FE13" s="957" t="s">
        <x:v>35</x:v>
      </x:c>
      <x:c r="FF13" s="958" t="s">
        <x:v>1100</x:v>
      </x:c>
      <x:c r="FN13" s="1283" t="s">
        <x:v>1101</x:v>
      </x:c>
      <x:c r="FO13" s="1284" t="s">
        <x:v>1205</x:v>
      </x:c>
      <x:c r="FP13" s="939" t="s">
        <x:v>1101</x:v>
      </x:c>
      <x:c r="FQ13" s="1284" t="s">
        <x:v>1206</x:v>
      </x:c>
      <x:c r="FX13" s="197"/>
      <x:c r="FZ13" s="2"/>
      <x:c r="GA13" s="141"/>
      <x:c r="GB13" s="141"/>
      <x:c r="GC13" s="141"/>
      <x:c r="GD13" s="141"/>
      <x:c r="GE13" s="141"/>
      <x:c r="GF13" s="141"/>
      <x:c r="GG13" s="141"/>
      <x:c r="GH13" s="141"/>
      <x:c r="GI13" s="141"/>
      <x:c r="GJ13" s="141"/>
      <x:c r="GK13" s="2"/>
      <x:c r="HA13" s="130"/>
      <x:c r="HB13" s="130"/>
      <x:c r="HC13" s="130"/>
      <x:c r="HD13" s="130"/>
      <x:c r="HE13" s="130"/>
      <x:c r="HF13" s="130"/>
      <x:c r="HG13" s="130"/>
      <x:c r="HH13" s="130"/>
      <x:c r="HI13" s="130"/>
      <x:c r="HM13" s="131"/>
      <x:c r="HN13" s="132"/>
      <x:c r="ID13" s="140"/>
      <x:c r="IE13" s="2169"/>
      <x:c r="IF13" s="2099"/>
      <x:c r="IG13" s="2099"/>
      <x:c r="IH13" s="2099"/>
      <x:c r="II13" s="2099"/>
      <x:c r="IJ13" s="2099"/>
      <x:c r="IK13" s="2099"/>
      <x:c r="IL13" s="2099"/>
      <x:c r="IM13" s="2099"/>
      <x:c r="IN13" s="2099"/>
      <x:c r="IO13" s="2099"/>
      <x:c r="IP13" s="2099"/>
      <x:c r="IQ13" s="2099"/>
      <x:c r="IR13" s="2099"/>
      <x:c r="IS13" s="2099"/>
      <x:c r="IT13" s="2099"/>
      <x:c r="IU13" s="2099"/>
      <x:c r="IV13" s="2099"/>
      <x:c r="IW13" s="2099"/>
      <x:c r="IX13" s="2099"/>
      <x:c r="IY13" s="2099"/>
      <x:c r="IZ13" s="2099"/>
      <x:c r="JA13" s="2099"/>
      <x:c r="JB13" s="2099"/>
      <x:c r="JC13" s="2099"/>
      <x:c r="JD13" s="2099"/>
      <x:c r="JE13" s="2099"/>
      <x:c r="JF13" s="2099"/>
      <x:c r="JG13" s="2099"/>
      <x:c r="JH13" s="2099"/>
      <x:c r="JI13" s="2099"/>
      <x:c r="JJ13" s="2099"/>
      <x:c r="JK13" s="2255"/>
      <x:c r="JL13" s="2257"/>
      <x:c r="JM13" s="117"/>
    </x:row>
    <x:row r="14" spans="1:276" ht="12.6" customHeight="1" thickTop="1" thickBot="1" x14ac:dyDescent="0.25">
      <x:c r="A14" s="1093"/>
      <x:c r="B14" s="1093"/>
      <x:c r="C14" s="1093"/>
      <x:c r="D14" s="1093"/>
      <x:c r="E14" s="1093"/>
      <x:c r="F14" s="1093"/>
      <x:c r="G14" s="1093"/>
      <x:c r="H14" s="1093"/>
      <x:c r="I14" s="1093"/>
      <x:c r="J14" s="1093"/>
      <x:c r="K14" s="1093"/>
      <x:c r="L14" s="1093"/>
      <x:c r="M14" s="1093"/>
      <x:c r="N14" s="1093"/>
      <x:c r="O14" s="1093"/>
      <x:c r="P14" s="1093"/>
      <x:c r="Q14" s="1093"/>
      <x:c r="R14" s="1093"/>
      <x:c r="S14" s="1093"/>
      <x:c r="T14" s="1093"/>
      <x:c r="U14" s="1093"/>
      <x:c r="V14" s="1093"/>
      <x:c r="W14" s="1093"/>
      <x:c r="X14" s="1093"/>
      <x:c r="Y14" s="1093"/>
      <x:c r="Z14" s="1093"/>
      <x:c r="AA14" s="1093"/>
      <x:c r="AB14" s="2799" t="s">
        <x:v>1400</x:v>
      </x:c>
      <x:c r="AC14" s="2800" t="s">
        <x:v>35</x:v>
      </x:c>
      <x:c r="AD14" s="2801">
        <x:v>6</x:v>
      </x:c>
      <x:c r="AE14" s="2802">
        <x:v>0.375</x:v>
      </x:c>
      <x:c r="AF14" s="2800">
        <x:v>7</x:v>
      </x:c>
      <x:c r="AG14" s="2801">
        <x:v>6</x:v>
      </x:c>
      <x:c r="AH14" s="2802">
        <x:v>2.75</x:v>
      </x:c>
      <x:c r="AI14" s="2801">
        <x:v>6</x:v>
      </x:c>
      <x:c r="AJ14" s="2802">
        <x:v>6.125</x:v>
      </x:c>
      <x:c r="AK14" s="2803" t="str">
        <x:f>IF(ISBLANK(DO14),"",DO14)</x:f>
        <x:v/>
      </x:c>
      <x:c r="AL14" s="2804" t="s">
        <x:v>35</x:v>
      </x:c>
      <x:c r="AM14" s="2805">
        <x:v>5</x:v>
      </x:c>
      <x:c r="AN14" s="2800">
        <x:v>13</x:v>
      </x:c>
      <x:c r="AO14" s="2806">
        <x:v>4</x:v>
      </x:c>
      <x:c r="AP14" s="2807">
        <x:v>1.75</x:v>
      </x:c>
      <x:c r="AQ14" s="2808" t="str">
        <x:f t="shared" ref="AP14:AQ45" si="3">IF(ISERROR(GE54),"ERR",IF(OR(GE54="",GE54=0),"",GE54))</x:f>
        <x:v/>
      </x:c>
      <x:c r="AR14" s="2809" t="str">
        <x:f>IF(ISERROR(GF54),"ERR",IF(GF54="","",IF(ISTEXT(GF54),"P",TRUNC(GF54/12))))</x:f>
        <x:v/>
      </x:c>
      <x:c r="AS14" s="2802" t="str">
        <x:f>IF(ISERROR(GF54),"",IF(GF54="","",IF(AR14="P",GF54,GF54-(AR14*12))))</x:f>
        <x:v/>
      </x:c>
      <x:c r="AT14" s="2810" t="str">
        <x:f>IF(ISBLANK(DX14),"",DX14)</x:f>
        <x:v/>
      </x:c>
      <x:c r="AU14" s="2811" t="str">
        <x:f t="shared" ref="AU14:AU45" si="4">IF(ISBLANK(DY14),"",UPPER(DY14))</x:f>
        <x:v/>
      </x:c>
      <x:c r="AV14" s="2759" t="str">
        <x:f>IF(ISERROR(GG54),"ERR",IF(GG54="","",IF(ISTEXT(GG54),"P",TRUNC(GG54/12))))</x:f>
        <x:v/>
      </x:c>
      <x:c r="AW14" s="2802" t="str">
        <x:f>IF(ISERROR(GG54),"",IF(GG54="","",IF(AV14="P",GG54,GG54-(AV14*12))))</x:f>
        <x:v/>
      </x:c>
      <x:c r="AX14" s="2810" t="str">
        <x:f>IF(ISBLANK(EB14),"",EB14)</x:f>
        <x:v/>
      </x:c>
      <x:c r="AY14" s="2811" t="str">
        <x:f t="shared" ref="AY14:AY45" si="5">IF(ISBLANK(EC14),"",UPPER(EC14))</x:f>
        <x:v/>
      </x:c>
      <x:c r="AZ14" s="2759" t="str">
        <x:f>IF(ISERROR(GH54),"ERR",IF(GH54="","",IF(ISTEXT(GH54),"P",TRUNC(GH54/12))))</x:f>
        <x:v/>
      </x:c>
      <x:c r="BA14" s="2802" t="str">
        <x:f>IF(ISERROR(GH54),"",IF(GH54="","",IF(AZ14="P",GH54,GH54-(AZ14*12))))</x:f>
        <x:v/>
      </x:c>
      <x:c r="BB14" s="2810" t="str">
        <x:f>IF(ISBLANK(EF14),"",EF14)</x:f>
        <x:v/>
      </x:c>
      <x:c r="BC14" s="2811" t="str">
        <x:f t="shared" ref="BC14:BC45" si="6">IF(ISBLANK(EG14),"",UPPER(EG14))</x:f>
        <x:v/>
      </x:c>
      <x:c r="BD14" s="2759" t="str">
        <x:f>IF(ISERROR(GI54),"ERR",IF(GI54="","",IF(ISTEXT(GI54),"P",TRUNC(GI54/12))))</x:f>
        <x:v/>
      </x:c>
      <x:c r="BE14" s="2802" t="str">
        <x:f>IF(ISERROR(GI54),"",IF(GI54="","",IF(BD14="P",GI54,GI54-(BD14*12))))</x:f>
        <x:v/>
      </x:c>
      <x:c r="BF14" s="2810" t="str">
        <x:f>IF(ISBLANK(EJ14),"",EJ14)</x:f>
        <x:v/>
      </x:c>
      <x:c r="BG14" s="2812" t="str">
        <x:f t="shared" ref="BG14:BG45" si="7">IF(ISBLANK(EK14),"",UPPER(EK14))</x:f>
        <x:v/>
      </x:c>
      <x:c r="BH14" s="261"/>
      <x:c r="BJ14" s="143"/>
      <x:c r="BL14" s="1798"/>
      <x:c r="BW14" s="991">
        <x:f>IF(AB14="",0,1)+IF(AC14="",0,1)+IF(AD14="",0,1)+IF(AE14="",0,1)+IF(AF14="",0,1)+IF(AG14="",0,1)+IF(AH14="",0,1)+IF(AI14="",0,1)+IF(AJ14="",0,1)+IF(AK14="",0,1)+IF(AL14="",0,1)+IF(AM14="",0,1)+IF(AN14="",0,1)+IF(AO14="",0,1)+IF(AP14="",0,1)+IF(AQ14="",0,1)+IF(AR14="",0,1)+IF(AS14="",0,1)+IF(AT14="",0,1)+IF(AU14="",0,1)+IF(AV14="",0,1)+IF(AW14="",0,1)+IF(AX14="",0,1)+IF(AY14="",0,1)+IF(AZ14="",0,1)+IF(BA14="",0,1)+IF(BB14="",0,1)+IF(BC14="",0,1)+IF(BD14="",0,1)+IF(BE14="",0,1)+IF(BF14="",0,1)+IF(BG14="",0,1)</x:f>
        <x:v>14</x:v>
      </x:c>
      <x:c r="BX14" s="994" t="str">
        <x:f>AB14</x:f>
        <x:v>G1</x:v>
      </x:c>
      <x:c r="BY14" s="991" t="b">
        <x:f>IF(ISERROR(VLOOKUP(BX14,$BJ$14:$BL$45,3,FALSE)),FALSE,VLOOKUP(BX14,$BJ$14:$BL$45,3,FALSE))</x:f>
        <x:v>0</x:v>
      </x:c>
      <x:c r="BZ14" s="1303" t="b">
        <x:f>IF($BK$1,IF(BX14="",FALSE,IF(ISERROR(VLOOKUP(BX14,$A$28:$B$45,2,FALSE)),FALSE,IF(VLOOKUP(BX14,$A$28:$B$45,2,FALSE)=0,TRUE,FALSE))))</x:f>
        <x:v>0</x:v>
      </x:c>
      <x:c r="CB14" s="198"/>
      <x:c r="CC14" s="198"/>
      <x:c r="CD14" s="198"/>
      <x:c r="CE14" s="198"/>
      <x:c r="CF14" s="198"/>
      <x:c r="CG14" s="141"/>
      <x:c r="CH14" s="141"/>
      <x:c r="CI14" s="141"/>
      <x:c r="CJ14" s="141"/>
      <x:c r="CK14" s="141"/>
      <x:c r="CL14" s="141"/>
      <x:c r="CM14" s="198"/>
      <x:c r="CN14" s="198"/>
      <x:c r="CO14" s="198"/>
      <x:c r="CP14" s="198"/>
      <x:c r="CQ14" s="198"/>
      <x:c r="CR14" s="198"/>
      <x:c r="CS14" s="198"/>
      <x:c r="CT14" s="198"/>
      <x:c r="CU14" s="198"/>
      <x:c r="CV14" s="198"/>
      <x:c r="CW14" s="198"/>
      <x:c r="CX14" s="141"/>
      <x:c r="CY14" s="198"/>
      <x:c r="CZ14" s="141"/>
      <x:c r="DA14" s="141"/>
      <x:c r="DB14" s="141"/>
      <x:c r="DC14" s="141"/>
      <x:c r="DD14" s="141"/>
      <x:c r="DE14" s="141"/>
      <x:c r="DF14" s="141"/>
      <x:c r="DG14" s="141"/>
      <x:c r="DH14" s="672"/>
      <x:c r="DI14" s="665"/>
      <x:c r="DJ14" s="690"/>
      <x:c r="DK14" s="1330"/>
      <x:c r="DL14" s="666"/>
      <x:c r="DM14" s="691"/>
      <x:c r="DN14" s="1333"/>
      <x:c r="DO14" s="667"/>
      <x:c r="DP14" s="668"/>
      <x:c r="DQ14" s="1418"/>
      <x:c r="DR14" s="669"/>
      <x:c r="DS14" s="1610"/>
      <x:c r="DT14" s="1604"/>
      <x:c r="DU14" s="1605"/>
      <x:c r="DV14" s="678"/>
      <x:c r="DW14" s="1336"/>
      <x:c r="DX14" s="670"/>
      <x:c r="DY14" s="666"/>
      <x:c r="DZ14" s="678"/>
      <x:c r="EA14" s="1338"/>
      <x:c r="EB14" s="670"/>
      <x:c r="EC14" s="666"/>
      <x:c r="ED14" s="678"/>
      <x:c r="EE14" s="1338"/>
      <x:c r="EF14" s="670"/>
      <x:c r="EG14" s="666"/>
      <x:c r="EH14" s="678"/>
      <x:c r="EI14" s="1338"/>
      <x:c r="EJ14" s="670"/>
      <x:c r="EK14" s="671"/>
      <x:c r="EL14" s="929"/>
      <x:c r="EM14" s="1004"/>
      <x:c r="EN14" s="141"/>
      <x:c r="EO14" s="141"/>
      <x:c r="EP14" s="928"/>
      <x:c r="EQ14" s="141"/>
      <x:c r="ER14" s="141"/>
      <x:c r="ES14" s="141"/>
      <x:c r="ET14" s="141"/>
      <x:c r="EU14" s="141"/>
      <x:c r="EX14" s="503" t="str">
        <x:f>CONCATENATE(BX14,AC14)</x:f>
        <x:v>G1B</x:v>
      </x:c>
      <x:c r="EY14" s="940" t="b">
        <x:f t="shared" ref="EY14:EY45" ca="1" si="8">IF(OR(ISBLANK(AB14),AB14=""),"",VLOOKUP(LEFT(EX14,LEN(EX14)-1),$BJ$28:$BO$45,6,FALSE)=SUMIF($EX$14:$EX$45,EX14,$AF$14:$AF$45)+2)</x:f>
        <x:v>1</x:v>
      </x:c>
      <x:c r="EZ14" s="940">
        <x:f>IF(AB14="","",IF(VLOOKUP(BX14,$A$28:$F$45,6,FALSE)="",0,HLOOKUP(VLOOKUP(BX14,$A$28:$F$45,6,FALSE),$FG$4:$FI$5,2,TRUE)))</x:f>
        <x:v>5</x:v>
      </x:c>
      <x:c r="FA14" s="958" t="b">
        <x:f>IF(FB15="","",FB14=FF14)</x:f>
        <x:v>1</x:v>
      </x:c>
      <x:c r="FB14" s="134">
        <x: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x:f>
        <x:v>673.75</x:v>
      </x:c>
      <x:c r="FC14" s="134">
        <x:f t="shared" ref="FC14:FC45" si="9">IF(ISNUMBER(AD14),AD14,0)*12+IF(ISNUMBER(AE14),AE14,0)</x:f>
        <x:v>72.375</x:v>
      </x:c>
      <x:c r="FD14" s="134">
        <x:f t="shared" ref="FD14:FD45" si="10">IF(ISNUMBER(AF14),AF14,0)*(IF(ISNUMBER(AG14),AG14,0)*12+IF(ISNUMBER(AH14),AH14,0))</x:f>
        <x:v>523.25</x:v>
      </x:c>
      <x:c r="FE14" s="134">
        <x:f t="shared" ref="FE14:FE45" si="11">IF(ISNUMBER(AI14),AI14,0)*12+IF(ISNUMBER(AJ14),AJ14,0)</x:f>
        <x:v>78.125</x:v>
      </x:c>
      <x:c r="FF14" s="134">
        <x:f>SUM(FC14:FE14)+IF(FE14=0,FF15,0)</x:f>
        <x:v>673.75</x:v>
      </x:c>
      <x:c r="FN14" s="754" t="b">
        <x:v>0</x:v>
      </x:c>
      <x:c r="FO14" s="754"/>
      <x:c r="FP14" s="754" t="b">
        <x:v>0</x:v>
      </x:c>
      <x:c r="FQ14" s="754" t="b">
        <x:f>NOT(ISERROR(VLOOKUP(AB14,$A$28:$A$45,1,FALSE)))</x:f>
        <x:v>1</x:v>
      </x:c>
      <x:c r="FX14" s="197"/>
      <x:c r="FZ14" s="2"/>
      <x:c r="GA14" s="141"/>
      <x:c r="GB14" s="141"/>
      <x:c r="GC14" s="141"/>
      <x:c r="GD14" s="141"/>
      <x:c r="GE14" s="141"/>
      <x:c r="GF14" s="141"/>
      <x:c r="GG14" s="141"/>
      <x:c r="GH14" s="141"/>
      <x:c r="GI14" s="141"/>
      <x:c r="GJ14" s="141"/>
      <x:c r="GK14" s="2"/>
      <x:c r="HA14" s="130"/>
      <x:c r="HB14" s="130"/>
      <x:c r="HC14" s="130"/>
      <x:c r="HD14" s="130"/>
      <x:c r="HE14" s="130"/>
      <x:c r="HF14" s="130"/>
      <x:c r="HG14" s="130"/>
      <x:c r="HH14" s="130"/>
      <x:c r="HI14" s="130"/>
      <x:c r="HM14" s="131"/>
      <x:c r="HN14" s="132"/>
      <x:c r="ID14" s="780"/>
      <x:c r="IE14" s="1256" t="s">
        <x:v>1400</x:v>
      </x:c>
      <x:c r="IF14" s="1257" t="s">
        <x:v>35</x:v>
      </x:c>
      <x:c r="IG14" s="1258">
        <x:v>6</x:v>
      </x:c>
      <x:c r="IH14" s="1259">
        <x:v>0.375</x:v>
      </x:c>
      <x:c r="II14" s="1257">
        <x:v>7</x:v>
      </x:c>
      <x:c r="IJ14" s="1258">
        <x:v>6</x:v>
      </x:c>
      <x:c r="IK14" s="1259">
        <x:v>2.75</x:v>
      </x:c>
      <x:c r="IL14" s="1257">
        <x:v>6</x:v>
      </x:c>
      <x:c r="IM14" s="1257">
        <x:v>6.125</x:v>
      </x:c>
      <x:c r="IN14" s="1257" t="s">
        <x:v>116</x:v>
      </x:c>
      <x:c r="IO14" s="1257" t="s">
        <x:v>35</x:v>
      </x:c>
      <x:c r="IP14" s="1257">
        <x:v>5</x:v>
      </x:c>
      <x:c r="IQ14" s="1257">
        <x:v>13</x:v>
      </x:c>
      <x:c r="IR14" s="1257">
        <x:v>4</x:v>
      </x:c>
      <x:c r="IS14" s="1258">
        <x:v>1.75</x:v>
      </x:c>
      <x:c r="IT14" s="1259" t="s">
        <x:v>116</x:v>
      </x:c>
      <x:c r="IU14" s="1257" t="s">
        <x:v>116</x:v>
      </x:c>
      <x:c r="IV14" s="1257" t="s">
        <x:v>116</x:v>
      </x:c>
      <x:c r="IW14" s="1258" t="s">
        <x:v>116</x:v>
      </x:c>
      <x:c r="IX14" s="1259" t="s">
        <x:v>116</x:v>
      </x:c>
      <x:c r="IY14" s="1257" t="s">
        <x:v>116</x:v>
      </x:c>
      <x:c r="IZ14" s="1257" t="s">
        <x:v>116</x:v>
      </x:c>
      <x:c r="JA14" s="1258" t="s">
        <x:v>116</x:v>
      </x:c>
      <x:c r="JB14" s="1259" t="s">
        <x:v>116</x:v>
      </x:c>
      <x:c r="JC14" s="1257" t="s">
        <x:v>116</x:v>
      </x:c>
      <x:c r="JD14" s="1257" t="s">
        <x:v>116</x:v>
      </x:c>
      <x:c r="JE14" s="1258" t="s">
        <x:v>116</x:v>
      </x:c>
      <x:c r="JF14" s="1259" t="s">
        <x:v>116</x:v>
      </x:c>
      <x:c r="JG14" s="1257" t="s">
        <x:v>116</x:v>
      </x:c>
      <x:c r="JH14" s="1257" t="s">
        <x:v>116</x:v>
      </x:c>
      <x:c r="JI14" s="1257" t="s">
        <x:v>116</x:v>
      </x:c>
      <x:c r="JJ14" s="1260" t="s">
        <x:v>116</x:v>
      </x:c>
      <x:c r="JK14" s="1257">
        <x:v>1</x:v>
      </x:c>
      <x:c r="JL14" s="1170">
        <x:f>IF(JK14="",0,1)</x:f>
        <x:v>1</x:v>
      </x:c>
      <x:c r="JM14" s="117"/>
    </x:row>
    <x:row r="15" spans="1:276" ht="12.6" customHeight="1" thickTop="1" x14ac:dyDescent="0.2">
      <x:c r="A15" s="1093"/>
      <x:c r="B15" s="1093"/>
      <x:c r="C15" s="1093"/>
      <x:c r="D15" s="1093"/>
      <x:c r="E15" s="1093"/>
      <x:c r="F15" s="1093"/>
      <x:c r="G15" s="1093"/>
      <x:c r="H15" s="1093"/>
      <x:c r="I15" s="1093"/>
      <x:c r="J15" s="1093"/>
      <x:c r="K15" s="1093"/>
      <x:c r="L15" s="1093"/>
      <x:c r="M15" s="1093"/>
      <x:c r="N15" s="1093"/>
      <x:c r="O15" s="1093"/>
      <x:c r="P15" s="1093"/>
      <x:c r="Q15" s="1093"/>
      <x:c r="R15" s="1093"/>
      <x:c r="S15" s="1093"/>
      <x:c r="T15" s="1093"/>
      <x:c r="U15" s="1093"/>
      <x:c r="V15" s="1093"/>
      <x:c r="W15" s="1093"/>
      <x:c r="X15" s="1093"/>
      <x:c r="Y15" s="1093"/>
      <x:c r="Z15" s="1093"/>
      <x:c r="AA15" s="1093"/>
      <x:c r="AB15" s="2764" t="s">
        <x:v>1402</x:v>
      </x:c>
      <x:c r="AC15" s="2772" t="s">
        <x:v>35</x:v>
      </x:c>
      <x:c r="AD15" s="2767">
        <x:v>6</x:v>
      </x:c>
      <x:c r="AE15" s="2771">
        <x:v>0.375</x:v>
      </x:c>
      <x:c r="AF15" s="2772">
        <x:v>7</x:v>
      </x:c>
      <x:c r="AG15" s="2767">
        <x:v>6</x:v>
      </x:c>
      <x:c r="AH15" s="2771">
        <x:v>2.75</x:v>
      </x:c>
      <x:c r="AI15" s="2767">
        <x:v>6</x:v>
      </x:c>
      <x:c r="AJ15" s="2771">
        <x:v>0.375</x:v>
      </x:c>
      <x:c r="AK15" s="2813" t="str">
        <x:f t="shared" ref="AK15:AK45" si="12">IF(ISBLANK(DO15),"",DO15)</x:f>
        <x:v/>
      </x:c>
      <x:c r="AL15" s="2814" t="s">
        <x:v>35</x:v>
      </x:c>
      <x:c r="AM15" s="2815">
        <x:v>5</x:v>
      </x:c>
      <x:c r="AN15" s="2772">
        <x:v>13</x:v>
      </x:c>
      <x:c r="AO15" s="2816">
        <x:v>4</x:v>
      </x:c>
      <x:c r="AP15" s="2774">
        <x:v>1.75</x:v>
      </x:c>
      <x:c r="AQ15" s="2817">
        <x:v>1.75</x:v>
      </x:c>
      <x:c r="AR15" s="2770" t="str">
        <x:f t="shared" ref="AR15:AR45" si="13">IF(ISERROR(GF55),"ERR",IF(GF55="","",IF(ISTEXT(GF55),"P",TRUNC(GF55/12))))</x:f>
        <x:v/>
      </x:c>
      <x:c r="AS15" s="2771" t="str">
        <x:f t="shared" ref="AS15:AS45" si="14">IF(ISERROR(GF55),"",IF(GF55="","",IF(AR15="P",GF55,GF55-(AR15*12))))</x:f>
        <x:v/>
      </x:c>
      <x:c r="AT15" s="2818" t="str">
        <x:f t="shared" ref="AT15:AT45" si="15">IF(ISBLANK(DX15),"",DX15)</x:f>
        <x:v/>
      </x:c>
      <x:c r="AU15" s="2819" t="str">
        <x:f t="shared" si="4"/>
        <x:v/>
      </x:c>
      <x:c r="AV15" s="2776" t="str">
        <x:f t="shared" ref="AV15:AV45" si="16">IF(ISERROR(GG55),"ERR",IF(GG55="","",IF(ISTEXT(GG55),"P",TRUNC(GG55/12))))</x:f>
        <x:v/>
      </x:c>
      <x:c r="AW15" s="2771" t="str">
        <x:f t="shared" ref="AW15:AW45" si="17">IF(ISERROR(GG55),"",IF(GG55="","",IF(AV15="P",GG55,GG55-(AV15*12))))</x:f>
        <x:v/>
      </x:c>
      <x:c r="AX15" s="2818" t="str">
        <x:f t="shared" ref="AX15:AX45" si="18">IF(ISBLANK(EB15),"",EB15)</x:f>
        <x:v/>
      </x:c>
      <x:c r="AY15" s="2819" t="str">
        <x:f t="shared" si="5"/>
        <x:v/>
      </x:c>
      <x:c r="AZ15" s="2776" t="str">
        <x:f t="shared" ref="AZ15:AZ45" si="19">IF(ISERROR(GH55),"ERR",IF(GH55="","",IF(ISTEXT(GH55),"P",TRUNC(GH55/12))))</x:f>
        <x:v/>
      </x:c>
      <x:c r="BA15" s="2771" t="str">
        <x:f t="shared" ref="BA15:BA45" si="20">IF(ISERROR(GH55),"",IF(GH55="","",IF(AZ15="P",GH55,GH55-(AZ15*12))))</x:f>
        <x:v/>
      </x:c>
      <x:c r="BB15" s="2818" t="str">
        <x:f t="shared" ref="BB15:BB45" si="21">IF(ISBLANK(EF15),"",EF15)</x:f>
        <x:v/>
      </x:c>
      <x:c r="BC15" s="2819" t="str">
        <x:f t="shared" si="6"/>
        <x:v/>
      </x:c>
      <x:c r="BD15" s="2776" t="str">
        <x:f t="shared" ref="BD15:BD45" si="22">IF(ISERROR(GI55),"ERR",IF(GI55="","",IF(ISTEXT(GI55),"P",TRUNC(GI55/12))))</x:f>
        <x:v/>
      </x:c>
      <x:c r="BE15" s="2771" t="str">
        <x:f t="shared" ref="BE15:BE45" si="23">IF(ISERROR(GI55),"",IF(GI55="","",IF(BD15="P",GI55,GI55-(BD15*12))))</x:f>
        <x:v/>
      </x:c>
      <x:c r="BF15" s="2818" t="str">
        <x:f t="shared" ref="BF15:BF45" si="24">IF(ISBLANK(EJ15),"",EJ15)</x:f>
        <x:v/>
      </x:c>
      <x:c r="BG15" s="2819" t="str">
        <x:f t="shared" si="7"/>
        <x:v/>
      </x:c>
      <x:c r="BH15" s="261"/>
      <x:c r="BJ15" s="143"/>
      <x:c r="BL15" s="1798"/>
      <x:c r="BW15" s="991">
        <x:f t="shared" ref="BW15:BW45" si="25">IF(AB15="",0,1)+IF(AC15="",0,1)+IF(AD15="",0,1)+IF(AE15="",0,1)+IF(AF15="",0,1)+IF(AG15="",0,1)+IF(AH15="",0,1)+IF(AI15="",0,1)+IF(AJ15="",0,1)+IF(AK15="",0,1)+IF(AL15="",0,1)+IF(AM15="",0,1)+IF(AN15="",0,1)+IF(AO15="",0,1)+IF(AP15="",0,1)+IF(AQ15="",0,1)+IF(AR15="",0,1)+IF(AS15="",0,1)+IF(AT15="",0,1)+IF(AU15="",0,1)+IF(AV15="",0,1)+IF(AW15="",0,1)+IF(AX15="",0,1)+IF(AY15="",0,1)+IF(AZ15="",0,1)+IF(BA15="",0,1)+IF(BB15="",0,1)+IF(BC15="",0,1)+IF(BD15="",0,1)+IF(BE15="",0,1)+IF(BF15="",0,1)+IF(BG15="",0,1)</x:f>
        <x:v>15</x:v>
      </x:c>
      <x:c r="BX15" s="991" t="str">
        <x:f>IF(AND(AB15="",BW15&gt;0),BX14,IF(ISBLANK(AB15),"",AB15))</x:f>
        <x:v>G2</x:v>
      </x:c>
      <x:c r="BY15" s="991" t="b">
        <x:f t="shared" ref="BY15:BY45" si="26">IF(ISERROR(VLOOKUP(BX15,$BJ$14:$BL$45,3,FALSE)),FALSE,VLOOKUP(BX15,$BJ$14:$BL$45,3,FALSE))</x:f>
        <x:v>0</x:v>
      </x:c>
      <x:c r="BZ15" s="1303" t="b">
        <x:f>IF($BK$1,IF(BX15="",FALSE,IF(ISERROR(VLOOKUP(BX15,$A$28:$B$45,2,FALSE)),FALSE,IF(VLOOKUP(BX15,$A$28:$B$45,2,FALSE)=0,TRUE,FALSE))))</x:f>
        <x:v>0</x:v>
      </x:c>
      <x:c r="CB15" s="198"/>
      <x:c r="CC15" s="198"/>
      <x:c r="CD15" s="198"/>
      <x:c r="CE15" s="198"/>
      <x:c r="CF15" s="198"/>
      <x:c r="CG15" s="141"/>
      <x:c r="CH15" s="141"/>
      <x:c r="CI15" s="141"/>
      <x:c r="CJ15" s="141"/>
      <x:c r="CK15" s="141"/>
      <x:c r="CL15" s="141"/>
      <x:c r="CM15" s="198"/>
      <x:c r="CN15" s="198"/>
      <x:c r="CO15" s="198"/>
      <x:c r="CP15" s="198"/>
      <x:c r="CQ15" s="198"/>
      <x:c r="CR15" s="198"/>
      <x:c r="CS15" s="198"/>
      <x:c r="CT15" s="198"/>
      <x:c r="CU15" s="198"/>
      <x:c r="CV15" s="198"/>
      <x:c r="CW15" s="198"/>
      <x:c r="CX15" s="141"/>
      <x:c r="CY15" s="198"/>
      <x:c r="CZ15" s="141"/>
      <x:c r="DA15" s="141"/>
      <x:c r="DB15" s="141"/>
      <x:c r="DC15" s="141"/>
      <x:c r="DD15" s="141"/>
      <x:c r="DE15" s="141"/>
      <x:c r="DF15" s="141"/>
      <x:c r="DG15" s="141"/>
      <x:c r="DH15" s="672"/>
      <x:c r="DI15" s="673"/>
      <x:c r="DJ15" s="692"/>
      <x:c r="DK15" s="1331"/>
      <x:c r="DL15" s="674"/>
      <x:c r="DM15" s="693"/>
      <x:c r="DN15" s="1334"/>
      <x:c r="DO15" s="675"/>
      <x:c r="DP15" s="676"/>
      <x:c r="DQ15" s="1419"/>
      <x:c r="DR15" s="677"/>
      <x:c r="DS15" s="1611"/>
      <x:c r="DT15" s="1606"/>
      <x:c r="DU15" s="1607"/>
      <x:c r="DV15" s="678"/>
      <x:c r="DW15" s="1336"/>
      <x:c r="DX15" s="679"/>
      <x:c r="DY15" s="674"/>
      <x:c r="DZ15" s="678"/>
      <x:c r="EA15" s="1336"/>
      <x:c r="EB15" s="679"/>
      <x:c r="EC15" s="674"/>
      <x:c r="ED15" s="678"/>
      <x:c r="EE15" s="1336"/>
      <x:c r="EF15" s="679"/>
      <x:c r="EG15" s="674"/>
      <x:c r="EH15" s="678"/>
      <x:c r="EI15" s="1336"/>
      <x:c r="EJ15" s="679"/>
      <x:c r="EK15" s="680"/>
      <x:c r="EL15" s="929"/>
      <x:c r="EM15" s="1004"/>
      <x:c r="EN15" s="930"/>
      <x:c r="EO15" s="931"/>
      <x:c r="EP15" s="141"/>
      <x:c r="EQ15" s="141"/>
      <x:c r="ER15" s="141"/>
      <x:c r="ES15" s="141"/>
      <x:c r="ET15" s="141"/>
      <x:c r="EU15" s="141"/>
      <x:c r="EX15" s="503" t="str">
        <x:f t="shared" ref="EX15:EX45" si="27">IF(AND(AC15="",BX15=BX14),EX14,CONCATENATE(BX15,AC15))</x:f>
        <x:v>G2B</x:v>
      </x:c>
      <x:c r="EY15" s="940" t="b">
        <x:f t="shared" ca="1" si="8"/>
        <x:v>1</x:v>
      </x:c>
      <x:c r="EZ15" s="940">
        <x:f t="shared" ref="EZ15:EZ45" si="28">IF(AB15="","",IF(VLOOKUP(BX15,$A$28:$F$45,6,FALSE)="",0,HLOOKUP(VLOOKUP(BX15,$A$28:$F$45,6,FALSE),$FG$4:$FI$5,2,TRUE)))</x:f>
        <x:v>5</x:v>
      </x:c>
      <x:c r="FA15" s="958" t="b">
        <x:f>IF(FB15="","",IF(FC15=0,FA14,FB15=FF15))</x:f>
        <x:v>1</x:v>
      </x:c>
      <x:c r="FB15" s="134">
        <x:f t="shared" ref="FB15:FB45" si="29">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x:f>
        <x:v>668</x:v>
      </x:c>
      <x:c r="FC15" s="134">
        <x:f t="shared" si="9"/>
        <x:v>72.375</x:v>
      </x:c>
      <x:c r="FD15" s="134">
        <x:f t="shared" si="10"/>
        <x:v>523.25</x:v>
      </x:c>
      <x:c r="FE15" s="134">
        <x:f t="shared" si="11"/>
        <x:v>72.375</x:v>
      </x:c>
      <x:c r="FF15" s="134">
        <x:f t="shared" ref="FF15:FF45" si="30">SUM(FC15:FE15)+IF(FE15=0,FF16,0)</x:f>
        <x:v>668</x:v>
      </x:c>
      <x:c r="FN15" s="754" t="b">
        <x:v>0</x:v>
      </x:c>
      <x:c r="FO15" s="754"/>
      <x:c r="FP15" s="754" t="b">
        <x:v>0</x:v>
      </x:c>
      <x:c r="FQ15" s="754" t="b">
        <x:f t="shared" ref="FQ15:FQ45" si="31">NOT(ISERROR(VLOOKUP(AB15,$A$28:$A$45,1,FALSE)))</x:f>
        <x:v>1</x:v>
      </x:c>
      <x:c r="FX15" s="197"/>
      <x:c r="FZ15" s="2"/>
      <x:c r="GA15" s="141"/>
      <x:c r="GB15" s="141"/>
      <x:c r="GC15" s="141"/>
      <x:c r="GD15" s="141"/>
      <x:c r="GE15" s="141"/>
      <x:c r="GF15" s="141"/>
      <x:c r="GG15" s="141"/>
      <x:c r="GH15" s="141"/>
      <x:c r="GI15" s="141"/>
      <x:c r="GJ15" s="141"/>
      <x:c r="GK15" s="2"/>
      <x:c r="HA15" s="2170" t="s">
        <x:v>622</x:v>
      </x:c>
      <x:c r="HB15" s="1915"/>
      <x:c r="HC15" s="1915"/>
      <x:c r="HD15" s="1915"/>
      <x:c r="HE15" s="1915"/>
      <x:c r="HF15" s="1915"/>
      <x:c r="HG15" s="1915"/>
      <x:c r="HH15" s="1915"/>
      <x:c r="HI15" s="1915"/>
      <x:c r="HJ15" s="1915"/>
      <x:c r="HK15" s="1915"/>
      <x:c r="HL15" s="1915"/>
      <x:c r="HM15" s="1915"/>
      <x:c r="HN15" s="1915"/>
      <x:c r="HO15" s="1915"/>
      <x:c r="HP15" s="1915"/>
      <x:c r="HQ15" s="1915"/>
      <x:c r="HR15" s="1915"/>
      <x:c r="HS15" s="1915"/>
      <x:c r="HT15" s="1915"/>
      <x:c r="HU15" s="1915"/>
      <x:c r="HV15" s="1915"/>
      <x:c r="HW15" s="1915"/>
      <x:c r="HX15" s="1916"/>
      <x:c r="ID15" s="781"/>
      <x:c r="IE15" s="1241" t="s">
        <x:v>1402</x:v>
      </x:c>
      <x:c r="IF15" s="1242" t="s">
        <x:v>35</x:v>
      </x:c>
      <x:c r="IG15" s="1243">
        <x:v>6</x:v>
      </x:c>
      <x:c r="IH15" s="1244">
        <x:v>0.375</x:v>
      </x:c>
      <x:c r="II15" s="1242">
        <x:v>7</x:v>
      </x:c>
      <x:c r="IJ15" s="1243">
        <x:v>6</x:v>
      </x:c>
      <x:c r="IK15" s="1244">
        <x:v>2.75</x:v>
      </x:c>
      <x:c r="IL15" s="1242">
        <x:v>6</x:v>
      </x:c>
      <x:c r="IM15" s="1242">
        <x:v>0.375</x:v>
      </x:c>
      <x:c r="IN15" s="1242" t="s">
        <x:v>116</x:v>
      </x:c>
      <x:c r="IO15" s="1242" t="s">
        <x:v>35</x:v>
      </x:c>
      <x:c r="IP15" s="1242">
        <x:v>5</x:v>
      </x:c>
      <x:c r="IQ15" s="1242">
        <x:v>13</x:v>
      </x:c>
      <x:c r="IR15" s="1242">
        <x:v>4</x:v>
      </x:c>
      <x:c r="IS15" s="1243">
        <x:v>1.75</x:v>
      </x:c>
      <x:c r="IT15" s="1244">
        <x:v>1.75</x:v>
      </x:c>
      <x:c r="IU15" s="1242" t="s">
        <x:v>116</x:v>
      </x:c>
      <x:c r="IV15" s="1242" t="s">
        <x:v>116</x:v>
      </x:c>
      <x:c r="IW15" s="1243" t="s">
        <x:v>116</x:v>
      </x:c>
      <x:c r="IX15" s="1244" t="s">
        <x:v>116</x:v>
      </x:c>
      <x:c r="IY15" s="1242" t="s">
        <x:v>116</x:v>
      </x:c>
      <x:c r="IZ15" s="1242" t="s">
        <x:v>116</x:v>
      </x:c>
      <x:c r="JA15" s="1243" t="s">
        <x:v>116</x:v>
      </x:c>
      <x:c r="JB15" s="1244" t="s">
        <x:v>116</x:v>
      </x:c>
      <x:c r="JC15" s="1242" t="s">
        <x:v>116</x:v>
      </x:c>
      <x:c r="JD15" s="1242" t="s">
        <x:v>116</x:v>
      </x:c>
      <x:c r="JE15" s="1243" t="s">
        <x:v>116</x:v>
      </x:c>
      <x:c r="JF15" s="1244" t="s">
        <x:v>116</x:v>
      </x:c>
      <x:c r="JG15" s="1242" t="s">
        <x:v>116</x:v>
      </x:c>
      <x:c r="JH15" s="1242" t="s">
        <x:v>116</x:v>
      </x:c>
      <x:c r="JI15" s="1242" t="s">
        <x:v>116</x:v>
      </x:c>
      <x:c r="JJ15" s="1245" t="s">
        <x:v>116</x:v>
      </x:c>
      <x:c r="JK15" s="1242">
        <x:v>1</x:v>
      </x:c>
      <x:c r="JL15" s="1171">
        <x:f ca="1">IF(ISBLANK(JK15),IF(JL14=0,0,IF(VALUE(OFFSET(JK15,JL14*-1,0))&lt;JL14+1,0,JL14+1)),1)</x:f>
        <x:v>1</x:v>
      </x:c>
      <x:c r="JM15" s="117"/>
    </x:row>
    <x:row r="16" spans="1:276" ht="12.6" customHeight="1" x14ac:dyDescent="0.2">
      <x:c r="A16" s="1093"/>
      <x:c r="B16" s="1093"/>
      <x:c r="C16" s="1093"/>
      <x:c r="D16" s="1093"/>
      <x:c r="E16" s="1093"/>
      <x:c r="F16" s="1093"/>
      <x:c r="G16" s="1093"/>
      <x:c r="H16" s="1093"/>
      <x:c r="I16" s="1093"/>
      <x:c r="J16" s="1093"/>
      <x:c r="K16" s="1093"/>
      <x:c r="L16" s="1093"/>
      <x:c r="M16" s="1093"/>
      <x:c r="N16" s="1093"/>
      <x:c r="O16" s="1093"/>
      <x:c r="P16" s="1093"/>
      <x:c r="Q16" s="1093"/>
      <x:c r="R16" s="1093"/>
      <x:c r="S16" s="1093"/>
      <x:c r="T16" s="1093"/>
      <x:c r="U16" s="1093"/>
      <x:c r="V16" s="1093"/>
      <x:c r="W16" s="1093"/>
      <x:c r="X16" s="1093"/>
      <x:c r="Y16" s="1093"/>
      <x:c r="Z16" s="1093"/>
      <x:c r="AA16" s="1093"/>
      <x:c r="AB16" s="2764" t="s">
        <x:v>1403</x:v>
      </x:c>
      <x:c r="AC16" s="2772" t="s">
        <x:v>35</x:v>
      </x:c>
      <x:c r="AD16" s="2767">
        <x:v>6</x:v>
      </x:c>
      <x:c r="AE16" s="2771">
        <x:v>0.375</x:v>
      </x:c>
      <x:c r="AF16" s="2772">
        <x:v>7</x:v>
      </x:c>
      <x:c r="AG16" s="2767">
        <x:v>6</x:v>
      </x:c>
      <x:c r="AH16" s="2771">
        <x:v>2.75</x:v>
      </x:c>
      <x:c r="AI16" s="2767">
        <x:v>6</x:v>
      </x:c>
      <x:c r="AJ16" s="2771">
        <x:v>0.375</x:v>
      </x:c>
      <x:c r="AK16" s="2813" t="str">
        <x:f t="shared" si="12"/>
        <x:v/>
      </x:c>
      <x:c r="AL16" s="2814" t="s">
        <x:v>35</x:v>
      </x:c>
      <x:c r="AM16" s="2815">
        <x:v>5</x:v>
      </x:c>
      <x:c r="AN16" s="2772">
        <x:v>13</x:v>
      </x:c>
      <x:c r="AO16" s="2816">
        <x:v>4</x:v>
      </x:c>
      <x:c r="AP16" s="2774">
        <x:v>1.75</x:v>
      </x:c>
      <x:c r="AQ16" s="2817">
        <x:v>1.75</x:v>
      </x:c>
      <x:c r="AR16" s="2770" t="str">
        <x:f t="shared" si="13"/>
        <x:v/>
      </x:c>
      <x:c r="AS16" s="2771" t="str">
        <x:f t="shared" si="14"/>
        <x:v/>
      </x:c>
      <x:c r="AT16" s="2818" t="str">
        <x:f t="shared" si="15"/>
        <x:v/>
      </x:c>
      <x:c r="AU16" s="2819" t="str">
        <x:f t="shared" si="4"/>
        <x:v/>
      </x:c>
      <x:c r="AV16" s="2776" t="str">
        <x:f t="shared" si="16"/>
        <x:v/>
      </x:c>
      <x:c r="AW16" s="2771" t="str">
        <x:f t="shared" si="17"/>
        <x:v/>
      </x:c>
      <x:c r="AX16" s="2818" t="str">
        <x:f t="shared" si="18"/>
        <x:v/>
      </x:c>
      <x:c r="AY16" s="2819" t="str">
        <x:f t="shared" si="5"/>
        <x:v/>
      </x:c>
      <x:c r="AZ16" s="2776" t="str">
        <x:f t="shared" si="19"/>
        <x:v/>
      </x:c>
      <x:c r="BA16" s="2771" t="str">
        <x:f t="shared" si="20"/>
        <x:v/>
      </x:c>
      <x:c r="BB16" s="2818" t="str">
        <x:f t="shared" si="21"/>
        <x:v/>
      </x:c>
      <x:c r="BC16" s="2819" t="str">
        <x:f t="shared" si="6"/>
        <x:v/>
      </x:c>
      <x:c r="BD16" s="2776" t="str">
        <x:f t="shared" si="22"/>
        <x:v/>
      </x:c>
      <x:c r="BE16" s="2771" t="str">
        <x:f t="shared" si="23"/>
        <x:v/>
      </x:c>
      <x:c r="BF16" s="2818" t="str">
        <x:f t="shared" si="24"/>
        <x:v/>
      </x:c>
      <x:c r="BG16" s="2819" t="str">
        <x:f t="shared" si="7"/>
        <x:v/>
      </x:c>
      <x:c r="BH16" s="261"/>
      <x:c r="BJ16" s="143"/>
      <x:c r="BL16" s="1798"/>
      <x:c r="BW16" s="991">
        <x:f t="shared" si="25"/>
        <x:v>15</x:v>
      </x:c>
      <x:c r="BX16" s="991" t="str">
        <x:f t="shared" ref="BX16:BX45" si="32">IF(AND(AB16="",BW16&gt;0),BX15,IF(ISBLANK(AB16),"",AB16))</x:f>
        <x:v>G3</x:v>
      </x:c>
      <x:c r="BY16" s="991" t="b">
        <x:f t="shared" si="26"/>
        <x:v>0</x:v>
      </x:c>
      <x:c r="BZ16" s="1303" t="b">
        <x:f t="shared" ref="BZ16:BZ45" si="33">IF($BK$1,IF(BX16="",FALSE,IF(ISERROR(VLOOKUP(BX16,$A$28:$B$45,2,FALSE)),FALSE,IF(VLOOKUP(BX16,$A$28:$B$45,2,FALSE)=0,TRUE,FALSE))))</x:f>
        <x:v>0</x:v>
      </x:c>
      <x:c r="CB16" s="198"/>
      <x:c r="CC16" s="198"/>
      <x:c r="CD16" s="198"/>
      <x:c r="CE16" s="198"/>
      <x:c r="CF16" s="198"/>
      <x:c r="CG16" s="198"/>
      <x:c r="CH16" s="198"/>
      <x:c r="CI16" s="198"/>
      <x:c r="CJ16" s="198"/>
      <x:c r="CK16" s="198"/>
      <x:c r="CL16" s="198"/>
      <x:c r="CM16" s="198"/>
      <x:c r="CN16" s="198"/>
      <x:c r="CO16" s="198"/>
      <x:c r="CP16" s="198"/>
      <x:c r="CQ16" s="198"/>
      <x:c r="CR16" s="198"/>
      <x:c r="CS16" s="198"/>
      <x:c r="CT16" s="198"/>
      <x:c r="CU16" s="198"/>
      <x:c r="CV16" s="198"/>
      <x:c r="CW16" s="198"/>
      <x:c r="CX16" s="141"/>
      <x:c r="CY16" s="198"/>
      <x:c r="CZ16" s="141"/>
      <x:c r="DA16" s="141"/>
      <x:c r="DB16" s="141"/>
      <x:c r="DC16" s="141"/>
      <x:c r="DD16" s="141"/>
      <x:c r="DE16" s="141"/>
      <x:c r="DF16" s="141"/>
      <x:c r="DG16" s="141"/>
      <x:c r="DH16" s="672"/>
      <x:c r="DI16" s="673"/>
      <x:c r="DJ16" s="692"/>
      <x:c r="DK16" s="1331"/>
      <x:c r="DL16" s="674"/>
      <x:c r="DM16" s="693"/>
      <x:c r="DN16" s="1334"/>
      <x:c r="DO16" s="675"/>
      <x:c r="DP16" s="676"/>
      <x:c r="DQ16" s="1419"/>
      <x:c r="DR16" s="677"/>
      <x:c r="DS16" s="1611"/>
      <x:c r="DT16" s="1606"/>
      <x:c r="DU16" s="1607"/>
      <x:c r="DV16" s="678"/>
      <x:c r="DW16" s="1336"/>
      <x:c r="DX16" s="679"/>
      <x:c r="DY16" s="674"/>
      <x:c r="DZ16" s="678"/>
      <x:c r="EA16" s="1336"/>
      <x:c r="EB16" s="679"/>
      <x:c r="EC16" s="674"/>
      <x:c r="ED16" s="678"/>
      <x:c r="EE16" s="1336"/>
      <x:c r="EF16" s="679"/>
      <x:c r="EG16" s="674"/>
      <x:c r="EH16" s="678"/>
      <x:c r="EI16" s="1336"/>
      <x:c r="EJ16" s="679"/>
      <x:c r="EK16" s="680"/>
      <x:c r="EL16" s="929"/>
      <x:c r="EM16" s="1004"/>
      <x:c r="EN16" s="930"/>
      <x:c r="EO16" s="931"/>
      <x:c r="EP16" s="141"/>
      <x:c r="EQ16" s="141"/>
      <x:c r="ER16" s="141"/>
      <x:c r="ES16" s="141"/>
      <x:c r="ET16" s="141"/>
      <x:c r="EU16" s="141"/>
      <x:c r="EX16" s="503" t="str">
        <x:f t="shared" si="27"/>
        <x:v>G3B</x:v>
      </x:c>
      <x:c r="EY16" s="940" t="b">
        <x:f t="shared" ca="1" si="8"/>
        <x:v>1</x:v>
      </x:c>
      <x:c r="EZ16" s="940">
        <x:f t="shared" si="28"/>
        <x:v>5</x:v>
      </x:c>
      <x:c r="FA16" s="958" t="b">
        <x:f t="shared" ref="FA16:FA45" si="34">IF(FB16="","",IF(FC16=0,FA15,FB16=FF16))</x:f>
        <x:v>1</x:v>
      </x:c>
      <x:c r="FB16" s="134">
        <x:f t="shared" si="29"/>
        <x:v>668</x:v>
      </x:c>
      <x:c r="FC16" s="134">
        <x:f t="shared" si="9"/>
        <x:v>72.375</x:v>
      </x:c>
      <x:c r="FD16" s="134">
        <x:f t="shared" si="10"/>
        <x:v>523.25</x:v>
      </x:c>
      <x:c r="FE16" s="134">
        <x:f t="shared" si="11"/>
        <x:v>72.375</x:v>
      </x:c>
      <x:c r="FF16" s="134">
        <x:f t="shared" si="30"/>
        <x:v>668</x:v>
      </x:c>
      <x:c r="FN16" s="754" t="b">
        <x:v>0</x:v>
      </x:c>
      <x:c r="FO16" s="754"/>
      <x:c r="FP16" s="754" t="b">
        <x:v>0</x:v>
      </x:c>
      <x:c r="FQ16" s="754" t="b">
        <x:f t="shared" si="31"/>
        <x:v>1</x:v>
      </x:c>
      <x:c r="FX16" s="197"/>
      <x:c r="FZ16" s="2"/>
      <x:c r="GA16" s="141"/>
      <x:c r="GB16" s="141"/>
      <x:c r="GC16" s="141"/>
      <x:c r="GD16" s="141"/>
      <x:c r="GE16" s="141"/>
      <x:c r="GF16" s="141"/>
      <x:c r="GG16" s="141"/>
      <x:c r="GH16" s="141"/>
      <x:c r="GI16" s="141"/>
      <x:c r="GJ16" s="141"/>
      <x:c r="GK16" s="2"/>
      <x:c r="GO16" s="140"/>
      <x:c r="GZ16" s="140"/>
      <x:c r="HA16" s="2171"/>
      <x:c r="HB16" s="1868"/>
      <x:c r="HC16" s="1868"/>
      <x:c r="HD16" s="1868"/>
      <x:c r="HE16" s="1868"/>
      <x:c r="HF16" s="1868"/>
      <x:c r="HG16" s="1868"/>
      <x:c r="HH16" s="1868"/>
      <x:c r="HI16" s="1868"/>
      <x:c r="HJ16" s="1868"/>
      <x:c r="HK16" s="1868"/>
      <x:c r="HL16" s="1868"/>
      <x:c r="HM16" s="1868"/>
      <x:c r="HN16" s="1868"/>
      <x:c r="HO16" s="1868"/>
      <x:c r="HP16" s="1868"/>
      <x:c r="HQ16" s="1868"/>
      <x:c r="HR16" s="1868"/>
      <x:c r="HS16" s="1868"/>
      <x:c r="HT16" s="1868"/>
      <x:c r="HU16" s="1868"/>
      <x:c r="HV16" s="1868"/>
      <x:c r="HW16" s="1868"/>
      <x:c r="HX16" s="1918"/>
      <x:c r="ID16" s="781"/>
      <x:c r="IE16" s="1241" t="s">
        <x:v>1403</x:v>
      </x:c>
      <x:c r="IF16" s="1242" t="s">
        <x:v>35</x:v>
      </x:c>
      <x:c r="IG16" s="1243">
        <x:v>6</x:v>
      </x:c>
      <x:c r="IH16" s="1244">
        <x:v>0.375</x:v>
      </x:c>
      <x:c r="II16" s="1242">
        <x:v>7</x:v>
      </x:c>
      <x:c r="IJ16" s="1243">
        <x:v>6</x:v>
      </x:c>
      <x:c r="IK16" s="1244">
        <x:v>2.75</x:v>
      </x:c>
      <x:c r="IL16" s="1242">
        <x:v>6</x:v>
      </x:c>
      <x:c r="IM16" s="1242">
        <x:v>0.375</x:v>
      </x:c>
      <x:c r="IN16" s="1242" t="s">
        <x:v>116</x:v>
      </x:c>
      <x:c r="IO16" s="1242" t="s">
        <x:v>35</x:v>
      </x:c>
      <x:c r="IP16" s="1242">
        <x:v>5</x:v>
      </x:c>
      <x:c r="IQ16" s="1242">
        <x:v>13</x:v>
      </x:c>
      <x:c r="IR16" s="1242">
        <x:v>4</x:v>
      </x:c>
      <x:c r="IS16" s="1243">
        <x:v>1.75</x:v>
      </x:c>
      <x:c r="IT16" s="1244">
        <x:v>1.75</x:v>
      </x:c>
      <x:c r="IU16" s="1242" t="s">
        <x:v>116</x:v>
      </x:c>
      <x:c r="IV16" s="1242" t="s">
        <x:v>116</x:v>
      </x:c>
      <x:c r="IW16" s="1243" t="s">
        <x:v>116</x:v>
      </x:c>
      <x:c r="IX16" s="1244" t="s">
        <x:v>116</x:v>
      </x:c>
      <x:c r="IY16" s="1242" t="s">
        <x:v>116</x:v>
      </x:c>
      <x:c r="IZ16" s="1242" t="s">
        <x:v>116</x:v>
      </x:c>
      <x:c r="JA16" s="1243" t="s">
        <x:v>116</x:v>
      </x:c>
      <x:c r="JB16" s="1244" t="s">
        <x:v>116</x:v>
      </x:c>
      <x:c r="JC16" s="1242" t="s">
        <x:v>116</x:v>
      </x:c>
      <x:c r="JD16" s="1242" t="s">
        <x:v>116</x:v>
      </x:c>
      <x:c r="JE16" s="1243" t="s">
        <x:v>116</x:v>
      </x:c>
      <x:c r="JF16" s="1244" t="s">
        <x:v>116</x:v>
      </x:c>
      <x:c r="JG16" s="1242" t="s">
        <x:v>116</x:v>
      </x:c>
      <x:c r="JH16" s="1242" t="s">
        <x:v>116</x:v>
      </x:c>
      <x:c r="JI16" s="1242" t="s">
        <x:v>116</x:v>
      </x:c>
      <x:c r="JJ16" s="1245" t="s">
        <x:v>116</x:v>
      </x:c>
      <x:c r="JK16" s="1242">
        <x:v>1</x:v>
      </x:c>
      <x:c r="JL16" s="1171">
        <x:f t="shared" ref="JL16:JL45" ca="1" si="35">IF(ISBLANK(JK16),IF(JL15=0,0,IF(VALUE(OFFSET(JK16,JL15*-1,0))&lt;JL15+1,0,JL15+1)),1)</x:f>
        <x:v>1</x:v>
      </x:c>
    </x:row>
    <x:row r="17" spans="1:274" ht="12.6" customHeight="1" thickBot="1" x14ac:dyDescent="0.25">
      <x:c r="A17" s="1093"/>
      <x:c r="B17" s="1093"/>
      <x:c r="C17" s="1093"/>
      <x:c r="D17" s="1093"/>
      <x:c r="E17" s="1093"/>
      <x:c r="F17" s="1093"/>
      <x:c r="G17" s="1093"/>
      <x:c r="H17" s="1093"/>
      <x:c r="I17" s="1093"/>
      <x:c r="J17" s="1093"/>
      <x:c r="K17" s="1093"/>
      <x:c r="L17" s="1093"/>
      <x:c r="M17" s="1093"/>
      <x:c r="N17" s="1093"/>
      <x:c r="O17" s="1093"/>
      <x:c r="P17" s="1093"/>
      <x:c r="Q17" s="1093"/>
      <x:c r="R17" s="1093"/>
      <x:c r="S17" s="1093"/>
      <x:c r="T17" s="1093"/>
      <x:c r="U17" s="1093"/>
      <x:c r="V17" s="1093"/>
      <x:c r="W17" s="1093"/>
      <x:c r="X17" s="1093"/>
      <x:c r="Y17" s="1093"/>
      <x:c r="Z17" s="1093"/>
      <x:c r="AA17" s="1093"/>
      <x:c r="AB17" s="2764" t="s">
        <x:v>1404</x:v>
      </x:c>
      <x:c r="AC17" s="2772" t="s">
        <x:v>35</x:v>
      </x:c>
      <x:c r="AD17" s="2767">
        <x:v>6</x:v>
      </x:c>
      <x:c r="AE17" s="2771">
        <x:v>0.375</x:v>
      </x:c>
      <x:c r="AF17" s="2772">
        <x:v>7</x:v>
      </x:c>
      <x:c r="AG17" s="2767">
        <x:v>6</x:v>
      </x:c>
      <x:c r="AH17" s="2771">
        <x:v>2.75</x:v>
      </x:c>
      <x:c r="AI17" s="2767">
        <x:v>6</x:v>
      </x:c>
      <x:c r="AJ17" s="2771">
        <x:v>1.5</x:v>
      </x:c>
      <x:c r="AK17" s="2813" t="str">
        <x:f t="shared" si="12"/>
        <x:v/>
      </x:c>
      <x:c r="AL17" s="2814" t="s">
        <x:v>35</x:v>
      </x:c>
      <x:c r="AM17" s="2815">
        <x:v>5</x:v>
      </x:c>
      <x:c r="AN17" s="2772">
        <x:v>13</x:v>
      </x:c>
      <x:c r="AO17" s="2816">
        <x:v>4</x:v>
      </x:c>
      <x:c r="AP17" s="2774">
        <x:v>1.75</x:v>
      </x:c>
      <x:c r="AQ17" s="2817" t="str">
        <x:f t="shared" si="3"/>
        <x:v/>
      </x:c>
      <x:c r="AR17" s="2770" t="str">
        <x:f t="shared" si="13"/>
        <x:v/>
      </x:c>
      <x:c r="AS17" s="2771" t="str">
        <x:f t="shared" si="14"/>
        <x:v/>
      </x:c>
      <x:c r="AT17" s="2818" t="str">
        <x:f t="shared" si="15"/>
        <x:v/>
      </x:c>
      <x:c r="AU17" s="2819" t="str">
        <x:f t="shared" si="4"/>
        <x:v/>
      </x:c>
      <x:c r="AV17" s="2776" t="str">
        <x:f t="shared" si="16"/>
        <x:v/>
      </x:c>
      <x:c r="AW17" s="2771" t="str">
        <x:f t="shared" si="17"/>
        <x:v/>
      </x:c>
      <x:c r="AX17" s="2818" t="str">
        <x:f t="shared" si="18"/>
        <x:v/>
      </x:c>
      <x:c r="AY17" s="2819" t="str">
        <x:f t="shared" si="5"/>
        <x:v/>
      </x:c>
      <x:c r="AZ17" s="2776" t="str">
        <x:f t="shared" si="19"/>
        <x:v/>
      </x:c>
      <x:c r="BA17" s="2771" t="str">
        <x:f t="shared" si="20"/>
        <x:v/>
      </x:c>
      <x:c r="BB17" s="2818" t="str">
        <x:f t="shared" si="21"/>
        <x:v/>
      </x:c>
      <x:c r="BC17" s="2819" t="str">
        <x:f t="shared" si="6"/>
        <x:v/>
      </x:c>
      <x:c r="BD17" s="2776" t="str">
        <x:f t="shared" si="22"/>
        <x:v/>
      </x:c>
      <x:c r="BE17" s="2771" t="str">
        <x:f t="shared" si="23"/>
        <x:v/>
      </x:c>
      <x:c r="BF17" s="2818" t="str">
        <x:f t="shared" si="24"/>
        <x:v/>
      </x:c>
      <x:c r="BG17" s="2819" t="str">
        <x:f t="shared" si="7"/>
        <x:v/>
      </x:c>
      <x:c r="BH17" s="261"/>
      <x:c r="BJ17" s="143"/>
      <x:c r="BL17" s="1798"/>
      <x:c r="BW17" s="991">
        <x:f t="shared" si="25"/>
        <x:v>14</x:v>
      </x:c>
      <x:c r="BX17" s="991" t="str">
        <x:f t="shared" si="32"/>
        <x:v>G4</x:v>
      </x:c>
      <x:c r="BY17" s="991" t="b">
        <x:f t="shared" si="26"/>
        <x:v>0</x:v>
      </x:c>
      <x:c r="BZ17" s="1303" t="b">
        <x:f t="shared" si="33"/>
        <x:v>0</x:v>
      </x:c>
      <x:c r="CB17" s="198"/>
      <x:c r="CC17" s="198"/>
      <x:c r="CD17" s="198"/>
      <x:c r="CE17" s="198"/>
      <x:c r="CF17" s="198"/>
      <x:c r="CG17" s="141"/>
      <x:c r="CH17" s="141"/>
      <x:c r="CI17" s="141"/>
      <x:c r="CJ17" s="141"/>
      <x:c r="CK17" s="141"/>
      <x:c r="CL17" s="141"/>
      <x:c r="CM17" s="141"/>
      <x:c r="CN17" s="141"/>
      <x:c r="CO17" s="141"/>
      <x:c r="CP17" s="141"/>
      <x:c r="CQ17" s="141"/>
      <x:c r="CR17" s="141"/>
      <x:c r="CS17" s="141"/>
      <x:c r="CT17" s="141"/>
      <x:c r="CU17" s="198"/>
      <x:c r="CV17" s="198"/>
      <x:c r="CW17" s="198"/>
      <x:c r="CX17" s="141"/>
      <x:c r="CY17" s="198"/>
      <x:c r="CZ17" s="141"/>
      <x:c r="DA17" s="141"/>
      <x:c r="DB17" s="141"/>
      <x:c r="DC17" s="141"/>
      <x:c r="DD17" s="141"/>
      <x:c r="DE17" s="141"/>
      <x:c r="DF17" s="141"/>
      <x:c r="DG17" s="141"/>
      <x:c r="DH17" s="1282"/>
      <x:c r="DI17" s="673"/>
      <x:c r="DJ17" s="692"/>
      <x:c r="DK17" s="1331"/>
      <x:c r="DL17" s="674"/>
      <x:c r="DM17" s="693"/>
      <x:c r="DN17" s="1334"/>
      <x:c r="DO17" s="675"/>
      <x:c r="DP17" s="676"/>
      <x:c r="DQ17" s="1419"/>
      <x:c r="DR17" s="677"/>
      <x:c r="DS17" s="1611"/>
      <x:c r="DT17" s="1606"/>
      <x:c r="DU17" s="1607"/>
      <x:c r="DV17" s="678"/>
      <x:c r="DW17" s="1336"/>
      <x:c r="DX17" s="679"/>
      <x:c r="DY17" s="674"/>
      <x:c r="DZ17" s="678"/>
      <x:c r="EA17" s="1336"/>
      <x:c r="EB17" s="679"/>
      <x:c r="EC17" s="674"/>
      <x:c r="ED17" s="678"/>
      <x:c r="EE17" s="1336"/>
      <x:c r="EF17" s="679"/>
      <x:c r="EG17" s="674"/>
      <x:c r="EH17" s="678"/>
      <x:c r="EI17" s="1336"/>
      <x:c r="EJ17" s="679"/>
      <x:c r="EK17" s="680"/>
      <x:c r="EL17" s="929"/>
      <x:c r="EM17" s="1004"/>
      <x:c r="EN17" s="930"/>
      <x:c r="EO17" s="931"/>
      <x:c r="EP17" s="141"/>
      <x:c r="EQ17" s="141"/>
      <x:c r="ER17" s="141"/>
      <x:c r="ES17" s="141"/>
      <x:c r="ET17" s="141"/>
      <x:c r="EU17" s="141"/>
      <x:c r="EX17" s="503" t="str">
        <x:f t="shared" si="27"/>
        <x:v>G4B</x:v>
      </x:c>
      <x:c r="EY17" s="940" t="b">
        <x:f t="shared" ca="1" si="8"/>
        <x:v>1</x:v>
      </x:c>
      <x:c r="EZ17" s="940">
        <x:f t="shared" si="28"/>
        <x:v>5</x:v>
      </x:c>
      <x:c r="FA17" s="958" t="b">
        <x:f t="shared" si="34"/>
        <x:v>1</x:v>
      </x:c>
      <x:c r="FB17" s="134">
        <x:f t="shared" si="29"/>
        <x:v>669.125</x:v>
      </x:c>
      <x:c r="FC17" s="134">
        <x:f t="shared" si="9"/>
        <x:v>72.375</x:v>
      </x:c>
      <x:c r="FD17" s="134">
        <x:f t="shared" si="10"/>
        <x:v>523.25</x:v>
      </x:c>
      <x:c r="FE17" s="134">
        <x:f t="shared" si="11"/>
        <x:v>73.5</x:v>
      </x:c>
      <x:c r="FF17" s="134">
        <x:f t="shared" si="30"/>
        <x:v>669.125</x:v>
      </x:c>
      <x:c r="FN17" s="754" t="b">
        <x:v>0</x:v>
      </x:c>
      <x:c r="FO17" s="754"/>
      <x:c r="FP17" s="754" t="b">
        <x:v>0</x:v>
      </x:c>
      <x:c r="FQ17" s="754" t="b">
        <x:f t="shared" si="31"/>
        <x:v>1</x:v>
      </x:c>
      <x:c r="FX17" s="197"/>
      <x:c r="FZ17" s="2"/>
      <x:c r="GA17" s="141"/>
      <x:c r="GB17" s="141"/>
      <x:c r="GC17" s="141"/>
      <x:c r="GD17" s="141"/>
      <x:c r="GE17" s="141"/>
      <x:c r="GF17" s="141"/>
      <x:c r="GG17" s="141"/>
      <x:c r="GH17" s="141"/>
      <x:c r="GI17" s="141"/>
      <x:c r="GJ17" s="141"/>
      <x:c r="GK17" s="2"/>
      <x:c r="HA17" s="2172"/>
      <x:c r="HB17" s="2173"/>
      <x:c r="HC17" s="2173"/>
      <x:c r="HD17" s="2173"/>
      <x:c r="HE17" s="2173"/>
      <x:c r="HF17" s="2173"/>
      <x:c r="HG17" s="2173"/>
      <x:c r="HH17" s="2173"/>
      <x:c r="HI17" s="2173"/>
      <x:c r="HJ17" s="2173"/>
      <x:c r="HK17" s="2173"/>
      <x:c r="HL17" s="2173"/>
      <x:c r="HM17" s="2173"/>
      <x:c r="HN17" s="2173"/>
      <x:c r="HO17" s="2173"/>
      <x:c r="HP17" s="2173"/>
      <x:c r="HQ17" s="2173"/>
      <x:c r="HR17" s="2173"/>
      <x:c r="HS17" s="2173"/>
      <x:c r="HT17" s="2173"/>
      <x:c r="HU17" s="2173"/>
      <x:c r="HV17" s="2173"/>
      <x:c r="HW17" s="2173"/>
      <x:c r="HX17" s="2174"/>
      <x:c r="ID17" s="781"/>
      <x:c r="IE17" s="1241" t="s">
        <x:v>1404</x:v>
      </x:c>
      <x:c r="IF17" s="1242" t="s">
        <x:v>35</x:v>
      </x:c>
      <x:c r="IG17" s="1243">
        <x:v>6</x:v>
      </x:c>
      <x:c r="IH17" s="1244">
        <x:v>0.375</x:v>
      </x:c>
      <x:c r="II17" s="1242">
        <x:v>7</x:v>
      </x:c>
      <x:c r="IJ17" s="1243">
        <x:v>6</x:v>
      </x:c>
      <x:c r="IK17" s="1244">
        <x:v>2.75</x:v>
      </x:c>
      <x:c r="IL17" s="1242">
        <x:v>6</x:v>
      </x:c>
      <x:c r="IM17" s="1242">
        <x:v>1.5</x:v>
      </x:c>
      <x:c r="IN17" s="1242" t="s">
        <x:v>116</x:v>
      </x:c>
      <x:c r="IO17" s="1242" t="s">
        <x:v>35</x:v>
      </x:c>
      <x:c r="IP17" s="1242">
        <x:v>5</x:v>
      </x:c>
      <x:c r="IQ17" s="1242">
        <x:v>13</x:v>
      </x:c>
      <x:c r="IR17" s="1242">
        <x:v>4</x:v>
      </x:c>
      <x:c r="IS17" s="1243">
        <x:v>1.75</x:v>
      </x:c>
      <x:c r="IT17" s="1244" t="s">
        <x:v>116</x:v>
      </x:c>
      <x:c r="IU17" s="1242" t="s">
        <x:v>116</x:v>
      </x:c>
      <x:c r="IV17" s="1242" t="s">
        <x:v>116</x:v>
      </x:c>
      <x:c r="IW17" s="1243" t="s">
        <x:v>116</x:v>
      </x:c>
      <x:c r="IX17" s="1244" t="s">
        <x:v>116</x:v>
      </x:c>
      <x:c r="IY17" s="1242" t="s">
        <x:v>116</x:v>
      </x:c>
      <x:c r="IZ17" s="1242" t="s">
        <x:v>116</x:v>
      </x:c>
      <x:c r="JA17" s="1243" t="s">
        <x:v>116</x:v>
      </x:c>
      <x:c r="JB17" s="1244" t="s">
        <x:v>116</x:v>
      </x:c>
      <x:c r="JC17" s="1242" t="s">
        <x:v>116</x:v>
      </x:c>
      <x:c r="JD17" s="1242" t="s">
        <x:v>116</x:v>
      </x:c>
      <x:c r="JE17" s="1243" t="s">
        <x:v>116</x:v>
      </x:c>
      <x:c r="JF17" s="1244" t="s">
        <x:v>116</x:v>
      </x:c>
      <x:c r="JG17" s="1242" t="s">
        <x:v>116</x:v>
      </x:c>
      <x:c r="JH17" s="1242" t="s">
        <x:v>116</x:v>
      </x:c>
      <x:c r="JI17" s="1242" t="s">
        <x:v>116</x:v>
      </x:c>
      <x:c r="JJ17" s="1245" t="s">
        <x:v>116</x:v>
      </x:c>
      <x:c r="JK17" s="1242">
        <x:v>1</x:v>
      </x:c>
      <x:c r="JL17" s="1171">
        <x:f t="shared" ca="1" si="35"/>
        <x:v>1</x:v>
      </x:c>
      <x:c r="JN17" s="132"/>
    </x:row>
    <x:row r="18" spans="1:274" ht="12.6" customHeight="1" thickTop="1" x14ac:dyDescent="0.2">
      <x:c r="A18" s="1093"/>
      <x:c r="B18" s="1093"/>
      <x:c r="C18" s="1093"/>
      <x:c r="D18" s="1093"/>
      <x:c r="E18" s="1093"/>
      <x:c r="F18" s="1093"/>
      <x:c r="G18" s="1093"/>
      <x:c r="H18" s="1093"/>
      <x:c r="I18" s="1093"/>
      <x:c r="J18" s="1093"/>
      <x:c r="K18" s="1093"/>
      <x:c r="L18" s="1093"/>
      <x:c r="M18" s="1093"/>
      <x:c r="N18" s="1093"/>
      <x:c r="O18" s="1093"/>
      <x:c r="P18" s="1093"/>
      <x:c r="Q18" s="1093"/>
      <x:c r="R18" s="1093"/>
      <x:c r="S18" s="1093"/>
      <x:c r="T18" s="1093"/>
      <x:c r="U18" s="1093"/>
      <x:c r="V18" s="1093"/>
      <x:c r="W18" s="1093"/>
      <x:c r="X18" s="1093"/>
      <x:c r="Y18" s="1093"/>
      <x:c r="Z18" s="1093"/>
      <x:c r="AA18" s="1093"/>
      <x:c r="AB18" s="2764" t="s">
        <x:v>1405</x:v>
      </x:c>
      <x:c r="AC18" s="2772" t="s">
        <x:v>35</x:v>
      </x:c>
      <x:c r="AD18" s="2767">
        <x:v>6</x:v>
      </x:c>
      <x:c r="AE18" s="2771">
        <x:v>0.375</x:v>
      </x:c>
      <x:c r="AF18" s="2772">
        <x:v>7</x:v>
      </x:c>
      <x:c r="AG18" s="2767">
        <x:v>6</x:v>
      </x:c>
      <x:c r="AH18" s="2771">
        <x:v>2.75</x:v>
      </x:c>
      <x:c r="AI18" s="2767">
        <x:v>5</x:v>
      </x:c>
      <x:c r="AJ18" s="2771">
        <x:v>6.375</x:v>
      </x:c>
      <x:c r="AK18" s="2813" t="str">
        <x:f t="shared" si="12"/>
        <x:v/>
      </x:c>
      <x:c r="AL18" s="2814" t="s">
        <x:v>35</x:v>
      </x:c>
      <x:c r="AM18" s="2815">
        <x:v>5</x:v>
      </x:c>
      <x:c r="AN18" s="2772">
        <x:v>13</x:v>
      </x:c>
      <x:c r="AO18" s="2816">
        <x:v>4</x:v>
      </x:c>
      <x:c r="AP18" s="2774">
        <x:v>1.75</x:v>
      </x:c>
      <x:c r="AQ18" s="2817" t="str">
        <x:f t="shared" si="3"/>
        <x:v/>
      </x:c>
      <x:c r="AR18" s="2770">
        <x:v>54</x:v>
      </x:c>
      <x:c r="AS18" s="2771">
        <x:v>8</x:v>
      </x:c>
      <x:c r="AT18" s="2818">
        <x:v>16.3</x:v>
      </x:c>
      <x:c r="AU18" s="2819" t="s">
        <x:v>35</x:v>
      </x:c>
      <x:c r="AV18" s="2776" t="str">
        <x:f t="shared" si="16"/>
        <x:v/>
      </x:c>
      <x:c r="AW18" s="2771" t="str">
        <x:f t="shared" si="17"/>
        <x:v/>
      </x:c>
      <x:c r="AX18" s="2818" t="str">
        <x:f t="shared" si="18"/>
        <x:v/>
      </x:c>
      <x:c r="AY18" s="2819" t="str">
        <x:f t="shared" si="5"/>
        <x:v/>
      </x:c>
      <x:c r="AZ18" s="2776" t="str">
        <x:f t="shared" si="19"/>
        <x:v/>
      </x:c>
      <x:c r="BA18" s="2771" t="str">
        <x:f t="shared" si="20"/>
        <x:v/>
      </x:c>
      <x:c r="BB18" s="2818" t="str">
        <x:f t="shared" si="21"/>
        <x:v/>
      </x:c>
      <x:c r="BC18" s="2819" t="str">
        <x:f t="shared" si="6"/>
        <x:v/>
      </x:c>
      <x:c r="BD18" s="2776" t="str">
        <x:f t="shared" si="22"/>
        <x:v/>
      </x:c>
      <x:c r="BE18" s="2771" t="str">
        <x:f t="shared" si="23"/>
        <x:v/>
      </x:c>
      <x:c r="BF18" s="2818" t="str">
        <x:f t="shared" si="24"/>
        <x:v/>
      </x:c>
      <x:c r="BG18" s="2819" t="str">
        <x:f t="shared" si="7"/>
        <x:v/>
      </x:c>
      <x:c r="BH18" s="261"/>
      <x:c r="BJ18" s="143"/>
      <x:c r="BL18" s="1798"/>
      <x:c r="BW18" s="991">
        <x:f>IF(AB18="",0,1)+IF(AC18="",0,1)+IF(AD18="",0,1)+IF(AE18="",0,1)+IF(AF18="",0,1)+IF(AG18="",0,1)+IF(AH18="",0,1)+IF(AI18="",0,1)+IF(AJ18="",0,1)+IF(AK18="",0,1)+IF(AL18="",0,1)+IF(AM18="",0,1)+IF(AN18="",0,1)+IF(AO18="",0,1)+IF(AP18="",0,1)+IF(AQ18="",0,1)+IF(AR18="",0,1)+IF(AS18="",0,1)+IF(AT18="",0,1)+IF(AU18="",0,1)+IF(AV18="",0,1)+IF(AW18="",0,1)+IF(AX18="",0,1)+IF(AY18="",0,1)+IF(AZ18="",0,1)+IF(BA18="",0,1)+IF(BB18="",0,1)+IF(BC18="",0,1)+IF(BD18="",0,1)+IF(BE18="",0,1)+IF(BF18="",0,1)+IF(BG18="",0,1)</x:f>
        <x:v>18</x:v>
      </x:c>
      <x:c r="BX18" s="991" t="str">
        <x:f t="shared" si="32"/>
        <x:v>G5</x:v>
      </x:c>
      <x:c r="BY18" s="991" t="b">
        <x:f t="shared" si="26"/>
        <x:v>0</x:v>
      </x:c>
      <x:c r="BZ18" s="1303" t="b">
        <x:f t="shared" si="33"/>
        <x:v>0</x:v>
      </x:c>
      <x:c r="CB18" s="198"/>
      <x:c r="CC18" s="198"/>
      <x:c r="CD18" s="198"/>
      <x:c r="CE18" s="198"/>
      <x:c r="CF18" s="198"/>
      <x:c r="CG18" s="141"/>
      <x:c r="CH18" s="141"/>
      <x:c r="CI18" s="141"/>
      <x:c r="CJ18" s="141"/>
      <x:c r="CK18" s="141"/>
      <x:c r="CL18" s="141"/>
      <x:c r="CM18" s="141"/>
      <x:c r="CN18" s="141"/>
      <x:c r="CO18" s="141"/>
      <x:c r="CP18" s="141"/>
      <x:c r="CQ18" s="141"/>
      <x:c r="CR18" s="141"/>
      <x:c r="CS18" s="141"/>
      <x:c r="CT18" s="141"/>
      <x:c r="CU18" s="198"/>
      <x:c r="CV18" s="198"/>
      <x:c r="CW18" s="198"/>
      <x:c r="CX18" s="141"/>
      <x:c r="CY18" s="198"/>
      <x:c r="CZ18" s="141"/>
      <x:c r="DA18" s="141"/>
      <x:c r="DB18" s="141"/>
      <x:c r="DC18" s="141"/>
      <x:c r="DD18" s="141"/>
      <x:c r="DE18" s="141"/>
      <x:c r="DF18" s="141"/>
      <x:c r="DG18" s="141"/>
      <x:c r="DH18" s="672"/>
      <x:c r="DI18" s="673"/>
      <x:c r="DJ18" s="692"/>
      <x:c r="DK18" s="1331"/>
      <x:c r="DL18" s="674"/>
      <x:c r="DM18" s="693"/>
      <x:c r="DN18" s="1334"/>
      <x:c r="DO18" s="675"/>
      <x:c r="DP18" s="676"/>
      <x:c r="DQ18" s="1419"/>
      <x:c r="DR18" s="677"/>
      <x:c r="DS18" s="1611"/>
      <x:c r="DT18" s="1606"/>
      <x:c r="DU18" s="1607"/>
      <x:c r="DV18" s="678"/>
      <x:c r="DW18" s="1336"/>
      <x:c r="DX18" s="679"/>
      <x:c r="DY18" s="674"/>
      <x:c r="DZ18" s="678"/>
      <x:c r="EA18" s="1336"/>
      <x:c r="EB18" s="679"/>
      <x:c r="EC18" s="674"/>
      <x:c r="ED18" s="678"/>
      <x:c r="EE18" s="1336"/>
      <x:c r="EF18" s="679"/>
      <x:c r="EG18" s="674"/>
      <x:c r="EH18" s="678"/>
      <x:c r="EI18" s="1336"/>
      <x:c r="EJ18" s="679"/>
      <x:c r="EK18" s="680"/>
      <x:c r="EL18" s="929"/>
      <x:c r="EM18" s="1004"/>
      <x:c r="EN18" s="930"/>
      <x:c r="EO18" s="931"/>
      <x:c r="EP18" s="141"/>
      <x:c r="EQ18" s="141"/>
      <x:c r="ER18" s="141"/>
      <x:c r="ES18" s="141"/>
      <x:c r="ET18" s="141"/>
      <x:c r="EU18" s="141"/>
      <x:c r="EX18" s="503" t="str">
        <x:f t="shared" si="27"/>
        <x:v>G5B</x:v>
      </x:c>
      <x:c r="EY18" s="940" t="b">
        <x:f t="shared" ca="1" si="8"/>
        <x:v>1</x:v>
      </x:c>
      <x:c r="EZ18" s="940">
        <x:f t="shared" si="28"/>
        <x:v>5</x:v>
      </x:c>
      <x:c r="FA18" s="958" t="b">
        <x:f t="shared" si="34"/>
        <x:v>1</x:v>
      </x:c>
      <x:c r="FB18" s="134">
        <x:f t="shared" si="29"/>
        <x:v>662</x:v>
      </x:c>
      <x:c r="FC18" s="134">
        <x:f t="shared" si="9"/>
        <x:v>72.375</x:v>
      </x:c>
      <x:c r="FD18" s="134">
        <x:f t="shared" si="10"/>
        <x:v>523.25</x:v>
      </x:c>
      <x:c r="FE18" s="134">
        <x:f t="shared" si="11"/>
        <x:v>66.375</x:v>
      </x:c>
      <x:c r="FF18" s="134">
        <x:f t="shared" si="30"/>
        <x:v>662</x:v>
      </x:c>
      <x:c r="FN18" s="754" t="b">
        <x:v>0</x:v>
      </x:c>
      <x:c r="FO18" s="754"/>
      <x:c r="FP18" s="754" t="b">
        <x:v>0</x:v>
      </x:c>
      <x:c r="FQ18" s="754" t="b">
        <x:f t="shared" si="31"/>
        <x:v>1</x:v>
      </x:c>
      <x:c r="FX18" s="197"/>
      <x:c r="FZ18" s="2"/>
      <x:c r="GA18" s="141"/>
      <x:c r="GB18" s="141"/>
      <x:c r="GC18" s="141"/>
      <x:c r="GD18" s="141"/>
      <x:c r="GE18" s="141"/>
      <x:c r="GF18" s="141"/>
      <x:c r="GG18" s="141"/>
      <x:c r="GH18" s="141"/>
      <x:c r="GI18" s="141"/>
      <x:c r="GJ18" s="141"/>
      <x:c r="GK18" s="2"/>
      <x:c r="HA18" s="130"/>
      <x:c r="HB18" s="130"/>
      <x:c r="HC18" s="130"/>
      <x:c r="HD18" s="130"/>
      <x:c r="HE18" s="130"/>
      <x:c r="HF18" s="130"/>
      <x:c r="HG18" s="130"/>
      <x:c r="HH18" s="130"/>
      <x:c r="HI18" s="130"/>
      <x:c r="HM18" s="131"/>
      <x:c r="HN18" s="132"/>
      <x:c r="ID18" s="781"/>
      <x:c r="IE18" s="1241" t="s">
        <x:v>1405</x:v>
      </x:c>
      <x:c r="IF18" s="1242" t="s">
        <x:v>35</x:v>
      </x:c>
      <x:c r="IG18" s="1243">
        <x:v>6</x:v>
      </x:c>
      <x:c r="IH18" s="1244">
        <x:v>0.375</x:v>
      </x:c>
      <x:c r="II18" s="1242">
        <x:v>7</x:v>
      </x:c>
      <x:c r="IJ18" s="1243">
        <x:v>6</x:v>
      </x:c>
      <x:c r="IK18" s="1244">
        <x:v>2.75</x:v>
      </x:c>
      <x:c r="IL18" s="1242">
        <x:v>5</x:v>
      </x:c>
      <x:c r="IM18" s="1242">
        <x:v>6.375</x:v>
      </x:c>
      <x:c r="IN18" s="1242" t="s">
        <x:v>116</x:v>
      </x:c>
      <x:c r="IO18" s="1242" t="s">
        <x:v>35</x:v>
      </x:c>
      <x:c r="IP18" s="1242">
        <x:v>5</x:v>
      </x:c>
      <x:c r="IQ18" s="1242">
        <x:v>13</x:v>
      </x:c>
      <x:c r="IR18" s="1242">
        <x:v>4</x:v>
      </x:c>
      <x:c r="IS18" s="1243">
        <x:v>1.75</x:v>
      </x:c>
      <x:c r="IT18" s="1244" t="s">
        <x:v>116</x:v>
      </x:c>
      <x:c r="IU18" s="1242">
        <x:v>54</x:v>
      </x:c>
      <x:c r="IV18" s="1242">
        <x:v>8</x:v>
      </x:c>
      <x:c r="IW18" s="1243">
        <x:v>16.3</x:v>
      </x:c>
      <x:c r="IX18" s="1244" t="s">
        <x:v>35</x:v>
      </x:c>
      <x:c r="IY18" s="1242" t="s">
        <x:v>116</x:v>
      </x:c>
      <x:c r="IZ18" s="1242" t="s">
        <x:v>116</x:v>
      </x:c>
      <x:c r="JA18" s="1243" t="s">
        <x:v>116</x:v>
      </x:c>
      <x:c r="JB18" s="1244" t="s">
        <x:v>116</x:v>
      </x:c>
      <x:c r="JC18" s="1242" t="s">
        <x:v>116</x:v>
      </x:c>
      <x:c r="JD18" s="1242" t="s">
        <x:v>116</x:v>
      </x:c>
      <x:c r="JE18" s="1243" t="s">
        <x:v>116</x:v>
      </x:c>
      <x:c r="JF18" s="1244" t="s">
        <x:v>116</x:v>
      </x:c>
      <x:c r="JG18" s="1242" t="s">
        <x:v>116</x:v>
      </x:c>
      <x:c r="JH18" s="1242" t="s">
        <x:v>116</x:v>
      </x:c>
      <x:c r="JI18" s="1242" t="s">
        <x:v>116</x:v>
      </x:c>
      <x:c r="JJ18" s="1245" t="s">
        <x:v>116</x:v>
      </x:c>
      <x:c r="JK18" s="1242">
        <x:v>1</x:v>
      </x:c>
      <x:c r="JL18" s="1171">
        <x:f t="shared" ca="1" si="35"/>
        <x:v>1</x:v>
      </x:c>
      <x:c r="JN18" s="132"/>
    </x:row>
    <x:row r="19" spans="1:274" ht="12.6" customHeight="1" x14ac:dyDescent="0.2">
      <x:c r="A19" s="1093"/>
      <x:c r="B19" s="1093"/>
      <x:c r="C19" s="1093"/>
      <x:c r="D19" s="1093"/>
      <x:c r="E19" s="1093"/>
      <x:c r="F19" s="1093"/>
      <x:c r="G19" s="1093"/>
      <x:c r="H19" s="1093"/>
      <x:c r="I19" s="1093"/>
      <x:c r="J19" s="1093"/>
      <x:c r="K19" s="1093"/>
      <x:c r="L19" s="1093"/>
      <x:c r="M19" s="1093"/>
      <x:c r="N19" s="1093"/>
      <x:c r="O19" s="1093"/>
      <x:c r="P19" s="1093"/>
      <x:c r="Q19" s="1093"/>
      <x:c r="R19" s="1093"/>
      <x:c r="S19" s="1093"/>
      <x:c r="T19" s="1093"/>
      <x:c r="U19" s="1093"/>
      <x:c r="V19" s="1093"/>
      <x:c r="W19" s="1093"/>
      <x:c r="X19" s="1093"/>
      <x:c r="Y19" s="1093"/>
      <x:c r="Z19" s="1093"/>
      <x:c r="AA19" s="1093"/>
      <x:c r="AB19" s="2764" t="s">
        <x:v>1406</x:v>
      </x:c>
      <x:c r="AC19" s="2772" t="s">
        <x:v>35</x:v>
      </x:c>
      <x:c r="AD19" s="2767">
        <x:v>6</x:v>
      </x:c>
      <x:c r="AE19" s="2771">
        <x:v>0.375</x:v>
      </x:c>
      <x:c r="AF19" s="2772">
        <x:v>7</x:v>
      </x:c>
      <x:c r="AG19" s="2767">
        <x:v>6</x:v>
      </x:c>
      <x:c r="AH19" s="2771">
        <x:v>2.75</x:v>
      </x:c>
      <x:c r="AI19" s="2767">
        <x:v>6</x:v>
      </x:c>
      <x:c r="AJ19" s="2771">
        <x:v>0.375</x:v>
      </x:c>
      <x:c r="AK19" s="2813" t="str">
        <x:f t="shared" si="12"/>
        <x:v/>
      </x:c>
      <x:c r="AL19" s="2814" t="s">
        <x:v>35</x:v>
      </x:c>
      <x:c r="AM19" s="2815">
        <x:v>5</x:v>
      </x:c>
      <x:c r="AN19" s="2772">
        <x:v>13</x:v>
      </x:c>
      <x:c r="AO19" s="2816">
        <x:v>4</x:v>
      </x:c>
      <x:c r="AP19" s="2774">
        <x:v>1.75</x:v>
      </x:c>
      <x:c r="AQ19" s="2817">
        <x:v>1.75</x:v>
      </x:c>
      <x:c r="AR19" s="2770" t="s">
        <x:v>1018</x:v>
      </x:c>
      <x:c r="AS19" s="2771" t="s">
        <x:v>1578</x:v>
      </x:c>
      <x:c r="AT19" s="2818">
        <x:v>1.1000000000000001</x:v>
      </x:c>
      <x:c r="AU19" s="2819" t="str">
        <x:f t="shared" si="4"/>
        <x:v/>
      </x:c>
      <x:c r="AV19" s="2776" t="s">
        <x:v>1018</x:v>
      </x:c>
      <x:c r="AW19" s="2771" t="s">
        <x:v>1579</x:v>
      </x:c>
      <x:c r="AX19" s="2818">
        <x:v>1</x:v>
      </x:c>
      <x:c r="AY19" s="2819" t="str">
        <x:f t="shared" si="5"/>
        <x:v/>
      </x:c>
      <x:c r="AZ19" s="2776" t="s">
        <x:v>1018</x:v>
      </x:c>
      <x:c r="BA19" s="2771" t="s">
        <x:v>1580</x:v>
      </x:c>
      <x:c r="BB19" s="2818">
        <x:v>0.5</x:v>
      </x:c>
      <x:c r="BC19" s="2819" t="str">
        <x:f t="shared" si="6"/>
        <x:v/>
      </x:c>
      <x:c r="BD19" s="2776" t="s">
        <x:v>1018</x:v>
      </x:c>
      <x:c r="BE19" s="2771" t="s">
        <x:v>1581</x:v>
      </x:c>
      <x:c r="BF19" s="2818">
        <x:v>0.9</x:v>
      </x:c>
      <x:c r="BG19" s="2819" t="str">
        <x:f t="shared" si="7"/>
        <x:v/>
      </x:c>
      <x:c r="BH19" s="261"/>
      <x:c r="BJ19" s="143"/>
      <x:c r="BL19" s="1798"/>
      <x:c r="BW19" s="991">
        <x:f t="shared" si="25"/>
        <x:v>27</x:v>
      </x:c>
      <x:c r="BX19" s="991" t="str">
        <x:f t="shared" si="32"/>
        <x:v>G6</x:v>
      </x:c>
      <x:c r="BY19" s="991" t="b">
        <x:f t="shared" si="26"/>
        <x:v>0</x:v>
      </x:c>
      <x:c r="BZ19" s="1303" t="b">
        <x:f t="shared" si="33"/>
        <x:v>0</x:v>
      </x:c>
      <x:c r="CB19" s="198"/>
      <x:c r="CC19" s="198"/>
      <x:c r="CD19" s="198"/>
      <x:c r="CE19" s="198"/>
      <x:c r="CF19" s="198"/>
      <x:c r="CG19" s="198"/>
      <x:c r="CH19" s="198"/>
      <x:c r="CI19" s="205"/>
      <x:c r="CJ19" s="205"/>
      <x:c r="CK19" s="205"/>
      <x:c r="CL19" s="205"/>
      <x:c r="CM19" s="205"/>
      <x:c r="CN19" s="205"/>
      <x:c r="CO19" s="205"/>
      <x:c r="CP19" s="198"/>
      <x:c r="CQ19" s="198"/>
      <x:c r="CR19" s="206"/>
      <x:c r="CS19" s="198"/>
      <x:c r="CT19" s="198"/>
      <x:c r="CU19" s="198"/>
      <x:c r="CV19" s="198"/>
      <x:c r="CW19" s="198"/>
      <x:c r="CX19" s="141"/>
      <x:c r="CY19" s="198"/>
      <x:c r="CZ19" s="141"/>
      <x:c r="DA19" s="141"/>
      <x:c r="DB19" s="141"/>
      <x:c r="DC19" s="141"/>
      <x:c r="DD19" s="141"/>
      <x:c r="DE19" s="141"/>
      <x:c r="DF19" s="141"/>
      <x:c r="DG19" s="141"/>
      <x:c r="DH19" s="672"/>
      <x:c r="DI19" s="673"/>
      <x:c r="DJ19" s="692"/>
      <x:c r="DK19" s="1331"/>
      <x:c r="DL19" s="674"/>
      <x:c r="DM19" s="693"/>
      <x:c r="DN19" s="1334"/>
      <x:c r="DO19" s="675"/>
      <x:c r="DP19" s="676"/>
      <x:c r="DQ19" s="1419"/>
      <x:c r="DR19" s="677"/>
      <x:c r="DS19" s="1611"/>
      <x:c r="DT19" s="1606"/>
      <x:c r="DU19" s="1607"/>
      <x:c r="DV19" s="678"/>
      <x:c r="DW19" s="1336"/>
      <x:c r="DX19" s="679"/>
      <x:c r="DY19" s="674"/>
      <x:c r="DZ19" s="678"/>
      <x:c r="EA19" s="1336"/>
      <x:c r="EB19" s="679"/>
      <x:c r="EC19" s="674"/>
      <x:c r="ED19" s="678"/>
      <x:c r="EE19" s="1336"/>
      <x:c r="EF19" s="679"/>
      <x:c r="EG19" s="674"/>
      <x:c r="EH19" s="678"/>
      <x:c r="EI19" s="1336"/>
      <x:c r="EJ19" s="679"/>
      <x:c r="EK19" s="680"/>
      <x:c r="EL19" s="929"/>
      <x:c r="EM19" s="1004"/>
      <x:c r="EN19" s="930"/>
      <x:c r="EO19" s="931"/>
      <x:c r="EP19" s="141"/>
      <x:c r="EQ19" s="141"/>
      <x:c r="ER19" s="141"/>
      <x:c r="ES19" s="141"/>
      <x:c r="ET19" s="141"/>
      <x:c r="EU19" s="141"/>
      <x:c r="EX19" s="503" t="str">
        <x:f t="shared" si="27"/>
        <x:v>G6B</x:v>
      </x:c>
      <x:c r="EY19" s="940" t="b">
        <x:f t="shared" ca="1" si="8"/>
        <x:v>1</x:v>
      </x:c>
      <x:c r="EZ19" s="940">
        <x:f t="shared" si="28"/>
        <x:v>5</x:v>
      </x:c>
      <x:c r="FA19" s="958" t="b">
        <x:f t="shared" si="34"/>
        <x:v>1</x:v>
      </x:c>
      <x:c r="FB19" s="134">
        <x:f t="shared" si="29"/>
        <x:v>668</x:v>
      </x:c>
      <x:c r="FC19" s="134">
        <x:f t="shared" si="9"/>
        <x:v>72.375</x:v>
      </x:c>
      <x:c r="FD19" s="134">
        <x:f t="shared" si="10"/>
        <x:v>523.25</x:v>
      </x:c>
      <x:c r="FE19" s="134">
        <x:f t="shared" si="11"/>
        <x:v>72.375</x:v>
      </x:c>
      <x:c r="FF19" s="134">
        <x:f t="shared" si="30"/>
        <x:v>668</x:v>
      </x:c>
      <x:c r="FN19" s="754" t="b">
        <x:v>0</x:v>
      </x:c>
      <x:c r="FO19" s="754"/>
      <x:c r="FP19" s="754" t="b">
        <x:v>0</x:v>
      </x:c>
      <x:c r="FQ19" s="754" t="b">
        <x:f t="shared" si="31"/>
        <x:v>1</x:v>
      </x:c>
      <x:c r="FX19" s="197"/>
      <x:c r="FZ19" s="2"/>
      <x:c r="GA19" s="141"/>
      <x:c r="GB19" s="141"/>
      <x:c r="GC19" s="141"/>
      <x:c r="GD19" s="141"/>
      <x:c r="GE19" s="141"/>
      <x:c r="GF19" s="141"/>
      <x:c r="GG19" s="141"/>
      <x:c r="GH19" s="141"/>
      <x:c r="GI19" s="141"/>
      <x:c r="GJ19" s="141"/>
      <x:c r="GK19" s="2"/>
      <x:c r="GZ19" s="1165" t="s">
        <x:v>1157</x:v>
      </x:c>
      <x:c r="HA19" s="1166">
        <x:v>80</x:v>
      </x:c>
      <x:c r="HB19" s="1166">
        <x:f t="shared" ref="HB19:ID22" si="36">HA19+1</x:f>
        <x:v>81</x:v>
      </x:c>
      <x:c r="HC19" s="1166">
        <x:f t="shared" si="36"/>
        <x:v>82</x:v>
      </x:c>
      <x:c r="HD19" s="1166">
        <x:f t="shared" si="36"/>
        <x:v>83</x:v>
      </x:c>
      <x:c r="HE19" s="1166">
        <x:f t="shared" si="36"/>
        <x:v>84</x:v>
      </x:c>
      <x:c r="HF19" s="1166">
        <x:f t="shared" si="36"/>
        <x:v>85</x:v>
      </x:c>
      <x:c r="HG19" s="1166">
        <x:f t="shared" si="36"/>
        <x:v>86</x:v>
      </x:c>
      <x:c r="HH19" s="1166">
        <x:f t="shared" si="36"/>
        <x:v>87</x:v>
      </x:c>
      <x:c r="HI19" s="1166">
        <x:f t="shared" si="36"/>
        <x:v>88</x:v>
      </x:c>
      <x:c r="HJ19" s="1166">
        <x:f t="shared" si="36"/>
        <x:v>89</x:v>
      </x:c>
      <x:c r="HK19" s="1166">
        <x:f t="shared" si="36"/>
        <x:v>90</x:v>
      </x:c>
      <x:c r="HL19" s="1166">
        <x:f t="shared" si="36"/>
        <x:v>91</x:v>
      </x:c>
      <x:c r="HM19" s="1166">
        <x:f t="shared" si="36"/>
        <x:v>92</x:v>
      </x:c>
      <x:c r="HN19" s="1166">
        <x:f t="shared" si="36"/>
        <x:v>93</x:v>
      </x:c>
      <x:c r="HO19" s="1166">
        <x:f t="shared" si="36"/>
        <x:v>94</x:v>
      </x:c>
      <x:c r="HP19" s="1166">
        <x:f t="shared" si="36"/>
        <x:v>95</x:v>
      </x:c>
      <x:c r="HQ19" s="1166">
        <x:f t="shared" si="36"/>
        <x:v>96</x:v>
      </x:c>
      <x:c r="HR19" s="1166">
        <x:f t="shared" si="36"/>
        <x:v>97</x:v>
      </x:c>
      <x:c r="HS19" s="1166">
        <x:f t="shared" si="36"/>
        <x:v>98</x:v>
      </x:c>
      <x:c r="HT19" s="1166">
        <x:f t="shared" si="36"/>
        <x:v>99</x:v>
      </x:c>
      <x:c r="HU19" s="1166">
        <x:f t="shared" si="36"/>
        <x:v>100</x:v>
      </x:c>
      <x:c r="HV19" s="1166">
        <x:f t="shared" si="36"/>
        <x:v>101</x:v>
      </x:c>
      <x:c r="HW19" s="1166">
        <x:f t="shared" si="36"/>
        <x:v>102</x:v>
      </x:c>
      <x:c r="HX19" s="1166">
        <x:f t="shared" si="36"/>
        <x:v>103</x:v>
      </x:c>
      <x:c r="HY19" s="1166">
        <x:f t="shared" si="36"/>
        <x:v>104</x:v>
      </x:c>
      <x:c r="HZ19" s="1166">
        <x:f t="shared" si="36"/>
        <x:v>105</x:v>
      </x:c>
      <x:c r="IA19" s="1166">
        <x:f t="shared" si="36"/>
        <x:v>106</x:v>
      </x:c>
      <x:c r="IB19" s="1166">
        <x:f t="shared" si="36"/>
        <x:v>107</x:v>
      </x:c>
      <x:c r="IC19" s="1166">
        <x:f t="shared" si="36"/>
        <x:v>108</x:v>
      </x:c>
      <x:c r="ID19" s="1166">
        <x:f t="shared" si="36"/>
        <x:v>109</x:v>
      </x:c>
      <x:c r="IE19" s="1241" t="s">
        <x:v>1406</x:v>
      </x:c>
      <x:c r="IF19" s="1242" t="s">
        <x:v>35</x:v>
      </x:c>
      <x:c r="IG19" s="1243">
        <x:v>6</x:v>
      </x:c>
      <x:c r="IH19" s="1244">
        <x:v>0.375</x:v>
      </x:c>
      <x:c r="II19" s="1242">
        <x:v>7</x:v>
      </x:c>
      <x:c r="IJ19" s="1243">
        <x:v>6</x:v>
      </x:c>
      <x:c r="IK19" s="1244">
        <x:v>2.75</x:v>
      </x:c>
      <x:c r="IL19" s="1242">
        <x:v>6</x:v>
      </x:c>
      <x:c r="IM19" s="1242">
        <x:v>0.375</x:v>
      </x:c>
      <x:c r="IN19" s="1242" t="s">
        <x:v>116</x:v>
      </x:c>
      <x:c r="IO19" s="1242" t="s">
        <x:v>35</x:v>
      </x:c>
      <x:c r="IP19" s="1242">
        <x:v>5</x:v>
      </x:c>
      <x:c r="IQ19" s="1242">
        <x:v>13</x:v>
      </x:c>
      <x:c r="IR19" s="1242">
        <x:v>4</x:v>
      </x:c>
      <x:c r="IS19" s="1243">
        <x:v>1.75</x:v>
      </x:c>
      <x:c r="IT19" s="1244">
        <x:v>1.75</x:v>
      </x:c>
      <x:c r="IU19" s="1242" t="s">
        <x:v>1018</x:v>
      </x:c>
      <x:c r="IV19" s="1242" t="s">
        <x:v>1578</x:v>
      </x:c>
      <x:c r="IW19" s="1243">
        <x:v>1.1000000000000001</x:v>
      </x:c>
      <x:c r="IX19" s="1244" t="s">
        <x:v>116</x:v>
      </x:c>
      <x:c r="IY19" s="1242" t="s">
        <x:v>1018</x:v>
      </x:c>
      <x:c r="IZ19" s="1242" t="s">
        <x:v>1579</x:v>
      </x:c>
      <x:c r="JA19" s="1243">
        <x:v>1</x:v>
      </x:c>
      <x:c r="JB19" s="1244" t="s">
        <x:v>116</x:v>
      </x:c>
      <x:c r="JC19" s="1242" t="s">
        <x:v>1018</x:v>
      </x:c>
      <x:c r="JD19" s="1242" t="s">
        <x:v>1580</x:v>
      </x:c>
      <x:c r="JE19" s="1243">
        <x:v>0.5</x:v>
      </x:c>
      <x:c r="JF19" s="1244" t="s">
        <x:v>116</x:v>
      </x:c>
      <x:c r="JG19" s="1242" t="s">
        <x:v>1018</x:v>
      </x:c>
      <x:c r="JH19" s="1242" t="s">
        <x:v>1581</x:v>
      </x:c>
      <x:c r="JI19" s="1242">
        <x:v>0.9</x:v>
      </x:c>
      <x:c r="JJ19" s="1245" t="s">
        <x:v>116</x:v>
      </x:c>
      <x:c r="JK19" s="1242">
        <x:v>2</x:v>
      </x:c>
      <x:c r="JL19" s="1171">
        <x:f t="shared" ca="1" si="35"/>
        <x:v>1</x:v>
      </x:c>
    </x:row>
    <x:row r="20" spans="1:274" ht="12.6" customHeight="1" x14ac:dyDescent="0.2">
      <x:c r="A20" s="1093"/>
      <x:c r="B20" s="1093"/>
      <x:c r="C20" s="1093"/>
      <x:c r="D20" s="1093"/>
      <x:c r="E20" s="1093"/>
      <x:c r="F20" s="1093"/>
      <x:c r="G20" s="1093"/>
      <x:c r="H20" s="1093"/>
      <x:c r="I20" s="1093"/>
      <x:c r="J20" s="1093"/>
      <x:c r="K20" s="1093"/>
      <x:c r="L20" s="1093"/>
      <x:c r="M20" s="1093"/>
      <x:c r="N20" s="1093"/>
      <x:c r="O20" s="1093"/>
      <x:c r="P20" s="1093"/>
      <x:c r="Q20" s="1093"/>
      <x:c r="R20" s="1093"/>
      <x:c r="S20" s="1093"/>
      <x:c r="T20" s="1093"/>
      <x:c r="U20" s="1093"/>
      <x:c r="V20" s="1093"/>
      <x:c r="W20" s="1093"/>
      <x:c r="X20" s="1093"/>
      <x:c r="Y20" s="1093"/>
      <x:c r="Z20" s="1093"/>
      <x:c r="AA20" s="1093"/>
      <x:c r="AB20" s="2764" t="str">
        <x:f t="shared" ref="AB20:AB45" si="37">IF(ISBLANK(DH20),"",DH20)</x:f>
        <x:v/>
      </x:c>
      <x:c r="AC20" s="2772" t="str">
        <x:f t="shared" ref="AC20:AC45" si="38">IF(ISBLANK(DI20),"",UPPER(DI20))</x:f>
        <x:v/>
      </x:c>
      <x:c r="AD20" s="2767" t="str">
        <x:f t="shared" ref="AD20:AD45" ca="1" si="39">IF(ISERROR(FV60),"",IF(FV60="","",TRUNC(FV60/12)))</x:f>
        <x:v/>
      </x:c>
      <x:c r="AE20" s="2771" t="str">
        <x:f t="shared" ref="AE20:AE45" ca="1" si="40">IF(ISERROR(FV60),"",IF(FV60="","",FV60-(AD20*12)))</x:f>
        <x:v/>
      </x:c>
      <x:c r="AF20" s="2772" t="str">
        <x:f t="shared" ref="AF20:AF45" ca="1" si="41">IF(ISERROR(FO60),"",IF(FO60="","",FO60))</x:f>
        <x:v/>
      </x:c>
      <x:c r="AG20" s="2767" t="str">
        <x:f t="shared" ref="AG20:AG45" ca="1" si="42">IF(ISERROR(FX60),"",IF(FX60="","",TRUNC(FX60/12)))</x:f>
        <x:v/>
      </x:c>
      <x:c r="AH20" s="2771" t="str">
        <x:f t="shared" ref="AH20:AH45" ca="1" si="43">IF(ISERROR(FX60),"",IF(FX60="","",FX60-(AG20*12)))</x:f>
        <x:v/>
      </x:c>
      <x:c r="AI20" s="2767" t="str">
        <x:f t="shared" ref="AI20:AI45" ca="1" si="44">IF(ISERROR(FZ60),"",IF(FZ60="","",TRUNC(FZ60/12)))</x:f>
        <x:v/>
      </x:c>
      <x:c r="AJ20" s="2771" t="str">
        <x:f t="shared" ref="AJ20:AJ45" ca="1" si="45">IF(ISERROR(FZ60),"",IF(FZ60="","",FZ60-(AI20*12)))</x:f>
        <x:v/>
      </x:c>
      <x:c r="AK20" s="2813" t="str">
        <x:f t="shared" si="12"/>
        <x:v/>
      </x:c>
      <x:c r="AL20" s="2814" t="str">
        <x:f t="shared" ref="AL20:AL45" si="46">IF(ISBLANK(DP20),"",UPPER(DP20))</x:f>
        <x:v/>
      </x:c>
      <x:c r="AM20" s="2815" t="str">
        <x:f t="shared" ref="AM20:AO26" si="47">IF(ISBLANK(DQ20),"",DQ20)</x:f>
        <x:v/>
      </x:c>
      <x:c r="AN20" s="2772" t="str">
        <x:f t="shared" si="47"/>
        <x:v/>
      </x:c>
      <x:c r="AO20" s="2816" t="str">
        <x:f t="shared" si="47"/>
        <x:v/>
      </x:c>
      <x:c r="AP20" s="2774" t="str">
        <x:f t="shared" si="3"/>
        <x:v/>
      </x:c>
      <x:c r="AQ20" s="2817" t="str">
        <x:f t="shared" si="3"/>
        <x:v/>
      </x:c>
      <x:c r="AR20" s="2770" t="s">
        <x:v>1018</x:v>
      </x:c>
      <x:c r="AS20" s="2771" t="s">
        <x:v>1582</x:v>
      </x:c>
      <x:c r="AT20" s="2818">
        <x:v>0.9</x:v>
      </x:c>
      <x:c r="AU20" s="2819" t="str">
        <x:f t="shared" si="4"/>
        <x:v/>
      </x:c>
      <x:c r="AV20" s="2776" t="s">
        <x:v>1018</x:v>
      </x:c>
      <x:c r="AW20" s="2771" t="s">
        <x:v>1583</x:v>
      </x:c>
      <x:c r="AX20" s="2818">
        <x:v>0.6</x:v>
      </x:c>
      <x:c r="AY20" s="2819" t="str">
        <x:f t="shared" si="5"/>
        <x:v/>
      </x:c>
      <x:c r="AZ20" s="2776" t="s">
        <x:v>1018</x:v>
      </x:c>
      <x:c r="BA20" s="2771" t="s">
        <x:v>1584</x:v>
      </x:c>
      <x:c r="BB20" s="2818">
        <x:v>0.6</x:v>
      </x:c>
      <x:c r="BC20" s="2819" t="str">
        <x:f t="shared" si="6"/>
        <x:v/>
      </x:c>
      <x:c r="BD20" s="2776" t="str">
        <x:f t="shared" si="22"/>
        <x:v/>
      </x:c>
      <x:c r="BE20" s="2771" t="str">
        <x:f t="shared" si="23"/>
        <x:v/>
      </x:c>
      <x:c r="BF20" s="2818" t="str">
        <x:f t="shared" si="24"/>
        <x:v/>
      </x:c>
      <x:c r="BG20" s="2819" t="str">
        <x:f t="shared" si="7"/>
        <x:v/>
      </x:c>
      <x:c r="BH20" s="261"/>
      <x:c r="BJ20" s="143"/>
      <x:c r="BL20" s="1798"/>
      <x:c r="BW20" s="991">
        <x:f t="shared" ca="1" si="25"/>
        <x:v>9</x:v>
      </x:c>
      <x:c r="BX20" s="991" t="str">
        <x:f t="shared" ca="1" si="32"/>
        <x:v>G6</x:v>
      </x:c>
      <x:c r="BY20" s="991" t="b">
        <x:f t="shared" ca="1" si="26"/>
        <x:v>0</x:v>
      </x:c>
      <x:c r="BZ20" s="1303" t="b">
        <x:f t="shared" si="33"/>
        <x:v>0</x:v>
      </x:c>
      <x:c r="CB20" s="198"/>
      <x:c r="CC20" s="198"/>
      <x:c r="CD20" s="198"/>
      <x:c r="CE20" s="198"/>
      <x:c r="CF20" s="198"/>
      <x:c r="CG20" s="198"/>
      <x:c r="CH20" s="198"/>
      <x:c r="CI20" s="205"/>
      <x:c r="CJ20" s="205"/>
      <x:c r="CK20" s="205"/>
      <x:c r="CL20" s="205"/>
      <x:c r="CM20" s="205"/>
      <x:c r="CN20" s="205"/>
      <x:c r="CO20" s="205"/>
      <x:c r="CP20" s="198"/>
      <x:c r="CQ20" s="198"/>
      <x:c r="CR20" s="206"/>
      <x:c r="CS20" s="198"/>
      <x:c r="CT20" s="198"/>
      <x:c r="CU20" s="198"/>
      <x:c r="CV20" s="198"/>
      <x:c r="CW20" s="198"/>
      <x:c r="CX20" s="141"/>
      <x:c r="CY20" s="198"/>
      <x:c r="CZ20" s="393" t="s">
        <x:v>678</x:v>
      </x:c>
      <x:c r="DA20" s="1923"/>
      <x:c r="DB20" s="1924"/>
      <x:c r="DC20" s="141"/>
      <x:c r="DD20" s="141"/>
      <x:c r="DE20" s="141"/>
      <x:c r="DF20" s="141"/>
      <x:c r="DG20" s="141"/>
      <x:c r="DH20" s="672"/>
      <x:c r="DI20" s="673"/>
      <x:c r="DJ20" s="692"/>
      <x:c r="DK20" s="1331"/>
      <x:c r="DL20" s="674"/>
      <x:c r="DM20" s="693"/>
      <x:c r="DN20" s="1334"/>
      <x:c r="DO20" s="675"/>
      <x:c r="DP20" s="676"/>
      <x:c r="DQ20" s="1419"/>
      <x:c r="DR20" s="677"/>
      <x:c r="DS20" s="1611"/>
      <x:c r="DT20" s="1606"/>
      <x:c r="DU20" s="1607"/>
      <x:c r="DV20" s="678"/>
      <x:c r="DW20" s="1336"/>
      <x:c r="DX20" s="679"/>
      <x:c r="DY20" s="674"/>
      <x:c r="DZ20" s="678"/>
      <x:c r="EA20" s="1336"/>
      <x:c r="EB20" s="679"/>
      <x:c r="EC20" s="674"/>
      <x:c r="ED20" s="678"/>
      <x:c r="EE20" s="1336"/>
      <x:c r="EF20" s="679"/>
      <x:c r="EG20" s="674"/>
      <x:c r="EH20" s="678"/>
      <x:c r="EI20" s="1336"/>
      <x:c r="EJ20" s="679"/>
      <x:c r="EK20" s="680"/>
      <x:c r="EL20" s="929"/>
      <x:c r="EM20" s="1004"/>
      <x:c r="EN20" s="930"/>
      <x:c r="EO20" s="931"/>
      <x:c r="EP20" s="141"/>
      <x:c r="EQ20" s="141"/>
      <x:c r="ER20" s="141"/>
      <x:c r="ES20" s="141"/>
      <x:c r="ET20" s="141"/>
      <x:c r="EU20" s="141"/>
      <x:c r="EX20" s="503" t="str">
        <x:f t="shared" ca="1" si="27"/>
        <x:v>G6B</x:v>
      </x:c>
      <x:c r="EY20" s="940" t="str">
        <x:f t="shared" si="8"/>
        <x:v/>
      </x:c>
      <x:c r="EZ20" s="940" t="str">
        <x:f t="shared" si="28"/>
        <x:v/>
      </x:c>
      <x:c r="FA20" s="958" t="b">
        <x:f t="shared" ca="1" si="34"/>
        <x:v>1</x:v>
      </x:c>
      <x:c r="FB20" s="134">
        <x:f t="shared" ca="1" si="29"/>
        <x:v>668</x:v>
      </x:c>
      <x:c r="FC20" s="134">
        <x:f t="shared" ca="1" si="9"/>
        <x:v>0</x:v>
      </x:c>
      <x:c r="FD20" s="134">
        <x:f t="shared" ca="1" si="10"/>
        <x:v>0</x:v>
      </x:c>
      <x:c r="FE20" s="134">
        <x:f t="shared" ca="1" si="11"/>
        <x:v>0</x:v>
      </x:c>
      <x:c r="FF20" s="134">
        <x:f t="shared" ca="1" si="30"/>
        <x:v>664</x:v>
      </x:c>
      <x:c r="FN20" s="754" t="b">
        <x:v>0</x:v>
      </x:c>
      <x:c r="FO20" s="754"/>
      <x:c r="FP20" s="754" t="b">
        <x:v>0</x:v>
      </x:c>
      <x:c r="FQ20" s="754" t="b">
        <x:f t="shared" si="31"/>
        <x:v>1</x:v>
      </x:c>
      <x:c r="FX20" s="197"/>
      <x:c r="FZ20" s="2"/>
      <x:c r="GA20" s="141"/>
      <x:c r="GB20" s="141"/>
      <x:c r="GC20" s="141"/>
      <x:c r="GD20" s="141"/>
      <x:c r="GE20" s="141"/>
      <x:c r="GF20" s="141"/>
      <x:c r="GG20" s="141"/>
      <x:c r="GH20" s="141"/>
      <x:c r="GI20" s="141"/>
      <x:c r="GJ20" s="141"/>
      <x:c r="GK20" s="2"/>
      <x:c r="GZ20" s="1165" t="s">
        <x:v>1133</x:v>
      </x:c>
      <x:c r="HA20" s="1166">
        <x:v>1</x:v>
      </x:c>
      <x:c r="HB20" s="1166">
        <x:f t="shared" si="36"/>
        <x:v>2</x:v>
      </x:c>
      <x:c r="HC20" s="1166">
        <x:f t="shared" si="36"/>
        <x:v>3</x:v>
      </x:c>
      <x:c r="HD20" s="1166">
        <x:f t="shared" si="36"/>
        <x:v>4</x:v>
      </x:c>
      <x:c r="HE20" s="1166">
        <x:f t="shared" si="36"/>
        <x:v>5</x:v>
      </x:c>
      <x:c r="HF20" s="1166">
        <x:f t="shared" si="36"/>
        <x:v>6</x:v>
      </x:c>
      <x:c r="HG20" s="1166">
        <x:f t="shared" si="36"/>
        <x:v>7</x:v>
      </x:c>
      <x:c r="HH20" s="1166">
        <x:f t="shared" si="36"/>
        <x:v>8</x:v>
      </x:c>
      <x:c r="HI20" s="1166">
        <x:f t="shared" si="36"/>
        <x:v>9</x:v>
      </x:c>
      <x:c r="HJ20" s="1166">
        <x:f t="shared" si="36"/>
        <x:v>10</x:v>
      </x:c>
      <x:c r="HK20" s="1166">
        <x:f t="shared" si="36"/>
        <x:v>11</x:v>
      </x:c>
      <x:c r="HL20" s="1166">
        <x:f t="shared" si="36"/>
        <x:v>12</x:v>
      </x:c>
      <x:c r="HM20" s="1166">
        <x:f t="shared" si="36"/>
        <x:v>13</x:v>
      </x:c>
      <x:c r="HN20" s="1166">
        <x:f t="shared" si="36"/>
        <x:v>14</x:v>
      </x:c>
      <x:c r="HO20" s="1166">
        <x:f t="shared" si="36"/>
        <x:v>15</x:v>
      </x:c>
      <x:c r="HP20" s="1166">
        <x:f t="shared" si="36"/>
        <x:v>16</x:v>
      </x:c>
      <x:c r="HQ20" s="1166">
        <x:f t="shared" si="36"/>
        <x:v>17</x:v>
      </x:c>
      <x:c r="HR20" s="1166">
        <x:f t="shared" si="36"/>
        <x:v>18</x:v>
      </x:c>
      <x:c r="HS20" s="1166">
        <x:f t="shared" si="36"/>
        <x:v>19</x:v>
      </x:c>
      <x:c r="HT20" s="1166">
        <x:f t="shared" si="36"/>
        <x:v>20</x:v>
      </x:c>
      <x:c r="HU20" s="1166">
        <x:f t="shared" si="36"/>
        <x:v>21</x:v>
      </x:c>
      <x:c r="HV20" s="1166">
        <x:f t="shared" si="36"/>
        <x:v>22</x:v>
      </x:c>
      <x:c r="HW20" s="1166">
        <x:f t="shared" si="36"/>
        <x:v>23</x:v>
      </x:c>
      <x:c r="HX20" s="1166">
        <x:f t="shared" si="36"/>
        <x:v>24</x:v>
      </x:c>
      <x:c r="HY20" s="1166">
        <x:f t="shared" si="36"/>
        <x:v>25</x:v>
      </x:c>
      <x:c r="HZ20" s="1166">
        <x:f t="shared" si="36"/>
        <x:v>26</x:v>
      </x:c>
      <x:c r="IA20" s="1167" t="s">
        <x:v>1167</x:v>
      </x:c>
      <x:c r="IB20" s="1166">
        <x:v>27</x:v>
      </x:c>
      <x:c r="IC20" s="1166"/>
      <x:c r="ID20" s="1166"/>
      <x:c r="IE20" s="1241" t="s">
        <x:v>116</x:v>
      </x:c>
      <x:c r="IF20" s="1242" t="s">
        <x:v>116</x:v>
      </x:c>
      <x:c r="IG20" s="1243" t="s">
        <x:v>116</x:v>
      </x:c>
      <x:c r="IH20" s="1244" t="s">
        <x:v>116</x:v>
      </x:c>
      <x:c r="II20" s="1242" t="s">
        <x:v>116</x:v>
      </x:c>
      <x:c r="IJ20" s="1243" t="s">
        <x:v>116</x:v>
      </x:c>
      <x:c r="IK20" s="1244" t="s">
        <x:v>116</x:v>
      </x:c>
      <x:c r="IL20" s="1242" t="s">
        <x:v>116</x:v>
      </x:c>
      <x:c r="IM20" s="1242" t="s">
        <x:v>116</x:v>
      </x:c>
      <x:c r="IN20" s="1242" t="s">
        <x:v>116</x:v>
      </x:c>
      <x:c r="IO20" s="1242" t="s">
        <x:v>116</x:v>
      </x:c>
      <x:c r="IP20" s="1242" t="s">
        <x:v>116</x:v>
      </x:c>
      <x:c r="IQ20" s="1242" t="s">
        <x:v>116</x:v>
      </x:c>
      <x:c r="IR20" s="1242" t="s">
        <x:v>116</x:v>
      </x:c>
      <x:c r="IS20" s="1243" t="s">
        <x:v>116</x:v>
      </x:c>
      <x:c r="IT20" s="1244" t="s">
        <x:v>116</x:v>
      </x:c>
      <x:c r="IU20" s="1242" t="s">
        <x:v>1018</x:v>
      </x:c>
      <x:c r="IV20" s="1242" t="s">
        <x:v>1582</x:v>
      </x:c>
      <x:c r="IW20" s="1243">
        <x:v>0.9</x:v>
      </x:c>
      <x:c r="IX20" s="1244" t="s">
        <x:v>116</x:v>
      </x:c>
      <x:c r="IY20" s="1242" t="s">
        <x:v>1018</x:v>
      </x:c>
      <x:c r="IZ20" s="1242" t="s">
        <x:v>1583</x:v>
      </x:c>
      <x:c r="JA20" s="1243">
        <x:v>0.6</x:v>
      </x:c>
      <x:c r="JB20" s="1244" t="s">
        <x:v>116</x:v>
      </x:c>
      <x:c r="JC20" s="1242" t="s">
        <x:v>1018</x:v>
      </x:c>
      <x:c r="JD20" s="1242" t="s">
        <x:v>1584</x:v>
      </x:c>
      <x:c r="JE20" s="1243">
        <x:v>0.6</x:v>
      </x:c>
      <x:c r="JF20" s="1244" t="s">
        <x:v>116</x:v>
      </x:c>
      <x:c r="JG20" s="1242" t="s">
        <x:v>116</x:v>
      </x:c>
      <x:c r="JH20" s="1242" t="s">
        <x:v>116</x:v>
      </x:c>
      <x:c r="JI20" s="1242" t="s">
        <x:v>116</x:v>
      </x:c>
      <x:c r="JJ20" s="1245" t="s">
        <x:v>116</x:v>
      </x:c>
      <x:c r="JK20" s="1242"/>
      <x:c r="JL20" s="1171">
        <x:f t="shared" ca="1" si="35"/>
        <x:v>2</x:v>
      </x:c>
    </x:row>
    <x:row r="21" spans="1:274" ht="12.6" customHeight="1" thickBot="1" x14ac:dyDescent="0.25">
      <x:c r="A21" s="1093"/>
      <x:c r="B21" s="1093"/>
      <x:c r="C21" s="1093"/>
      <x:c r="D21" s="1093"/>
      <x:c r="E21" s="1093"/>
      <x:c r="F21" s="1093"/>
      <x:c r="G21" s="1093"/>
      <x:c r="H21" s="1093"/>
      <x:c r="I21" s="1093"/>
      <x:c r="J21" s="1093"/>
      <x:c r="K21" s="1093"/>
      <x:c r="L21" s="1093"/>
      <x:c r="M21" s="1093"/>
      <x:c r="N21" s="1093"/>
      <x:c r="O21" s="1093"/>
      <x:c r="P21" s="1093"/>
      <x:c r="Q21" s="1093"/>
      <x:c r="R21" s="1093"/>
      <x:c r="S21" s="1093"/>
      <x:c r="T21" s="1093"/>
      <x:c r="U21" s="1093"/>
      <x:c r="V21" s="1093"/>
      <x:c r="W21" s="1093"/>
      <x:c r="X21" s="1093"/>
      <x:c r="Y21" s="1093"/>
      <x:c r="Z21" s="1093"/>
      <x:c r="AA21" s="1093"/>
      <x:c r="AB21" s="2764" t="s">
        <x:v>1407</x:v>
      </x:c>
      <x:c r="AC21" s="2772" t="s">
        <x:v>35</x:v>
      </x:c>
      <x:c r="AD21" s="2767">
        <x:v>6</x:v>
      </x:c>
      <x:c r="AE21" s="2771">
        <x:v>0.375</x:v>
      </x:c>
      <x:c r="AF21" s="2772">
        <x:v>7</x:v>
      </x:c>
      <x:c r="AG21" s="2767">
        <x:v>6</x:v>
      </x:c>
      <x:c r="AH21" s="2771">
        <x:v>2.75</x:v>
      </x:c>
      <x:c r="AI21" s="2767">
        <x:v>5</x:v>
      </x:c>
      <x:c r="AJ21" s="2771">
        <x:v>8.375</x:v>
      </x:c>
      <x:c r="AK21" s="2813" t="str">
        <x:f t="shared" si="12"/>
        <x:v/>
      </x:c>
      <x:c r="AL21" s="2814" t="s">
        <x:v>35</x:v>
      </x:c>
      <x:c r="AM21" s="2815">
        <x:v>5</x:v>
      </x:c>
      <x:c r="AN21" s="2772">
        <x:v>13</x:v>
      </x:c>
      <x:c r="AO21" s="2816">
        <x:v>4</x:v>
      </x:c>
      <x:c r="AP21" s="2774">
        <x:v>1.75</x:v>
      </x:c>
      <x:c r="AQ21" s="2817" t="str">
        <x:f t="shared" si="3"/>
        <x:v/>
      </x:c>
      <x:c r="AR21" s="2770" t="str">
        <x:f t="shared" si="13"/>
        <x:v/>
      </x:c>
      <x:c r="AS21" s="2771" t="str">
        <x:f t="shared" si="14"/>
        <x:v/>
      </x:c>
      <x:c r="AT21" s="2818" t="str">
        <x:f t="shared" si="15"/>
        <x:v/>
      </x:c>
      <x:c r="AU21" s="2819" t="str">
        <x:f t="shared" si="4"/>
        <x:v/>
      </x:c>
      <x:c r="AV21" s="2776" t="str">
        <x:f t="shared" si="16"/>
        <x:v/>
      </x:c>
      <x:c r="AW21" s="2771" t="str">
        <x:f t="shared" si="17"/>
        <x:v/>
      </x:c>
      <x:c r="AX21" s="2818" t="str">
        <x:f t="shared" si="18"/>
        <x:v/>
      </x:c>
      <x:c r="AY21" s="2819" t="str">
        <x:f t="shared" si="5"/>
        <x:v/>
      </x:c>
      <x:c r="AZ21" s="2776" t="str">
        <x:f t="shared" si="19"/>
        <x:v/>
      </x:c>
      <x:c r="BA21" s="2771" t="str">
        <x:f t="shared" si="20"/>
        <x:v/>
      </x:c>
      <x:c r="BB21" s="2818" t="str">
        <x:f t="shared" si="21"/>
        <x:v/>
      </x:c>
      <x:c r="BC21" s="2819" t="str">
        <x:f t="shared" si="6"/>
        <x:v/>
      </x:c>
      <x:c r="BD21" s="2776" t="str">
        <x:f t="shared" si="22"/>
        <x:v/>
      </x:c>
      <x:c r="BE21" s="2771" t="str">
        <x:f t="shared" si="23"/>
        <x:v/>
      </x:c>
      <x:c r="BF21" s="2818" t="str">
        <x:f t="shared" si="24"/>
        <x:v/>
      </x:c>
      <x:c r="BG21" s="2819" t="str">
        <x:f t="shared" si="7"/>
        <x:v/>
      </x:c>
      <x:c r="BH21" s="261"/>
      <x:c r="BJ21" s="143"/>
      <x:c r="BL21" s="1798"/>
      <x:c r="BW21" s="991">
        <x:f t="shared" si="25"/>
        <x:v>14</x:v>
      </x:c>
      <x:c r="BX21" s="991" t="str">
        <x:f t="shared" si="32"/>
        <x:v>G7</x:v>
      </x:c>
      <x:c r="BY21" s="991" t="b">
        <x:f t="shared" si="26"/>
        <x:v>0</x:v>
      </x:c>
      <x:c r="BZ21" s="1303" t="b">
        <x:f t="shared" si="33"/>
        <x:v>0</x:v>
      </x:c>
      <x:c r="CB21" s="1622">
        <x:v>6</x:v>
      </x:c>
      <x:c r="CC21" s="1622">
        <x:v>4</x:v>
      </x:c>
      <x:c r="CD21" s="1622">
        <x:v>15</x:v>
      </x:c>
      <x:c r="CE21" s="1622">
        <x:v>4</x:v>
      </x:c>
      <x:c r="CF21" s="1622">
        <x:v>5</x:v>
      </x:c>
      <x:c r="CG21" s="1623">
        <x:v>3</x:v>
      </x:c>
      <x:c r="CH21" s="1623">
        <x:v>4.57</x:v>
      </x:c>
      <x:c r="CI21" s="1623">
        <x:v>4.57</x:v>
      </x:c>
      <x:c r="CJ21" s="1623">
        <x:v>4.57</x:v>
      </x:c>
      <x:c r="CK21" s="1623">
        <x:v>4.57</x:v>
      </x:c>
      <x:c r="CL21" s="1623">
        <x:v>4</x:v>
      </x:c>
      <x:c r="CM21" s="1623">
        <x:v>5</x:v>
      </x:c>
      <x:c r="CN21" s="1623">
        <x:v>5.29</x:v>
      </x:c>
      <x:c r="CO21" s="1623">
        <x:v>5.29</x:v>
      </x:c>
      <x:c r="CP21" s="1623">
        <x:v>4</x:v>
      </x:c>
      <x:c r="CQ21" s="1623">
        <x:v>3</x:v>
      </x:c>
      <x:c r="CR21" s="1623">
        <x:v>4.57</x:v>
      </x:c>
      <x:c r="CS21" s="1623">
        <x:v>4.57</x:v>
      </x:c>
      <x:c r="CT21" s="1623">
        <x:v>4.57</x:v>
      </x:c>
      <x:c r="CU21" s="1623">
        <x:v>4.57</x:v>
      </x:c>
      <x:c r="CV21" s="1623">
        <x:v>4</x:v>
      </x:c>
      <x:c r="CW21" s="1623">
        <x:v>5</x:v>
      </x:c>
      <x:c r="CX21" s="1623">
        <x:v>5.29</x:v>
      </x:c>
      <x:c r="CY21" s="1623">
        <x:v>5.29</x:v>
      </x:c>
      <x:c r="CZ21" s="1623">
        <x:v>4</x:v>
      </x:c>
      <x:c r="DA21" s="1622">
        <x:v>5</x:v>
      </x:c>
      <x:c r="DB21" s="1622">
        <x:v>15</x:v>
      </x:c>
      <x:c r="DC21" s="1623">
        <x:v>21.57</x:v>
      </x:c>
      <x:c r="DD21" s="1622">
        <x:v>4</x:v>
      </x:c>
      <x:c r="DE21" s="1622">
        <x:v>4</x:v>
      </x:c>
      <x:c r="DF21" s="141"/>
      <x:c r="DG21" s="141"/>
      <x:c r="DH21" s="672"/>
      <x:c r="DI21" s="673"/>
      <x:c r="DJ21" s="692"/>
      <x:c r="DK21" s="1331"/>
      <x:c r="DL21" s="674"/>
      <x:c r="DM21" s="693"/>
      <x:c r="DN21" s="1334"/>
      <x:c r="DO21" s="675"/>
      <x:c r="DP21" s="676"/>
      <x:c r="DQ21" s="1419"/>
      <x:c r="DR21" s="677"/>
      <x:c r="DS21" s="1611"/>
      <x:c r="DT21" s="1606"/>
      <x:c r="DU21" s="1607"/>
      <x:c r="DV21" s="678"/>
      <x:c r="DW21" s="1336"/>
      <x:c r="DX21" s="679"/>
      <x:c r="DY21" s="674"/>
      <x:c r="DZ21" s="678"/>
      <x:c r="EA21" s="1336"/>
      <x:c r="EB21" s="679"/>
      <x:c r="EC21" s="674"/>
      <x:c r="ED21" s="678"/>
      <x:c r="EE21" s="1336"/>
      <x:c r="EF21" s="679"/>
      <x:c r="EG21" s="674"/>
      <x:c r="EH21" s="678"/>
      <x:c r="EI21" s="1336"/>
      <x:c r="EJ21" s="679"/>
      <x:c r="EK21" s="680"/>
      <x:c r="EL21" s="141"/>
      <x:c r="EM21" s="1004"/>
      <x:c r="EN21" s="930"/>
      <x:c r="EO21" s="931"/>
      <x:c r="EP21" s="141"/>
      <x:c r="EQ21" s="141"/>
      <x:c r="ER21" s="141"/>
      <x:c r="ES21" s="141"/>
      <x:c r="ET21" s="141"/>
      <x:c r="EU21" s="141"/>
      <x:c r="EX21" s="503" t="str">
        <x:f t="shared" ca="1" si="27"/>
        <x:v>G7B</x:v>
      </x:c>
      <x:c r="EY21" s="940" t="b">
        <x:f t="shared" ca="1" si="8"/>
        <x:v>1</x:v>
      </x:c>
      <x:c r="EZ21" s="940">
        <x:f t="shared" si="28"/>
        <x:v>5</x:v>
      </x:c>
      <x:c r="FA21" s="958" t="b">
        <x:f t="shared" si="34"/>
        <x:v>1</x:v>
      </x:c>
      <x:c r="FB21" s="134">
        <x:f t="shared" si="29"/>
        <x:v>664</x:v>
      </x:c>
      <x:c r="FC21" s="134">
        <x:f t="shared" si="9"/>
        <x:v>72.375</x:v>
      </x:c>
      <x:c r="FD21" s="134">
        <x:f t="shared" si="10"/>
        <x:v>523.25</x:v>
      </x:c>
      <x:c r="FE21" s="134">
        <x:f t="shared" si="11"/>
        <x:v>68.375</x:v>
      </x:c>
      <x:c r="FF21" s="134">
        <x:f t="shared" si="30"/>
        <x:v>664</x:v>
      </x:c>
      <x:c r="FN21" s="754" t="b">
        <x:v>0</x:v>
      </x:c>
      <x:c r="FO21" s="754"/>
      <x:c r="FP21" s="754" t="b">
        <x:v>0</x:v>
      </x:c>
      <x:c r="FQ21" s="754" t="b">
        <x:f t="shared" si="31"/>
        <x:v>1</x:v>
      </x:c>
      <x:c r="FX21" s="756"/>
      <x:c r="FZ21" s="23"/>
      <x:c r="GA21" s="141"/>
      <x:c r="GB21" s="141"/>
      <x:c r="GC21" s="141"/>
      <x:c r="GD21" s="141"/>
      <x:c r="GE21" s="141"/>
      <x:c r="GF21" s="141"/>
      <x:c r="GG21" s="141"/>
      <x:c r="GH21" s="141"/>
      <x:c r="GI21" s="141"/>
      <x:c r="GJ21" s="141"/>
      <x:c r="GK21" s="23"/>
      <x:c r="GZ21" s="1165" t="s">
        <x:v>1156</x:v>
      </x:c>
      <x:c r="HA21" s="1166">
        <x:v>1</x:v>
      </x:c>
      <x:c r="HB21" s="1166">
        <x:f>HA21+1</x:f>
        <x:v>2</x:v>
      </x:c>
      <x:c r="HC21" s="1166">
        <x:f t="shared" si="36"/>
        <x:v>3</x:v>
      </x:c>
      <x:c r="HD21" s="1166">
        <x:f t="shared" si="36"/>
        <x:v>4</x:v>
      </x:c>
      <x:c r="HE21" s="1166">
        <x:f t="shared" si="36"/>
        <x:v>5</x:v>
      </x:c>
      <x:c r="HF21" s="1166">
        <x:f t="shared" si="36"/>
        <x:v>6</x:v>
      </x:c>
      <x:c r="HG21" s="1166">
        <x:f t="shared" si="36"/>
        <x:v>7</x:v>
      </x:c>
      <x:c r="HH21" s="1166">
        <x:f t="shared" si="36"/>
        <x:v>8</x:v>
      </x:c>
      <x:c r="HI21" s="1166">
        <x:f t="shared" si="36"/>
        <x:v>9</x:v>
      </x:c>
      <x:c r="HJ21" s="1166">
        <x:f t="shared" si="36"/>
        <x:v>10</x:v>
      </x:c>
      <x:c r="HK21" s="1166">
        <x:f t="shared" si="36"/>
        <x:v>11</x:v>
      </x:c>
      <x:c r="HL21" s="1166">
        <x:f t="shared" si="36"/>
        <x:v>12</x:v>
      </x:c>
      <x:c r="HM21" s="1166">
        <x:f t="shared" si="36"/>
        <x:v>13</x:v>
      </x:c>
      <x:c r="HN21" s="1166">
        <x:f t="shared" si="36"/>
        <x:v>14</x:v>
      </x:c>
      <x:c r="HO21" s="1166">
        <x:f t="shared" si="36"/>
        <x:v>15</x:v>
      </x:c>
      <x:c r="HP21" s="1166">
        <x:f t="shared" si="36"/>
        <x:v>16</x:v>
      </x:c>
      <x:c r="HQ21" s="1166">
        <x:f t="shared" si="36"/>
        <x:v>17</x:v>
      </x:c>
      <x:c r="HR21" s="1166">
        <x:f t="shared" si="36"/>
        <x:v>18</x:v>
      </x:c>
      <x:c r="HS21" s="1166">
        <x:f t="shared" si="36"/>
        <x:v>19</x:v>
      </x:c>
      <x:c r="HT21" s="1166">
        <x:f t="shared" si="36"/>
        <x:v>20</x:v>
      </x:c>
      <x:c r="HU21" s="1166">
        <x:f t="shared" si="36"/>
        <x:v>21</x:v>
      </x:c>
      <x:c r="HV21" s="1166">
        <x:f t="shared" si="36"/>
        <x:v>22</x:v>
      </x:c>
      <x:c r="HW21" s="1166">
        <x:f t="shared" si="36"/>
        <x:v>23</x:v>
      </x:c>
      <x:c r="HX21" s="1166">
        <x:f t="shared" si="36"/>
        <x:v>24</x:v>
      </x:c>
      <x:c r="HY21" s="1166">
        <x:f t="shared" si="36"/>
        <x:v>25</x:v>
      </x:c>
      <x:c r="HZ21" s="1166">
        <x:f t="shared" si="36"/>
        <x:v>26</x:v>
      </x:c>
      <x:c r="IA21" s="1168">
        <x:f t="shared" si="36"/>
        <x:v>27</x:v>
      </x:c>
      <x:c r="IB21" s="1168">
        <x:f t="shared" si="36"/>
        <x:v>28</x:v>
      </x:c>
      <x:c r="IC21" s="1168">
        <x:f t="shared" si="36"/>
        <x:v>29</x:v>
      </x:c>
      <x:c r="ID21" s="1168">
        <x:f t="shared" si="36"/>
        <x:v>30</x:v>
      </x:c>
      <x:c r="IE21" s="1241" t="s">
        <x:v>1407</x:v>
      </x:c>
      <x:c r="IF21" s="1242" t="s">
        <x:v>35</x:v>
      </x:c>
      <x:c r="IG21" s="1243">
        <x:v>6</x:v>
      </x:c>
      <x:c r="IH21" s="1244">
        <x:v>0.375</x:v>
      </x:c>
      <x:c r="II21" s="1242">
        <x:v>7</x:v>
      </x:c>
      <x:c r="IJ21" s="1243">
        <x:v>6</x:v>
      </x:c>
      <x:c r="IK21" s="1244">
        <x:v>2.75</x:v>
      </x:c>
      <x:c r="IL21" s="1242">
        <x:v>5</x:v>
      </x:c>
      <x:c r="IM21" s="1242">
        <x:v>8.375</x:v>
      </x:c>
      <x:c r="IN21" s="1242" t="s">
        <x:v>116</x:v>
      </x:c>
      <x:c r="IO21" s="1242" t="s">
        <x:v>35</x:v>
      </x:c>
      <x:c r="IP21" s="1242">
        <x:v>5</x:v>
      </x:c>
      <x:c r="IQ21" s="1242">
        <x:v>13</x:v>
      </x:c>
      <x:c r="IR21" s="1242">
        <x:v>4</x:v>
      </x:c>
      <x:c r="IS21" s="1243">
        <x:v>1.75</x:v>
      </x:c>
      <x:c r="IT21" s="1244" t="s">
        <x:v>116</x:v>
      </x:c>
      <x:c r="IU21" s="1242" t="s">
        <x:v>116</x:v>
      </x:c>
      <x:c r="IV21" s="1242" t="s">
        <x:v>116</x:v>
      </x:c>
      <x:c r="IW21" s="1243" t="s">
        <x:v>116</x:v>
      </x:c>
      <x:c r="IX21" s="1244" t="s">
        <x:v>116</x:v>
      </x:c>
      <x:c r="IY21" s="1242" t="s">
        <x:v>116</x:v>
      </x:c>
      <x:c r="IZ21" s="1242" t="s">
        <x:v>116</x:v>
      </x:c>
      <x:c r="JA21" s="1243" t="s">
        <x:v>116</x:v>
      </x:c>
      <x:c r="JB21" s="1244" t="s">
        <x:v>116</x:v>
      </x:c>
      <x:c r="JC21" s="1242" t="s">
        <x:v>116</x:v>
      </x:c>
      <x:c r="JD21" s="1242" t="s">
        <x:v>116</x:v>
      </x:c>
      <x:c r="JE21" s="1243" t="s">
        <x:v>116</x:v>
      </x:c>
      <x:c r="JF21" s="1244" t="s">
        <x:v>116</x:v>
      </x:c>
      <x:c r="JG21" s="1242" t="s">
        <x:v>116</x:v>
      </x:c>
      <x:c r="JH21" s="1242" t="s">
        <x:v>116</x:v>
      </x:c>
      <x:c r="JI21" s="1242" t="s">
        <x:v>116</x:v>
      </x:c>
      <x:c r="JJ21" s="1245" t="s">
        <x:v>116</x:v>
      </x:c>
      <x:c r="JK21" s="1242">
        <x:v>1</x:v>
      </x:c>
      <x:c r="JL21" s="1171">
        <x:f t="shared" ca="1" si="35"/>
        <x:v>1</x:v>
      </x:c>
    </x:row>
    <x:row r="22" spans="1:274" ht="12.6" customHeight="1" thickTop="1" x14ac:dyDescent="0.2">
      <x:c r="A22" s="1093"/>
      <x:c r="B22" s="1093"/>
      <x:c r="C22" s="1093"/>
      <x:c r="D22" s="1093"/>
      <x:c r="E22" s="1093"/>
      <x:c r="F22" s="1093"/>
      <x:c r="G22" s="1093"/>
      <x:c r="H22" s="1093"/>
      <x:c r="I22" s="1093"/>
      <x:c r="J22" s="1093"/>
      <x:c r="K22" s="1093"/>
      <x:c r="L22" s="1093"/>
      <x:c r="M22" s="1093"/>
      <x:c r="N22" s="1093"/>
      <x:c r="O22" s="1093"/>
      <x:c r="P22" s="1093"/>
      <x:c r="Q22" s="1093"/>
      <x:c r="R22" s="1093"/>
      <x:c r="S22" s="1093"/>
      <x:c r="T22" s="1093"/>
      <x:c r="U22" s="1093"/>
      <x:c r="V22" s="1093"/>
      <x:c r="W22" s="1093"/>
      <x:c r="X22" s="1093"/>
      <x:c r="Y22" s="1093"/>
      <x:c r="Z22" s="1093"/>
      <x:c r="AA22" s="1093"/>
      <x:c r="AB22" s="2764" t="s">
        <x:v>1408</x:v>
      </x:c>
      <x:c r="AC22" s="2772" t="s">
        <x:v>35</x:v>
      </x:c>
      <x:c r="AD22" s="2767">
        <x:v>6</x:v>
      </x:c>
      <x:c r="AE22" s="2771">
        <x:v>0.375</x:v>
      </x:c>
      <x:c r="AF22" s="2772">
        <x:v>7</x:v>
      </x:c>
      <x:c r="AG22" s="2767">
        <x:v>6</x:v>
      </x:c>
      <x:c r="AH22" s="2771">
        <x:v>2.75</x:v>
      </x:c>
      <x:c r="AI22" s="2767">
        <x:v>6</x:v>
      </x:c>
      <x:c r="AJ22" s="2771">
        <x:v>0.375</x:v>
      </x:c>
      <x:c r="AK22" s="2813" t="str">
        <x:f t="shared" si="12"/>
        <x:v/>
      </x:c>
      <x:c r="AL22" s="2814" t="s">
        <x:v>35</x:v>
      </x:c>
      <x:c r="AM22" s="2815">
        <x:v>5</x:v>
      </x:c>
      <x:c r="AN22" s="2772">
        <x:v>13</x:v>
      </x:c>
      <x:c r="AO22" s="2816">
        <x:v>4</x:v>
      </x:c>
      <x:c r="AP22" s="2774">
        <x:v>1.75</x:v>
      </x:c>
      <x:c r="AQ22" s="2817">
        <x:v>1.75</x:v>
      </x:c>
      <x:c r="AR22" s="2770" t="str">
        <x:f t="shared" si="13"/>
        <x:v/>
      </x:c>
      <x:c r="AS22" s="2771" t="str">
        <x:f t="shared" si="14"/>
        <x:v/>
      </x:c>
      <x:c r="AT22" s="2818" t="str">
        <x:f t="shared" si="15"/>
        <x:v/>
      </x:c>
      <x:c r="AU22" s="2819" t="str">
        <x:f t="shared" si="4"/>
        <x:v/>
      </x:c>
      <x:c r="AV22" s="2776" t="str">
        <x:f t="shared" si="16"/>
        <x:v/>
      </x:c>
      <x:c r="AW22" s="2771" t="str">
        <x:f t="shared" si="17"/>
        <x:v/>
      </x:c>
      <x:c r="AX22" s="2818" t="str">
        <x:f t="shared" si="18"/>
        <x:v/>
      </x:c>
      <x:c r="AY22" s="2819" t="str">
        <x:f t="shared" si="5"/>
        <x:v/>
      </x:c>
      <x:c r="AZ22" s="2776" t="str">
        <x:f t="shared" si="19"/>
        <x:v/>
      </x:c>
      <x:c r="BA22" s="2771" t="str">
        <x:f t="shared" si="20"/>
        <x:v/>
      </x:c>
      <x:c r="BB22" s="2818" t="str">
        <x:f t="shared" si="21"/>
        <x:v/>
      </x:c>
      <x:c r="BC22" s="2819" t="str">
        <x:f t="shared" si="6"/>
        <x:v/>
      </x:c>
      <x:c r="BD22" s="2776" t="str">
        <x:f t="shared" si="22"/>
        <x:v/>
      </x:c>
      <x:c r="BE22" s="2771" t="str">
        <x:f t="shared" si="23"/>
        <x:v/>
      </x:c>
      <x:c r="BF22" s="2818" t="str">
        <x:f t="shared" si="24"/>
        <x:v/>
      </x:c>
      <x:c r="BG22" s="2819" t="str">
        <x:f t="shared" si="7"/>
        <x:v/>
      </x:c>
      <x:c r="BH22" s="261"/>
      <x:c r="BJ22" s="143"/>
      <x:c r="BL22" s="1798"/>
      <x:c r="BW22" s="991">
        <x:f t="shared" si="25"/>
        <x:v>15</x:v>
      </x:c>
      <x:c r="BX22" s="991" t="str">
        <x:f t="shared" si="32"/>
        <x:v>G8</x:v>
      </x:c>
      <x:c r="BY22" s="991" t="b">
        <x:f t="shared" si="26"/>
        <x:v>0</x:v>
      </x:c>
      <x:c r="BZ22" s="1303" t="b">
        <x:f t="shared" si="33"/>
        <x:v>0</x:v>
      </x:c>
      <x:c r="CB22" s="2018" t="s">
        <x:v>638</x:v>
      </x:c>
      <x:c r="CC22" s="2033"/>
      <x:c r="CD22" s="2033"/>
      <x:c r="CE22" s="2033"/>
      <x:c r="CF22" s="2033"/>
      <x:c r="CG22" s="2033"/>
      <x:c r="CH22" s="2033"/>
      <x:c r="CI22" s="2033"/>
      <x:c r="CJ22" s="2033"/>
      <x:c r="CK22" s="2033"/>
      <x:c r="CL22" s="2033"/>
      <x:c r="CM22" s="2033"/>
      <x:c r="CN22" s="2033"/>
      <x:c r="CO22" s="2033"/>
      <x:c r="CP22" s="2033"/>
      <x:c r="CQ22" s="2033"/>
      <x:c r="CR22" s="2033"/>
      <x:c r="CS22" s="2033"/>
      <x:c r="CT22" s="2033"/>
      <x:c r="CU22" s="2033"/>
      <x:c r="CV22" s="2033"/>
      <x:c r="CW22" s="2033"/>
      <x:c r="CX22" s="2033"/>
      <x:c r="CY22" s="2033"/>
      <x:c r="CZ22" s="1927"/>
      <x:c r="DA22" s="1927"/>
      <x:c r="DB22" s="1927"/>
      <x:c r="DC22" s="1927"/>
      <x:c r="DD22" s="1927"/>
      <x:c r="DE22" s="1928"/>
      <x:c r="DF22" s="141"/>
      <x:c r="DG22" s="141"/>
      <x:c r="DH22" s="672"/>
      <x:c r="DI22" s="673"/>
      <x:c r="DJ22" s="692"/>
      <x:c r="DK22" s="1331"/>
      <x:c r="DL22" s="674"/>
      <x:c r="DM22" s="693"/>
      <x:c r="DN22" s="1334"/>
      <x:c r="DO22" s="675"/>
      <x:c r="DP22" s="676"/>
      <x:c r="DQ22" s="1419"/>
      <x:c r="DR22" s="677"/>
      <x:c r="DS22" s="1611"/>
      <x:c r="DT22" s="1606"/>
      <x:c r="DU22" s="1607"/>
      <x:c r="DV22" s="678"/>
      <x:c r="DW22" s="1336"/>
      <x:c r="DX22" s="679"/>
      <x:c r="DY22" s="674"/>
      <x:c r="DZ22" s="678"/>
      <x:c r="EA22" s="1336"/>
      <x:c r="EB22" s="679"/>
      <x:c r="EC22" s="674"/>
      <x:c r="ED22" s="678"/>
      <x:c r="EE22" s="1336"/>
      <x:c r="EF22" s="679"/>
      <x:c r="EG22" s="674"/>
      <x:c r="EH22" s="678"/>
      <x:c r="EI22" s="1336"/>
      <x:c r="EJ22" s="679"/>
      <x:c r="EK22" s="680"/>
      <x:c r="EL22" s="141"/>
      <x:c r="EM22" s="1004"/>
      <x:c r="EN22" s="930"/>
      <x:c r="EO22" s="931"/>
      <x:c r="EP22" s="141"/>
      <x:c r="EQ22" s="141"/>
      <x:c r="ER22" s="141"/>
      <x:c r="ES22" s="141"/>
      <x:c r="ET22" s="141"/>
      <x:c r="EU22" s="141"/>
      <x:c r="EX22" s="503" t="str">
        <x:f t="shared" si="27"/>
        <x:v>G8B</x:v>
      </x:c>
      <x:c r="EY22" s="940" t="b">
        <x:f t="shared" ca="1" si="8"/>
        <x:v>1</x:v>
      </x:c>
      <x:c r="EZ22" s="940">
        <x:f t="shared" si="28"/>
        <x:v>5</x:v>
      </x:c>
      <x:c r="FA22" s="958" t="b">
        <x:f t="shared" si="34"/>
        <x:v>1</x:v>
      </x:c>
      <x:c r="FB22" s="134">
        <x:f t="shared" si="29"/>
        <x:v>668</x:v>
      </x:c>
      <x:c r="FC22" s="134">
        <x:f t="shared" si="9"/>
        <x:v>72.375</x:v>
      </x:c>
      <x:c r="FD22" s="134">
        <x:f t="shared" si="10"/>
        <x:v>523.25</x:v>
      </x:c>
      <x:c r="FE22" s="134">
        <x:f t="shared" si="11"/>
        <x:v>72.375</x:v>
      </x:c>
      <x:c r="FF22" s="134">
        <x:f t="shared" si="30"/>
        <x:v>668</x:v>
      </x:c>
      <x:c r="FN22" s="754" t="b">
        <x:v>0</x:v>
      </x:c>
      <x:c r="FO22" s="754"/>
      <x:c r="FP22" s="754" t="b">
        <x:v>0</x:v>
      </x:c>
      <x:c r="FQ22" s="754" t="b">
        <x:f t="shared" si="31"/>
        <x:v>1</x:v>
      </x:c>
      <x:c r="FX22" s="756"/>
      <x:c r="FZ22" s="23"/>
      <x:c r="GA22" s="141"/>
      <x:c r="GB22" s="141"/>
      <x:c r="GC22" s="141"/>
      <x:c r="GD22" s="141"/>
      <x:c r="GE22" s="141"/>
      <x:c r="GF22" s="141"/>
      <x:c r="GG22" s="141"/>
      <x:c r="GH22" s="141"/>
      <x:c r="GI22" s="141"/>
      <x:c r="GJ22" s="141"/>
      <x:c r="GK22" s="23"/>
      <x:c r="GZ22" s="1165" t="s">
        <x:v>1133</x:v>
      </x:c>
      <x:c r="HA22" s="1166">
        <x:v>1</x:v>
      </x:c>
      <x:c r="HB22" s="1166">
        <x:f>HA22+1</x:f>
        <x:v>2</x:v>
      </x:c>
      <x:c r="HC22" s="1166">
        <x:f>HB22+1</x:f>
        <x:v>3</x:v>
      </x:c>
      <x:c r="HD22" s="1166">
        <x:f t="shared" si="36"/>
        <x:v>4</x:v>
      </x:c>
      <x:c r="HE22" s="1166">
        <x:f t="shared" si="36"/>
        <x:v>5</x:v>
      </x:c>
      <x:c r="HF22" s="1166">
        <x:f t="shared" si="36"/>
        <x:v>6</x:v>
      </x:c>
      <x:c r="HG22" s="1166">
        <x:f t="shared" si="36"/>
        <x:v>7</x:v>
      </x:c>
      <x:c r="HH22" s="1166">
        <x:f t="shared" si="36"/>
        <x:v>8</x:v>
      </x:c>
      <x:c r="HI22" s="1166">
        <x:f t="shared" si="36"/>
        <x:v>9</x:v>
      </x:c>
      <x:c r="HJ22" s="1166">
        <x:f t="shared" si="36"/>
        <x:v>10</x:v>
      </x:c>
      <x:c r="HK22" s="1166">
        <x:f t="shared" si="36"/>
        <x:v>11</x:v>
      </x:c>
      <x:c r="HL22" s="1166">
        <x:f t="shared" si="36"/>
        <x:v>12</x:v>
      </x:c>
      <x:c r="HM22" s="1166">
        <x:f t="shared" si="36"/>
        <x:v>13</x:v>
      </x:c>
      <x:c r="HN22" s="1166">
        <x:f t="shared" si="36"/>
        <x:v>14</x:v>
      </x:c>
      <x:c r="HO22" s="1166">
        <x:f t="shared" si="36"/>
        <x:v>15</x:v>
      </x:c>
      <x:c r="HP22" s="1166">
        <x:f t="shared" si="36"/>
        <x:v>16</x:v>
      </x:c>
      <x:c r="HQ22" s="1166">
        <x:f t="shared" si="36"/>
        <x:v>17</x:v>
      </x:c>
      <x:c r="HR22" s="1166">
        <x:f t="shared" si="36"/>
        <x:v>18</x:v>
      </x:c>
      <x:c r="HS22" s="1166">
        <x:f t="shared" si="36"/>
        <x:v>19</x:v>
      </x:c>
      <x:c r="HT22" s="1166">
        <x:f t="shared" si="36"/>
        <x:v>20</x:v>
      </x:c>
      <x:c r="HU22" s="1166">
        <x:f t="shared" si="36"/>
        <x:v>21</x:v>
      </x:c>
      <x:c r="HV22" s="1166">
        <x:f t="shared" si="36"/>
        <x:v>22</x:v>
      </x:c>
      <x:c r="HW22" s="1166">
        <x:f t="shared" si="36"/>
        <x:v>23</x:v>
      </x:c>
      <x:c r="HX22" s="1166">
        <x:f t="shared" si="36"/>
        <x:v>24</x:v>
      </x:c>
      <x:c r="HY22" s="1166">
        <x:f>HX22+1</x:f>
        <x:v>25</x:v>
      </x:c>
      <x:c r="HZ22" s="1166">
        <x:f>HY22+1</x:f>
        <x:v>26</x:v>
      </x:c>
      <x:c r="IA22" s="1166">
        <x:f>HZ22+1</x:f>
        <x:v>27</x:v>
      </x:c>
      <x:c r="IB22" s="1166">
        <x:f>IA22+1</x:f>
        <x:v>28</x:v>
      </x:c>
      <x:c r="IC22" s="1166"/>
      <x:c r="ID22" s="1166"/>
      <x:c r="IE22" s="1241" t="s">
        <x:v>1408</x:v>
      </x:c>
      <x:c r="IF22" s="1242" t="s">
        <x:v>35</x:v>
      </x:c>
      <x:c r="IG22" s="1243">
        <x:v>6</x:v>
      </x:c>
      <x:c r="IH22" s="1244">
        <x:v>0.375</x:v>
      </x:c>
      <x:c r="II22" s="1242">
        <x:v>7</x:v>
      </x:c>
      <x:c r="IJ22" s="1243">
        <x:v>6</x:v>
      </x:c>
      <x:c r="IK22" s="1244">
        <x:v>2.75</x:v>
      </x:c>
      <x:c r="IL22" s="1242">
        <x:v>6</x:v>
      </x:c>
      <x:c r="IM22" s="1242">
        <x:v>0.375</x:v>
      </x:c>
      <x:c r="IN22" s="1242" t="s">
        <x:v>116</x:v>
      </x:c>
      <x:c r="IO22" s="1242" t="s">
        <x:v>35</x:v>
      </x:c>
      <x:c r="IP22" s="1242">
        <x:v>5</x:v>
      </x:c>
      <x:c r="IQ22" s="1242">
        <x:v>13</x:v>
      </x:c>
      <x:c r="IR22" s="1242">
        <x:v>4</x:v>
      </x:c>
      <x:c r="IS22" s="1243">
        <x:v>1.75</x:v>
      </x:c>
      <x:c r="IT22" s="1244">
        <x:v>1.75</x:v>
      </x:c>
      <x:c r="IU22" s="1242" t="s">
        <x:v>116</x:v>
      </x:c>
      <x:c r="IV22" s="1242" t="s">
        <x:v>116</x:v>
      </x:c>
      <x:c r="IW22" s="1243" t="s">
        <x:v>116</x:v>
      </x:c>
      <x:c r="IX22" s="1244" t="s">
        <x:v>116</x:v>
      </x:c>
      <x:c r="IY22" s="1242" t="s">
        <x:v>116</x:v>
      </x:c>
      <x:c r="IZ22" s="1242" t="s">
        <x:v>116</x:v>
      </x:c>
      <x:c r="JA22" s="1243" t="s">
        <x:v>116</x:v>
      </x:c>
      <x:c r="JB22" s="1244" t="s">
        <x:v>116</x:v>
      </x:c>
      <x:c r="JC22" s="1242" t="s">
        <x:v>116</x:v>
      </x:c>
      <x:c r="JD22" s="1242" t="s">
        <x:v>116</x:v>
      </x:c>
      <x:c r="JE22" s="1243" t="s">
        <x:v>116</x:v>
      </x:c>
      <x:c r="JF22" s="1244" t="s">
        <x:v>116</x:v>
      </x:c>
      <x:c r="JG22" s="1242" t="s">
        <x:v>116</x:v>
      </x:c>
      <x:c r="JH22" s="1242" t="s">
        <x:v>116</x:v>
      </x:c>
      <x:c r="JI22" s="1242" t="s">
        <x:v>116</x:v>
      </x:c>
      <x:c r="JJ22" s="1245" t="s">
        <x:v>116</x:v>
      </x:c>
      <x:c r="JK22" s="1242">
        <x:v>1</x:v>
      </x:c>
      <x:c r="JL22" s="1171">
        <x:f t="shared" ca="1" si="35"/>
        <x:v>1</x:v>
      </x:c>
    </x:row>
    <x:row r="23" spans="1:274" ht="12.6" customHeight="1" thickBot="1" x14ac:dyDescent="0.25">
      <x:c r="A23" s="1093"/>
      <x:c r="B23" s="1093"/>
      <x:c r="C23" s="1093"/>
      <x:c r="D23" s="1093"/>
      <x:c r="E23" s="1093"/>
      <x:c r="F23" s="1093"/>
      <x:c r="G23" s="1093"/>
      <x:c r="H23" s="1093"/>
      <x:c r="I23" s="1093"/>
      <x:c r="J23" s="1093"/>
      <x:c r="K23" s="1093"/>
      <x:c r="L23" s="1093"/>
      <x:c r="M23" s="1093"/>
      <x:c r="N23" s="1093"/>
      <x:c r="O23" s="1093"/>
      <x:c r="P23" s="1093"/>
      <x:c r="Q23" s="1093"/>
      <x:c r="R23" s="1093"/>
      <x:c r="S23" s="1093"/>
      <x:c r="T23" s="1093"/>
      <x:c r="U23" s="1093"/>
      <x:c r="V23" s="1093"/>
      <x:c r="W23" s="1093"/>
      <x:c r="X23" s="1093"/>
      <x:c r="Y23" s="1093"/>
      <x:c r="Z23" s="1093"/>
      <x:c r="AA23" s="1093"/>
      <x:c r="AB23" s="2764" t="s">
        <x:v>1409</x:v>
      </x:c>
      <x:c r="AC23" s="2772" t="s">
        <x:v>35</x:v>
      </x:c>
      <x:c r="AD23" s="2767">
        <x:v>6</x:v>
      </x:c>
      <x:c r="AE23" s="2771">
        <x:v>0.375</x:v>
      </x:c>
      <x:c r="AF23" s="2772">
        <x:v>7</x:v>
      </x:c>
      <x:c r="AG23" s="2767">
        <x:v>6</x:v>
      </x:c>
      <x:c r="AH23" s="2771">
        <x:v>2.75</x:v>
      </x:c>
      <x:c r="AI23" s="2767">
        <x:v>6</x:v>
      </x:c>
      <x:c r="AJ23" s="2771">
        <x:v>1.5</x:v>
      </x:c>
      <x:c r="AK23" s="2813" t="str">
        <x:f t="shared" si="12"/>
        <x:v/>
      </x:c>
      <x:c r="AL23" s="2814" t="s">
        <x:v>35</x:v>
      </x:c>
      <x:c r="AM23" s="2815">
        <x:v>5</x:v>
      </x:c>
      <x:c r="AN23" s="2772">
        <x:v>13</x:v>
      </x:c>
      <x:c r="AO23" s="2816">
        <x:v>4</x:v>
      </x:c>
      <x:c r="AP23" s="2774">
        <x:v>1.75</x:v>
      </x:c>
      <x:c r="AQ23" s="2817" t="str">
        <x:f t="shared" si="3"/>
        <x:v/>
      </x:c>
      <x:c r="AR23" s="2770" t="str">
        <x:f t="shared" si="13"/>
        <x:v/>
      </x:c>
      <x:c r="AS23" s="2771" t="str">
        <x:f t="shared" si="14"/>
        <x:v/>
      </x:c>
      <x:c r="AT23" s="2818" t="str">
        <x:f t="shared" si="15"/>
        <x:v/>
      </x:c>
      <x:c r="AU23" s="2819" t="str">
        <x:f t="shared" si="4"/>
        <x:v/>
      </x:c>
      <x:c r="AV23" s="2776" t="str">
        <x:f t="shared" si="16"/>
        <x:v/>
      </x:c>
      <x:c r="AW23" s="2771" t="str">
        <x:f t="shared" si="17"/>
        <x:v/>
      </x:c>
      <x:c r="AX23" s="2818" t="str">
        <x:f t="shared" si="18"/>
        <x:v/>
      </x:c>
      <x:c r="AY23" s="2819" t="str">
        <x:f t="shared" si="5"/>
        <x:v/>
      </x:c>
      <x:c r="AZ23" s="2776" t="str">
        <x:f t="shared" si="19"/>
        <x:v/>
      </x:c>
      <x:c r="BA23" s="2771" t="str">
        <x:f t="shared" si="20"/>
        <x:v/>
      </x:c>
      <x:c r="BB23" s="2818" t="str">
        <x:f t="shared" si="21"/>
        <x:v/>
      </x:c>
      <x:c r="BC23" s="2819" t="str">
        <x:f t="shared" si="6"/>
        <x:v/>
      </x:c>
      <x:c r="BD23" s="2776" t="str">
        <x:f t="shared" si="22"/>
        <x:v/>
      </x:c>
      <x:c r="BE23" s="2771" t="str">
        <x:f t="shared" si="23"/>
        <x:v/>
      </x:c>
      <x:c r="BF23" s="2818" t="str">
        <x:f t="shared" si="24"/>
        <x:v/>
      </x:c>
      <x:c r="BG23" s="2819" t="str">
        <x:f t="shared" si="7"/>
        <x:v/>
      </x:c>
      <x:c r="BH23" s="261"/>
      <x:c r="BJ23" s="143"/>
      <x:c r="BL23" s="1798"/>
      <x:c r="BW23" s="991">
        <x:f t="shared" si="25"/>
        <x:v>14</x:v>
      </x:c>
      <x:c r="BX23" s="991" t="str">
        <x:f t="shared" si="32"/>
        <x:v>G9</x:v>
      </x:c>
      <x:c r="BY23" s="991" t="b">
        <x:f t="shared" si="26"/>
        <x:v>0</x:v>
      </x:c>
      <x:c r="BZ23" s="1303" t="b">
        <x:f t="shared" si="33"/>
        <x:v>0</x:v>
      </x:c>
      <x:c r="CB23" s="2034"/>
      <x:c r="CC23" s="2035"/>
      <x:c r="CD23" s="2035"/>
      <x:c r="CE23" s="2035"/>
      <x:c r="CF23" s="2035"/>
      <x:c r="CG23" s="2035"/>
      <x:c r="CH23" s="2035"/>
      <x:c r="CI23" s="2035"/>
      <x:c r="CJ23" s="2035"/>
      <x:c r="CK23" s="2035"/>
      <x:c r="CL23" s="2035"/>
      <x:c r="CM23" s="2035"/>
      <x:c r="CN23" s="2035"/>
      <x:c r="CO23" s="2035"/>
      <x:c r="CP23" s="2035"/>
      <x:c r="CQ23" s="2035"/>
      <x:c r="CR23" s="2035"/>
      <x:c r="CS23" s="2035"/>
      <x:c r="CT23" s="2035"/>
      <x:c r="CU23" s="2035"/>
      <x:c r="CV23" s="2035"/>
      <x:c r="CW23" s="2035"/>
      <x:c r="CX23" s="2035"/>
      <x:c r="CY23" s="2035"/>
      <x:c r="CZ23" s="1931"/>
      <x:c r="DA23" s="1931"/>
      <x:c r="DB23" s="1931"/>
      <x:c r="DC23" s="1931"/>
      <x:c r="DD23" s="1931"/>
      <x:c r="DE23" s="1932"/>
      <x:c r="DF23" s="141"/>
      <x:c r="DG23" s="141"/>
      <x:c r="DH23" s="672"/>
      <x:c r="DI23" s="673"/>
      <x:c r="DJ23" s="692"/>
      <x:c r="DK23" s="1331"/>
      <x:c r="DL23" s="674"/>
      <x:c r="DM23" s="693"/>
      <x:c r="DN23" s="1334"/>
      <x:c r="DO23" s="675"/>
      <x:c r="DP23" s="676"/>
      <x:c r="DQ23" s="1419"/>
      <x:c r="DR23" s="677"/>
      <x:c r="DS23" s="1611"/>
      <x:c r="DT23" s="1606"/>
      <x:c r="DU23" s="1607"/>
      <x:c r="DV23" s="678"/>
      <x:c r="DW23" s="1336"/>
      <x:c r="DX23" s="679"/>
      <x:c r="DY23" s="674"/>
      <x:c r="DZ23" s="678"/>
      <x:c r="EA23" s="1336"/>
      <x:c r="EB23" s="679"/>
      <x:c r="EC23" s="674"/>
      <x:c r="ED23" s="678"/>
      <x:c r="EE23" s="1336"/>
      <x:c r="EF23" s="679"/>
      <x:c r="EG23" s="674"/>
      <x:c r="EH23" s="678"/>
      <x:c r="EI23" s="1336"/>
      <x:c r="EJ23" s="679"/>
      <x:c r="EK23" s="680"/>
      <x:c r="EL23" s="141"/>
      <x:c r="EM23" s="1004"/>
      <x:c r="EN23" s="930"/>
      <x:c r="EO23" s="931"/>
      <x:c r="EP23" s="141"/>
      <x:c r="EQ23" s="141"/>
      <x:c r="ER23" s="141"/>
      <x:c r="ES23" s="141"/>
      <x:c r="ET23" s="141"/>
      <x:c r="EU23" s="141"/>
      <x:c r="EX23" s="503" t="str">
        <x:f t="shared" si="27"/>
        <x:v>G9B</x:v>
      </x:c>
      <x:c r="EY23" s="940" t="b">
        <x:f t="shared" ca="1" si="8"/>
        <x:v>1</x:v>
      </x:c>
      <x:c r="EZ23" s="940">
        <x:f t="shared" si="28"/>
        <x:v>5</x:v>
      </x:c>
      <x:c r="FA23" s="958" t="b">
        <x:f t="shared" si="34"/>
        <x:v>1</x:v>
      </x:c>
      <x:c r="FB23" s="134">
        <x:f t="shared" si="29"/>
        <x:v>669.125</x:v>
      </x:c>
      <x:c r="FC23" s="134">
        <x:f t="shared" si="9"/>
        <x:v>72.375</x:v>
      </x:c>
      <x:c r="FD23" s="134">
        <x:f t="shared" si="10"/>
        <x:v>523.25</x:v>
      </x:c>
      <x:c r="FE23" s="134">
        <x:f t="shared" si="11"/>
        <x:v>73.5</x:v>
      </x:c>
      <x:c r="FF23" s="134">
        <x:f t="shared" si="30"/>
        <x:v>669.125</x:v>
      </x:c>
      <x:c r="FN23" s="754" t="b">
        <x:v>0</x:v>
      </x:c>
      <x:c r="FO23" s="754"/>
      <x:c r="FP23" s="754" t="b">
        <x:v>0</x:v>
      </x:c>
      <x:c r="FQ23" s="754" t="b">
        <x:f t="shared" si="31"/>
        <x:v>1</x:v>
      </x:c>
      <x:c r="FX23" s="197"/>
      <x:c r="FZ23" s="2"/>
      <x:c r="GA23" s="141"/>
      <x:c r="GB23" s="141"/>
      <x:c r="GC23" s="141"/>
      <x:c r="GD23" s="141"/>
      <x:c r="GE23" s="141"/>
      <x:c r="GF23" s="141"/>
      <x:c r="GG23" s="141"/>
      <x:c r="GH23" s="141"/>
      <x:c r="GI23" s="141"/>
      <x:c r="GJ23" s="141"/>
      <x:c r="GK23" s="2"/>
      <x:c r="ID23" s="781"/>
      <x:c r="IE23" s="1241" t="s">
        <x:v>1409</x:v>
      </x:c>
      <x:c r="IF23" s="1242" t="s">
        <x:v>35</x:v>
      </x:c>
      <x:c r="IG23" s="1243">
        <x:v>6</x:v>
      </x:c>
      <x:c r="IH23" s="1244">
        <x:v>0.375</x:v>
      </x:c>
      <x:c r="II23" s="1242">
        <x:v>7</x:v>
      </x:c>
      <x:c r="IJ23" s="1243">
        <x:v>6</x:v>
      </x:c>
      <x:c r="IK23" s="1244">
        <x:v>2.75</x:v>
      </x:c>
      <x:c r="IL23" s="1242">
        <x:v>6</x:v>
      </x:c>
      <x:c r="IM23" s="1242">
        <x:v>1.5</x:v>
      </x:c>
      <x:c r="IN23" s="1242" t="s">
        <x:v>116</x:v>
      </x:c>
      <x:c r="IO23" s="1242" t="s">
        <x:v>35</x:v>
      </x:c>
      <x:c r="IP23" s="1242">
        <x:v>5</x:v>
      </x:c>
      <x:c r="IQ23" s="1242">
        <x:v>13</x:v>
      </x:c>
      <x:c r="IR23" s="1242">
        <x:v>4</x:v>
      </x:c>
      <x:c r="IS23" s="1243">
        <x:v>1.75</x:v>
      </x:c>
      <x:c r="IT23" s="1244" t="s">
        <x:v>116</x:v>
      </x:c>
      <x:c r="IU23" s="1242" t="s">
        <x:v>116</x:v>
      </x:c>
      <x:c r="IV23" s="1242" t="s">
        <x:v>116</x:v>
      </x:c>
      <x:c r="IW23" s="1243" t="s">
        <x:v>116</x:v>
      </x:c>
      <x:c r="IX23" s="1244" t="s">
        <x:v>116</x:v>
      </x:c>
      <x:c r="IY23" s="1242" t="s">
        <x:v>116</x:v>
      </x:c>
      <x:c r="IZ23" s="1242" t="s">
        <x:v>116</x:v>
      </x:c>
      <x:c r="JA23" s="1243" t="s">
        <x:v>116</x:v>
      </x:c>
      <x:c r="JB23" s="1244" t="s">
        <x:v>116</x:v>
      </x:c>
      <x:c r="JC23" s="1242" t="s">
        <x:v>116</x:v>
      </x:c>
      <x:c r="JD23" s="1242" t="s">
        <x:v>116</x:v>
      </x:c>
      <x:c r="JE23" s="1243" t="s">
        <x:v>116</x:v>
      </x:c>
      <x:c r="JF23" s="1244" t="s">
        <x:v>116</x:v>
      </x:c>
      <x:c r="JG23" s="1242" t="s">
        <x:v>116</x:v>
      </x:c>
      <x:c r="JH23" s="1242" t="s">
        <x:v>116</x:v>
      </x:c>
      <x:c r="JI23" s="1242" t="s">
        <x:v>116</x:v>
      </x:c>
      <x:c r="JJ23" s="1245" t="s">
        <x:v>116</x:v>
      </x:c>
      <x:c r="JK23" s="1242">
        <x:v>1</x:v>
      </x:c>
      <x:c r="JL23" s="1171">
        <x:f t="shared" ca="1" si="35"/>
        <x:v>1</x:v>
      </x:c>
    </x:row>
    <x:row r="24" spans="1:274" ht="12.6" customHeight="1" thickTop="1" thickBot="1" x14ac:dyDescent="0.25">
      <x:c r="A24" s="1093"/>
      <x:c r="B24" s="1093"/>
      <x:c r="C24" s="1093"/>
      <x:c r="D24" s="1093"/>
      <x:c r="E24" s="1093"/>
      <x:c r="F24" s="1093"/>
      <x:c r="G24" s="1093"/>
      <x:c r="H24" s="1093"/>
      <x:c r="I24" s="1093"/>
      <x:c r="J24" s="1093"/>
      <x:c r="K24" s="1093"/>
      <x:c r="L24" s="1093"/>
      <x:c r="M24" s="1093"/>
      <x:c r="N24" s="1093"/>
      <x:c r="O24" s="1093"/>
      <x:c r="P24" s="1093"/>
      <x:c r="Q24" s="1093"/>
      <x:c r="R24" s="1093"/>
      <x:c r="S24" s="1093"/>
      <x:c r="T24" s="1093"/>
      <x:c r="U24" s="1093"/>
      <x:c r="V24" s="1093"/>
      <x:c r="W24" s="1094" t="s">
        <x:v>61</x:v>
      </x:c>
      <x:c r="X24" s="2087">
        <x:f>B48+B49</x:f>
        <x:v>48</x:v>
      </x:c>
      <x:c r="Y24" s="2087"/>
      <x:c r="Z24" s="1093"/>
      <x:c r="AA24" s="1093"/>
      <x:c r="AB24" s="2764" t="s">
        <x:v>1410</x:v>
      </x:c>
      <x:c r="AC24" s="2772" t="s">
        <x:v>35</x:v>
      </x:c>
      <x:c r="AD24" s="2767">
        <x:v>6</x:v>
      </x:c>
      <x:c r="AE24" s="2771">
        <x:v>0.375</x:v>
      </x:c>
      <x:c r="AF24" s="2772">
        <x:v>7</x:v>
      </x:c>
      <x:c r="AG24" s="2767">
        <x:v>6</x:v>
      </x:c>
      <x:c r="AH24" s="2771">
        <x:v>2.75</x:v>
      </x:c>
      <x:c r="AI24" s="2767">
        <x:v>5</x:v>
      </x:c>
      <x:c r="AJ24" s="2771">
        <x:v>6</x:v>
      </x:c>
      <x:c r="AK24" s="2813" t="str">
        <x:f t="shared" si="12"/>
        <x:v/>
      </x:c>
      <x:c r="AL24" s="2814" t="s">
        <x:v>35</x:v>
      </x:c>
      <x:c r="AM24" s="2815">
        <x:v>5</x:v>
      </x:c>
      <x:c r="AN24" s="2772">
        <x:v>13</x:v>
      </x:c>
      <x:c r="AO24" s="2816">
        <x:v>4</x:v>
      </x:c>
      <x:c r="AP24" s="2774">
        <x:v>1.75</x:v>
      </x:c>
      <x:c r="AQ24" s="2817" t="str">
        <x:f t="shared" si="3"/>
        <x:v/>
      </x:c>
      <x:c r="AR24" s="2770">
        <x:v>54</x:v>
      </x:c>
      <x:c r="AS24" s="2771">
        <x:v>8</x:v>
      </x:c>
      <x:c r="AT24" s="2818">
        <x:v>15.3</x:v>
      </x:c>
      <x:c r="AU24" s="2819" t="s">
        <x:v>35</x:v>
      </x:c>
      <x:c r="AV24" s="2776" t="str">
        <x:f t="shared" si="16"/>
        <x:v/>
      </x:c>
      <x:c r="AW24" s="2771" t="str">
        <x:f t="shared" si="17"/>
        <x:v/>
      </x:c>
      <x:c r="AX24" s="2818" t="str">
        <x:f t="shared" si="18"/>
        <x:v/>
      </x:c>
      <x:c r="AY24" s="2819" t="str">
        <x:f t="shared" si="5"/>
        <x:v/>
      </x:c>
      <x:c r="AZ24" s="2776" t="str">
        <x:f t="shared" si="19"/>
        <x:v/>
      </x:c>
      <x:c r="BA24" s="2771" t="str">
        <x:f t="shared" si="20"/>
        <x:v/>
      </x:c>
      <x:c r="BB24" s="2818" t="str">
        <x:f t="shared" si="21"/>
        <x:v/>
      </x:c>
      <x:c r="BC24" s="2819" t="str">
        <x:f t="shared" si="6"/>
        <x:v/>
      </x:c>
      <x:c r="BD24" s="2776" t="str">
        <x:f t="shared" si="22"/>
        <x:v/>
      </x:c>
      <x:c r="BE24" s="2771" t="str">
        <x:f t="shared" si="23"/>
        <x:v/>
      </x:c>
      <x:c r="BF24" s="2818" t="str">
        <x:f t="shared" si="24"/>
        <x:v/>
      </x:c>
      <x:c r="BG24" s="2819" t="str">
        <x:f t="shared" si="7"/>
        <x:v/>
      </x:c>
      <x:c r="BH24" s="261"/>
      <x:c r="BJ24" s="143"/>
      <x:c r="BL24" s="1798"/>
      <x:c r="BW24" s="991">
        <x:f t="shared" si="25"/>
        <x:v>18</x:v>
      </x:c>
      <x:c r="BX24" s="991" t="str">
        <x:f t="shared" si="32"/>
        <x:v>G10</x:v>
      </x:c>
      <x:c r="BY24" s="991" t="b">
        <x:f t="shared" si="26"/>
        <x:v>0</x:v>
      </x:c>
      <x:c r="BZ24" s="1303" t="b">
        <x:f t="shared" si="33"/>
        <x:v>0</x:v>
      </x:c>
      <x:c r="CB24" s="1933"/>
      <x:c r="CC24" s="1931"/>
      <x:c r="CD24" s="1931"/>
      <x:c r="CE24" s="1931"/>
      <x:c r="CF24" s="1932"/>
      <x:c r="CG24" s="1925" t="s">
        <x:v>469</x:v>
      </x:c>
      <x:c r="CH24" s="1926"/>
      <x:c r="CI24" s="1926"/>
      <x:c r="CJ24" s="1926"/>
      <x:c r="CK24" s="1926"/>
      <x:c r="CL24" s="1926"/>
      <x:c r="CM24" s="1926"/>
      <x:c r="CN24" s="1927"/>
      <x:c r="CO24" s="1927"/>
      <x:c r="CP24" s="1928"/>
      <x:c r="CQ24" s="1925" t="s">
        <x:v>470</x:v>
      </x:c>
      <x:c r="CR24" s="1926"/>
      <x:c r="CS24" s="1926"/>
      <x:c r="CT24" s="1926"/>
      <x:c r="CU24" s="1926"/>
      <x:c r="CV24" s="1926"/>
      <x:c r="CW24" s="1926"/>
      <x:c r="CX24" s="1927"/>
      <x:c r="CY24" s="1927"/>
      <x:c r="CZ24" s="1928"/>
      <x:c r="DA24" s="1576"/>
      <x:c r="DB24" s="1951"/>
      <x:c r="DC24" s="1952"/>
      <x:c r="DD24" s="1952"/>
      <x:c r="DE24" s="1953"/>
      <x:c r="DF24" s="141"/>
      <x:c r="DG24" s="141"/>
      <x:c r="DH24" s="672"/>
      <x:c r="DI24" s="673"/>
      <x:c r="DJ24" s="692"/>
      <x:c r="DK24" s="1331"/>
      <x:c r="DL24" s="674"/>
      <x:c r="DM24" s="693"/>
      <x:c r="DN24" s="1334"/>
      <x:c r="DO24" s="675"/>
      <x:c r="DP24" s="676"/>
      <x:c r="DQ24" s="1419"/>
      <x:c r="DR24" s="677"/>
      <x:c r="DS24" s="1611"/>
      <x:c r="DT24" s="1606"/>
      <x:c r="DU24" s="1607"/>
      <x:c r="DV24" s="678"/>
      <x:c r="DW24" s="1336"/>
      <x:c r="DX24" s="679"/>
      <x:c r="DY24" s="674"/>
      <x:c r="DZ24" s="678"/>
      <x:c r="EA24" s="1336"/>
      <x:c r="EB24" s="679"/>
      <x:c r="EC24" s="674"/>
      <x:c r="ED24" s="678"/>
      <x:c r="EE24" s="1336"/>
      <x:c r="EF24" s="679"/>
      <x:c r="EG24" s="674"/>
      <x:c r="EH24" s="678"/>
      <x:c r="EI24" s="1336"/>
      <x:c r="EJ24" s="679"/>
      <x:c r="EK24" s="680"/>
      <x:c r="EL24" s="141"/>
      <x:c r="EM24" s="1004"/>
      <x:c r="EN24" s="930"/>
      <x:c r="EO24" s="931"/>
      <x:c r="EP24" s="141"/>
      <x:c r="EQ24" s="141"/>
      <x:c r="ER24" s="141"/>
      <x:c r="ES24" s="141"/>
      <x:c r="ET24" s="2104" t="s">
        <x:v>615</x:v>
      </x:c>
      <x:c r="EU24" s="2105"/>
      <x:c r="EX24" s="503" t="str">
        <x:f t="shared" si="27"/>
        <x:v>G10B</x:v>
      </x:c>
      <x:c r="EY24" s="940" t="b">
        <x:f t="shared" ca="1" si="8"/>
        <x:v>1</x:v>
      </x:c>
      <x:c r="EZ24" s="940">
        <x:f t="shared" si="28"/>
        <x:v>5</x:v>
      </x:c>
      <x:c r="FA24" s="958" t="b">
        <x:f t="shared" si="34"/>
        <x:v>1</x:v>
      </x:c>
      <x:c r="FB24" s="134">
        <x:f t="shared" si="29"/>
        <x:v>661.625</x:v>
      </x:c>
      <x:c r="FC24" s="134">
        <x:f t="shared" si="9"/>
        <x:v>72.375</x:v>
      </x:c>
      <x:c r="FD24" s="134">
        <x:f t="shared" si="10"/>
        <x:v>523.25</x:v>
      </x:c>
      <x:c r="FE24" s="134">
        <x:f t="shared" si="11"/>
        <x:v>66</x:v>
      </x:c>
      <x:c r="FF24" s="134">
        <x:f t="shared" si="30"/>
        <x:v>661.625</x:v>
      </x:c>
      <x:c r="FN24" s="754" t="b">
        <x:v>0</x:v>
      </x:c>
      <x:c r="FO24" s="754"/>
      <x:c r="FP24" s="754" t="b">
        <x:v>0</x:v>
      </x:c>
      <x:c r="FQ24" s="754" t="b">
        <x:f t="shared" si="31"/>
        <x:v>1</x:v>
      </x:c>
      <x:c r="FX24" s="197"/>
      <x:c r="FZ24" s="2"/>
      <x:c r="GA24" s="141"/>
      <x:c r="GB24" s="141"/>
      <x:c r="GC24" s="141"/>
      <x:c r="GD24" s="141"/>
      <x:c r="GE24" s="141"/>
      <x:c r="GF24" s="141"/>
      <x:c r="GG24" s="141"/>
      <x:c r="GH24" s="141"/>
      <x:c r="GI24" s="141"/>
      <x:c r="GJ24" s="141"/>
      <x:c r="GK24" s="2"/>
      <x:c r="ID24" s="781"/>
      <x:c r="IE24" s="1241" t="s">
        <x:v>1410</x:v>
      </x:c>
      <x:c r="IF24" s="1242" t="s">
        <x:v>35</x:v>
      </x:c>
      <x:c r="IG24" s="1243">
        <x:v>6</x:v>
      </x:c>
      <x:c r="IH24" s="1244">
        <x:v>0.375</x:v>
      </x:c>
      <x:c r="II24" s="1242">
        <x:v>7</x:v>
      </x:c>
      <x:c r="IJ24" s="1243">
        <x:v>6</x:v>
      </x:c>
      <x:c r="IK24" s="1244">
        <x:v>2.75</x:v>
      </x:c>
      <x:c r="IL24" s="1242">
        <x:v>5</x:v>
      </x:c>
      <x:c r="IM24" s="1242">
        <x:v>6</x:v>
      </x:c>
      <x:c r="IN24" s="1242" t="s">
        <x:v>116</x:v>
      </x:c>
      <x:c r="IO24" s="1242" t="s">
        <x:v>35</x:v>
      </x:c>
      <x:c r="IP24" s="1242">
        <x:v>5</x:v>
      </x:c>
      <x:c r="IQ24" s="1242">
        <x:v>13</x:v>
      </x:c>
      <x:c r="IR24" s="1242">
        <x:v>4</x:v>
      </x:c>
      <x:c r="IS24" s="1243">
        <x:v>1.75</x:v>
      </x:c>
      <x:c r="IT24" s="1244" t="s">
        <x:v>116</x:v>
      </x:c>
      <x:c r="IU24" s="1242">
        <x:v>54</x:v>
      </x:c>
      <x:c r="IV24" s="1242">
        <x:v>8</x:v>
      </x:c>
      <x:c r="IW24" s="1243">
        <x:v>15.3</x:v>
      </x:c>
      <x:c r="IX24" s="1244" t="s">
        <x:v>35</x:v>
      </x:c>
      <x:c r="IY24" s="1242" t="s">
        <x:v>116</x:v>
      </x:c>
      <x:c r="IZ24" s="1242" t="s">
        <x:v>116</x:v>
      </x:c>
      <x:c r="JA24" s="1243" t="s">
        <x:v>116</x:v>
      </x:c>
      <x:c r="JB24" s="1244" t="s">
        <x:v>116</x:v>
      </x:c>
      <x:c r="JC24" s="1242" t="s">
        <x:v>116</x:v>
      </x:c>
      <x:c r="JD24" s="1242" t="s">
        <x:v>116</x:v>
      </x:c>
      <x:c r="JE24" s="1243" t="s">
        <x:v>116</x:v>
      </x:c>
      <x:c r="JF24" s="1244" t="s">
        <x:v>116</x:v>
      </x:c>
      <x:c r="JG24" s="1242" t="s">
        <x:v>116</x:v>
      </x:c>
      <x:c r="JH24" s="1242" t="s">
        <x:v>116</x:v>
      </x:c>
      <x:c r="JI24" s="1242" t="s">
        <x:v>116</x:v>
      </x:c>
      <x:c r="JJ24" s="1245" t="s">
        <x:v>116</x:v>
      </x:c>
      <x:c r="JK24" s="1242">
        <x:v>1</x:v>
      </x:c>
      <x:c r="JL24" s="1171">
        <x:f t="shared" ca="1" si="35"/>
        <x:v>1</x:v>
      </x:c>
    </x:row>
    <x:row r="25" spans="1:274" ht="12.6" customHeight="1" thickTop="1" thickBot="1" x14ac:dyDescent="0.25">
      <x:c r="A25" s="1093"/>
      <x:c r="B25" s="1093"/>
      <x:c r="C25" s="1093"/>
      <x:c r="D25" s="1093"/>
      <x:c r="E25" s="1093"/>
      <x:c r="F25" s="1093"/>
      <x:c r="G25" s="1093"/>
      <x:c r="H25" s="1093"/>
      <x:c r="I25" s="1093"/>
      <x:c r="J25" s="1093"/>
      <x:c r="K25" s="1093"/>
      <x:c r="L25" s="1093"/>
      <x:c r="M25" s="1093"/>
      <x:c r="N25" s="1093"/>
      <x:c r="O25" s="1093"/>
      <x:c r="P25" s="1093"/>
      <x:c r="Q25" s="1093"/>
      <x:c r="R25" s="1093"/>
      <x:c r="S25" s="1093"/>
      <x:c r="T25" s="1093"/>
      <x:c r="U25" s="1093"/>
      <x:c r="V25" s="1093"/>
      <x:c r="W25" s="1093"/>
      <x:c r="X25" s="1093"/>
      <x:c r="Y25" s="1093"/>
      <x:c r="Z25" s="1093"/>
      <x:c r="AA25" s="1417"/>
      <x:c r="AB25" s="2764" t="s">
        <x:v>1411</x:v>
      </x:c>
      <x:c r="AC25" s="2772" t="s">
        <x:v>35</x:v>
      </x:c>
      <x:c r="AD25" s="2767">
        <x:v>6</x:v>
      </x:c>
      <x:c r="AE25" s="2771">
        <x:v>0.375</x:v>
      </x:c>
      <x:c r="AF25" s="2772">
        <x:v>7</x:v>
      </x:c>
      <x:c r="AG25" s="2767">
        <x:v>6</x:v>
      </x:c>
      <x:c r="AH25" s="2771">
        <x:v>2.75</x:v>
      </x:c>
      <x:c r="AI25" s="2767">
        <x:v>6</x:v>
      </x:c>
      <x:c r="AJ25" s="2771">
        <x:v>0.375</x:v>
      </x:c>
      <x:c r="AK25" s="2813" t="str">
        <x:f t="shared" si="12"/>
        <x:v/>
      </x:c>
      <x:c r="AL25" s="2814" t="s">
        <x:v>35</x:v>
      </x:c>
      <x:c r="AM25" s="2815">
        <x:v>5</x:v>
      </x:c>
      <x:c r="AN25" s="2772">
        <x:v>13</x:v>
      </x:c>
      <x:c r="AO25" s="2816">
        <x:v>4</x:v>
      </x:c>
      <x:c r="AP25" s="2774">
        <x:v>1.75</x:v>
      </x:c>
      <x:c r="AQ25" s="2817">
        <x:v>1.75</x:v>
      </x:c>
      <x:c r="AR25" s="2770" t="s">
        <x:v>1018</x:v>
      </x:c>
      <x:c r="AS25" s="2771" t="s">
        <x:v>1578</x:v>
      </x:c>
      <x:c r="AT25" s="2818">
        <x:v>0.5</x:v>
      </x:c>
      <x:c r="AU25" s="2819" t="str">
        <x:f t="shared" si="4"/>
        <x:v/>
      </x:c>
      <x:c r="AV25" s="2776" t="s">
        <x:v>1018</x:v>
      </x:c>
      <x:c r="AW25" s="2771" t="s">
        <x:v>1581</x:v>
      </x:c>
      <x:c r="AX25" s="2818">
        <x:v>0.9</x:v>
      </x:c>
      <x:c r="AY25" s="2819" t="str">
        <x:f t="shared" si="5"/>
        <x:v/>
      </x:c>
      <x:c r="AZ25" s="2776" t="s">
        <x:v>1018</x:v>
      </x:c>
      <x:c r="BA25" s="2771" t="s">
        <x:v>1582</x:v>
      </x:c>
      <x:c r="BB25" s="2818">
        <x:v>0.9</x:v>
      </x:c>
      <x:c r="BC25" s="2819" t="str">
        <x:f t="shared" si="6"/>
        <x:v/>
      </x:c>
      <x:c r="BD25" s="2776" t="s">
        <x:v>1018</x:v>
      </x:c>
      <x:c r="BE25" s="2771" t="s">
        <x:v>1583</x:v>
      </x:c>
      <x:c r="BF25" s="2818">
        <x:v>0.6</x:v>
      </x:c>
      <x:c r="BG25" s="2819" t="str">
        <x:f t="shared" si="7"/>
        <x:v/>
      </x:c>
      <x:c r="BH25" s="261"/>
      <x:c r="BJ25" s="143"/>
      <x:c r="BL25" s="1798"/>
      <x:c r="BW25" s="991">
        <x:f t="shared" si="25"/>
        <x:v>27</x:v>
      </x:c>
      <x:c r="BX25" s="991" t="str">
        <x:f t="shared" si="32"/>
        <x:v>G11</x:v>
      </x:c>
      <x:c r="BY25" s="991" t="b">
        <x:f t="shared" si="26"/>
        <x:v>0</x:v>
      </x:c>
      <x:c r="BZ25" s="1303" t="b">
        <x:f t="shared" si="33"/>
        <x:v>0</x:v>
      </x:c>
      <x:c r="CB25" s="1934"/>
      <x:c r="CC25" s="1935"/>
      <x:c r="CD25" s="1935"/>
      <x:c r="CE25" s="1935"/>
      <x:c r="CF25" s="1936"/>
      <x:c r="CG25" s="1929"/>
      <x:c r="CH25" s="1930"/>
      <x:c r="CI25" s="1930"/>
      <x:c r="CJ25" s="1930"/>
      <x:c r="CK25" s="1930"/>
      <x:c r="CL25" s="1930"/>
      <x:c r="CM25" s="1930"/>
      <x:c r="CN25" s="1931"/>
      <x:c r="CO25" s="1931"/>
      <x:c r="CP25" s="1932"/>
      <x:c r="CQ25" s="1943"/>
      <x:c r="CR25" s="1944"/>
      <x:c r="CS25" s="1944"/>
      <x:c r="CT25" s="1944"/>
      <x:c r="CU25" s="1944"/>
      <x:c r="CV25" s="1944"/>
      <x:c r="CW25" s="1944"/>
      <x:c r="CX25" s="1945"/>
      <x:c r="CY25" s="1945"/>
      <x:c r="CZ25" s="1946"/>
      <x:c r="DA25" s="1576"/>
      <x:c r="DB25" s="1947"/>
      <x:c r="DC25" s="1928"/>
      <x:c r="DD25" s="1949"/>
      <x:c r="DE25" s="1950"/>
      <x:c r="DF25" s="141"/>
      <x:c r="DG25" s="141"/>
      <x:c r="DH25" s="672"/>
      <x:c r="DI25" s="673"/>
      <x:c r="DJ25" s="692"/>
      <x:c r="DK25" s="1331"/>
      <x:c r="DL25" s="674"/>
      <x:c r="DM25" s="693"/>
      <x:c r="DN25" s="1334"/>
      <x:c r="DO25" s="675"/>
      <x:c r="DP25" s="676"/>
      <x:c r="DQ25" s="1419"/>
      <x:c r="DR25" s="677"/>
      <x:c r="DS25" s="1611"/>
      <x:c r="DT25" s="1606"/>
      <x:c r="DU25" s="1607"/>
      <x:c r="DV25" s="678"/>
      <x:c r="DW25" s="1336"/>
      <x:c r="DX25" s="679"/>
      <x:c r="DY25" s="674"/>
      <x:c r="DZ25" s="678"/>
      <x:c r="EA25" s="1336"/>
      <x:c r="EB25" s="679"/>
      <x:c r="EC25" s="674"/>
      <x:c r="ED25" s="678"/>
      <x:c r="EE25" s="1336"/>
      <x:c r="EF25" s="679"/>
      <x:c r="EG25" s="674"/>
      <x:c r="EH25" s="678"/>
      <x:c r="EI25" s="1336"/>
      <x:c r="EJ25" s="679"/>
      <x:c r="EK25" s="680"/>
      <x:c r="EL25" s="141"/>
      <x:c r="EM25" s="1004"/>
      <x:c r="EN25" s="930"/>
      <x:c r="EO25" s="931"/>
      <x:c r="EP25" s="141"/>
      <x:c r="EQ25" s="141"/>
      <x:c r="ER25" s="141"/>
      <x:c r="ES25" s="141"/>
      <x:c r="ET25" s="2106"/>
      <x:c r="EU25" s="2107"/>
      <x:c r="EX25" s="503" t="str">
        <x:f t="shared" si="27"/>
        <x:v>G11B</x:v>
      </x:c>
      <x:c r="EY25" s="940" t="b">
        <x:f t="shared" ca="1" si="8"/>
        <x:v>1</x:v>
      </x:c>
      <x:c r="EZ25" s="940">
        <x:f t="shared" si="28"/>
        <x:v>5</x:v>
      </x:c>
      <x:c r="FA25" s="958" t="b">
        <x:f t="shared" si="34"/>
        <x:v>1</x:v>
      </x:c>
      <x:c r="FB25" s="134">
        <x:f t="shared" si="29"/>
        <x:v>668</x:v>
      </x:c>
      <x:c r="FC25" s="134">
        <x:f t="shared" si="9"/>
        <x:v>72.375</x:v>
      </x:c>
      <x:c r="FD25" s="134">
        <x:f t="shared" si="10"/>
        <x:v>523.25</x:v>
      </x:c>
      <x:c r="FE25" s="134">
        <x:f t="shared" si="11"/>
        <x:v>72.375</x:v>
      </x:c>
      <x:c r="FF25" s="134">
        <x:f t="shared" si="30"/>
        <x:v>668</x:v>
      </x:c>
      <x:c r="FN25" s="754" t="b">
        <x:v>0</x:v>
      </x:c>
      <x:c r="FO25" s="754"/>
      <x:c r="FP25" s="754" t="b">
        <x:v>0</x:v>
      </x:c>
      <x:c r="FQ25" s="754" t="b">
        <x:f t="shared" si="31"/>
        <x:v>1</x:v>
      </x:c>
      <x:c r="FX25" s="197"/>
      <x:c r="FZ25" s="2"/>
      <x:c r="GA25" s="2245" t="s">
        <x:v>1140</x:v>
      </x:c>
      <x:c r="GB25" s="2245"/>
      <x:c r="GC25" s="2245"/>
      <x:c r="GD25" s="2245"/>
      <x:c r="GE25" s="2245"/>
      <x:c r="GF25" s="2245"/>
      <x:c r="GG25" s="1931"/>
      <x:c r="GH25" s="1931"/>
      <x:c r="GI25" s="1931"/>
      <x:c r="GJ25" s="1931"/>
      <x:c r="GK25" s="2"/>
      <x:c r="ID25" s="781"/>
      <x:c r="IE25" s="1241" t="s">
        <x:v>1411</x:v>
      </x:c>
      <x:c r="IF25" s="1242" t="s">
        <x:v>35</x:v>
      </x:c>
      <x:c r="IG25" s="1243">
        <x:v>6</x:v>
      </x:c>
      <x:c r="IH25" s="1244">
        <x:v>0.375</x:v>
      </x:c>
      <x:c r="II25" s="1242">
        <x:v>7</x:v>
      </x:c>
      <x:c r="IJ25" s="1243">
        <x:v>6</x:v>
      </x:c>
      <x:c r="IK25" s="1244">
        <x:v>2.75</x:v>
      </x:c>
      <x:c r="IL25" s="1242">
        <x:v>6</x:v>
      </x:c>
      <x:c r="IM25" s="1242">
        <x:v>0.375</x:v>
      </x:c>
      <x:c r="IN25" s="1242" t="s">
        <x:v>116</x:v>
      </x:c>
      <x:c r="IO25" s="1242" t="s">
        <x:v>35</x:v>
      </x:c>
      <x:c r="IP25" s="1242">
        <x:v>5</x:v>
      </x:c>
      <x:c r="IQ25" s="1242">
        <x:v>13</x:v>
      </x:c>
      <x:c r="IR25" s="1242">
        <x:v>4</x:v>
      </x:c>
      <x:c r="IS25" s="1243">
        <x:v>1.75</x:v>
      </x:c>
      <x:c r="IT25" s="1244">
        <x:v>1.75</x:v>
      </x:c>
      <x:c r="IU25" s="1242" t="s">
        <x:v>1018</x:v>
      </x:c>
      <x:c r="IV25" s="1242" t="s">
        <x:v>1578</x:v>
      </x:c>
      <x:c r="IW25" s="1243">
        <x:v>0.5</x:v>
      </x:c>
      <x:c r="IX25" s="1244" t="s">
        <x:v>116</x:v>
      </x:c>
      <x:c r="IY25" s="1242" t="s">
        <x:v>1018</x:v>
      </x:c>
      <x:c r="IZ25" s="1242" t="s">
        <x:v>1581</x:v>
      </x:c>
      <x:c r="JA25" s="1243">
        <x:v>0.9</x:v>
      </x:c>
      <x:c r="JB25" s="1244" t="s">
        <x:v>116</x:v>
      </x:c>
      <x:c r="JC25" s="1242" t="s">
        <x:v>1018</x:v>
      </x:c>
      <x:c r="JD25" s="1242" t="s">
        <x:v>1582</x:v>
      </x:c>
      <x:c r="JE25" s="1243">
        <x:v>0.9</x:v>
      </x:c>
      <x:c r="JF25" s="1244" t="s">
        <x:v>116</x:v>
      </x:c>
      <x:c r="JG25" s="1242" t="s">
        <x:v>1018</x:v>
      </x:c>
      <x:c r="JH25" s="1242" t="s">
        <x:v>1583</x:v>
      </x:c>
      <x:c r="JI25" s="1242">
        <x:v>0.6</x:v>
      </x:c>
      <x:c r="JJ25" s="1245" t="s">
        <x:v>116</x:v>
      </x:c>
      <x:c r="JK25" s="1242">
        <x:v>2</x:v>
      </x:c>
      <x:c r="JL25" s="1171">
        <x:f t="shared" ca="1" si="35"/>
        <x:v>1</x:v>
      </x:c>
    </x:row>
    <x:row r="26" spans="1:274" ht="12.6" customHeight="1" thickTop="1" thickBot="1" x14ac:dyDescent="0.25">
      <x:c r="A26" s="2068" t="s">
        <x:v>40</x:v>
      </x:c>
      <x:c r="B26" s="2069" t="s">
        <x:v>130</x:v>
      </x:c>
      <x:c r="C26" s="2069" t="s">
        <x:v>31</x:v>
      </x:c>
      <x:c r="D26" s="2069" t="s">
        <x:v>25</x:v>
      </x:c>
      <x:c r="E26" s="2073"/>
      <x:c r="F26" s="2079" t="s">
        <x:v>88</x:v>
      </x:c>
      <x:c r="G26" s="1969" t="s">
        <x:v>9</x:v>
      </x:c>
      <x:c r="H26" s="2077"/>
      <x:c r="I26" s="2077"/>
      <x:c r="J26" s="2077" t="s">
        <x:v>10</x:v>
      </x:c>
      <x:c r="K26" s="2077"/>
      <x:c r="L26" s="1967"/>
      <x:c r="M26" s="2071" t="s">
        <x:v>11</x:v>
      </x:c>
      <x:c r="N26" s="2072"/>
      <x:c r="O26" s="2074" t="s">
        <x:v>12</x:v>
      </x:c>
      <x:c r="P26" s="2075"/>
      <x:c r="Q26" s="2075" t="s">
        <x:v>13</x:v>
      </x:c>
      <x:c r="R26" s="2086"/>
      <x:c r="S26" s="2076" t="s">
        <x:v>14</x:v>
      </x:c>
      <x:c r="T26" s="2077"/>
      <x:c r="U26" s="2077"/>
      <x:c r="V26" s="2077"/>
      <x:c r="W26" s="2078"/>
      <x:c r="X26" s="1969" t="s">
        <x:v>111</x:v>
      </x:c>
      <x:c r="Y26" s="1967"/>
      <x:c r="Z26" s="1116" t="s">
        <x:v>15</x:v>
      </x:c>
      <x:c r="AA26" s="2116" t="s">
        <x:v>939</x:v>
      </x:c>
      <x:c r="AB26" s="2764" t="str">
        <x:f t="shared" si="37"/>
        <x:v/>
      </x:c>
      <x:c r="AC26" s="2772" t="str">
        <x:f t="shared" si="38"/>
        <x:v/>
      </x:c>
      <x:c r="AD26" s="2767" t="str">
        <x:f t="shared" ca="1" si="39"/>
        <x:v/>
      </x:c>
      <x:c r="AE26" s="2771" t="str">
        <x:f t="shared" ca="1" si="40"/>
        <x:v/>
      </x:c>
      <x:c r="AF26" s="2772" t="str">
        <x:f t="shared" ca="1" si="41"/>
        <x:v/>
      </x:c>
      <x:c r="AG26" s="2767" t="str">
        <x:f t="shared" ca="1" si="42"/>
        <x:v/>
      </x:c>
      <x:c r="AH26" s="2771" t="str">
        <x:f t="shared" ca="1" si="43"/>
        <x:v/>
      </x:c>
      <x:c r="AI26" s="2767" t="str">
        <x:f t="shared" ca="1" si="44"/>
        <x:v/>
      </x:c>
      <x:c r="AJ26" s="2771" t="str">
        <x:f t="shared" ca="1" si="45"/>
        <x:v/>
      </x:c>
      <x:c r="AK26" s="2813" t="str">
        <x:f t="shared" si="12"/>
        <x:v/>
      </x:c>
      <x:c r="AL26" s="2814" t="str">
        <x:f t="shared" si="46"/>
        <x:v/>
      </x:c>
      <x:c r="AM26" s="2815" t="str">
        <x:f t="shared" si="47"/>
        <x:v/>
      </x:c>
      <x:c r="AN26" s="2772" t="str">
        <x:f t="shared" si="47"/>
        <x:v/>
      </x:c>
      <x:c r="AO26" s="2816" t="str">
        <x:f t="shared" si="47"/>
        <x:v/>
      </x:c>
      <x:c r="AP26" s="2774" t="str">
        <x:f t="shared" si="3"/>
        <x:v/>
      </x:c>
      <x:c r="AQ26" s="2817" t="str">
        <x:f t="shared" si="3"/>
        <x:v/>
      </x:c>
      <x:c r="AR26" s="2770" t="s">
        <x:v>1018</x:v>
      </x:c>
      <x:c r="AS26" s="2771" t="s">
        <x:v>1584</x:v>
      </x:c>
      <x:c r="AT26" s="2818">
        <x:v>0.6</x:v>
      </x:c>
      <x:c r="AU26" s="2819" t="str">
        <x:f t="shared" si="4"/>
        <x:v/>
      </x:c>
      <x:c r="AV26" s="2776" t="str">
        <x:f t="shared" si="16"/>
        <x:v/>
      </x:c>
      <x:c r="AW26" s="2771" t="str">
        <x:f t="shared" si="17"/>
        <x:v/>
      </x:c>
      <x:c r="AX26" s="2818" t="str">
        <x:f t="shared" si="18"/>
        <x:v/>
      </x:c>
      <x:c r="AY26" s="2819" t="str">
        <x:f t="shared" si="5"/>
        <x:v/>
      </x:c>
      <x:c r="AZ26" s="2776" t="str">
        <x:f t="shared" si="19"/>
        <x:v/>
      </x:c>
      <x:c r="BA26" s="2771" t="str">
        <x:f t="shared" si="20"/>
        <x:v/>
      </x:c>
      <x:c r="BB26" s="2818" t="str">
        <x:f t="shared" si="21"/>
        <x:v/>
      </x:c>
      <x:c r="BC26" s="2819" t="str">
        <x:f t="shared" si="6"/>
        <x:v/>
      </x:c>
      <x:c r="BD26" s="2776" t="str">
        <x:f t="shared" si="22"/>
        <x:v/>
      </x:c>
      <x:c r="BE26" s="2771" t="str">
        <x:f t="shared" si="23"/>
        <x:v/>
      </x:c>
      <x:c r="BF26" s="2818" t="str">
        <x:f t="shared" si="24"/>
        <x:v/>
      </x:c>
      <x:c r="BG26" s="2819" t="str">
        <x:f t="shared" si="7"/>
        <x:v/>
      </x:c>
      <x:c r="BH26" s="261"/>
      <x:c r="BJ26" s="143"/>
      <x:c r="BL26" s="1798"/>
      <x:c r="BW26" s="991">
        <x:f t="shared" ca="1" si="25"/>
        <x:v>3</x:v>
      </x:c>
      <x:c r="BX26" s="991" t="str">
        <x:f t="shared" ca="1" si="32"/>
        <x:v>G11</x:v>
      </x:c>
      <x:c r="BY26" s="991" t="b">
        <x:f t="shared" ca="1" si="26"/>
        <x:v>0</x:v>
      </x:c>
      <x:c r="BZ26" s="1303" t="b">
        <x:f t="shared" si="33"/>
        <x:v>0</x:v>
      </x:c>
      <x:c r="CB26" s="2127" t="s">
        <x:v>613</x:v>
      </x:c>
      <x:c r="CC26" s="2058" t="s">
        <x:v>130</x:v>
      </x:c>
      <x:c r="CD26" s="2129" t="s">
        <x:v>478</x:v>
      </x:c>
      <x:c r="CE26" s="2052" t="s">
        <x:v>1291</x:v>
      </x:c>
      <x:c r="CF26" s="2053"/>
      <x:c r="CG26" s="2220" t="s">
        <x:v>1282</x:v>
      </x:c>
      <x:c r="CH26" s="2222" t="s">
        <x:v>595</x:v>
      </x:c>
      <x:c r="CI26" s="2223"/>
      <x:c r="CJ26" s="2222" t="s">
        <x:v>596</x:v>
      </x:c>
      <x:c r="CK26" s="2223"/>
      <x:c r="CL26" s="2238" t="s">
        <x:v>488</x:v>
      </x:c>
      <x:c r="CM26" s="2240" t="s">
        <x:v>790</x:v>
      </x:c>
      <x:c r="CN26" s="1937" t="s">
        <x:v>1276</x:v>
      </x:c>
      <x:c r="CO26" s="1938"/>
      <x:c r="CP26" s="1939"/>
      <x:c r="CQ26" s="2226" t="s">
        <x:v>1282</x:v>
      </x:c>
      <x:c r="CR26" s="2228" t="s">
        <x:v>595</x:v>
      </x:c>
      <x:c r="CS26" s="2229"/>
      <x:c r="CT26" s="2228" t="s">
        <x:v>596</x:v>
      </x:c>
      <x:c r="CU26" s="2229"/>
      <x:c r="CV26" s="2056" t="s">
        <x:v>488</x:v>
      </x:c>
      <x:c r="CW26" s="2236" t="s">
        <x:v>790</x:v>
      </x:c>
      <x:c r="CX26" s="1940" t="s">
        <x:v>1276</x:v>
      </x:c>
      <x:c r="CY26" s="1941"/>
      <x:c r="CZ26" s="1942"/>
      <x:c r="DA26" s="2218" t="s">
        <x:v>806</x:v>
      </x:c>
      <x:c r="DB26" s="1948"/>
      <x:c r="DC26" s="1932"/>
      <x:c r="DD26" s="2233" t="s">
        <x:v>1284</x:v>
      </x:c>
      <x:c r="DE26" s="2235" t="s">
        <x:v>1285</x:v>
      </x:c>
      <x:c r="DF26" s="141"/>
      <x:c r="DG26" s="141"/>
      <x:c r="DH26" s="672"/>
      <x:c r="DI26" s="673"/>
      <x:c r="DJ26" s="692"/>
      <x:c r="DK26" s="1331"/>
      <x:c r="DL26" s="674"/>
      <x:c r="DM26" s="693"/>
      <x:c r="DN26" s="1334"/>
      <x:c r="DO26" s="675"/>
      <x:c r="DP26" s="676"/>
      <x:c r="DQ26" s="1419"/>
      <x:c r="DR26" s="677"/>
      <x:c r="DS26" s="1611"/>
      <x:c r="DT26" s="1606"/>
      <x:c r="DU26" s="1607"/>
      <x:c r="DV26" s="678"/>
      <x:c r="DW26" s="1336"/>
      <x:c r="DX26" s="679"/>
      <x:c r="DY26" s="674"/>
      <x:c r="DZ26" s="678"/>
      <x:c r="EA26" s="1336"/>
      <x:c r="EB26" s="679"/>
      <x:c r="EC26" s="674"/>
      <x:c r="ED26" s="678"/>
      <x:c r="EE26" s="1336"/>
      <x:c r="EF26" s="679"/>
      <x:c r="EG26" s="674"/>
      <x:c r="EH26" s="678"/>
      <x:c r="EI26" s="1336"/>
      <x:c r="EJ26" s="679"/>
      <x:c r="EK26" s="680"/>
      <x:c r="EL26" s="141"/>
      <x:c r="EM26" s="2196" t="s">
        <x:v>613</x:v>
      </x:c>
      <x:c r="EN26" s="2243" t="s">
        <x:v>588</x:v>
      </x:c>
      <x:c r="EO26" s="2244"/>
      <x:c r="EP26" s="2244"/>
      <x:c r="EQ26" s="2196" t="s">
        <x:v>589</x:v>
      </x:c>
      <x:c r="ER26" s="2231" t="s">
        <x:v>1286</x:v>
      </x:c>
      <x:c r="ES26" s="2232"/>
      <x:c r="ET26" s="2108"/>
      <x:c r="EU26" s="2109"/>
      <x:c r="EX26" s="503" t="str">
        <x:f t="shared" ca="1" si="27"/>
        <x:v>G11B</x:v>
      </x:c>
      <x:c r="EY26" s="940" t="str">
        <x:f t="shared" si="8"/>
        <x:v/>
      </x:c>
      <x:c r="EZ26" s="940" t="str">
        <x:f t="shared" si="28"/>
        <x:v/>
      </x:c>
      <x:c r="FA26" s="958" t="b">
        <x:f t="shared" ca="1" si="34"/>
        <x:v>1</x:v>
      </x:c>
      <x:c r="FB26" s="134">
        <x:f t="shared" ca="1" si="29"/>
        <x:v>668</x:v>
      </x:c>
      <x:c r="FC26" s="134">
        <x:f t="shared" ca="1" si="9"/>
        <x:v>0</x:v>
      </x:c>
      <x:c r="FD26" s="134">
        <x:f t="shared" ca="1" si="10"/>
        <x:v>0</x:v>
      </x:c>
      <x:c r="FE26" s="134">
        <x:f t="shared" ca="1" si="11"/>
        <x:v>0</x:v>
      </x:c>
      <x:c r="FF26" s="134">
        <x:f t="shared" ca="1" si="30"/>
        <x:v>664</x:v>
      </x:c>
      <x:c r="FN26" s="754" t="b">
        <x:v>0</x:v>
      </x:c>
      <x:c r="FO26" s="754"/>
      <x:c r="FP26" s="754" t="b">
        <x:v>0</x:v>
      </x:c>
      <x:c r="FQ26" s="754" t="b">
        <x:f t="shared" si="31"/>
        <x:v>1</x:v>
      </x:c>
      <x:c r="FX26" s="197"/>
      <x:c r="FZ26" s="2"/>
      <x:c r="GA26" s="2118" t="s">
        <x:v>708</x:v>
      </x:c>
      <x:c r="GB26" s="2119"/>
      <x:c r="GC26" s="2118" t="s">
        <x:v>558</x:v>
      </x:c>
      <x:c r="GD26" s="2119"/>
      <x:c r="GE26" s="2120" t="s">
        <x:v>711</x:v>
      </x:c>
      <x:c r="GF26" s="2122" t="s">
        <x:v>632</x:v>
      </x:c>
      <x:c r="GG26" s="2118" t="s">
        <x:v>1142</x:v>
      </x:c>
      <x:c r="GH26" s="2119"/>
      <x:c r="GI26" s="2118" t="s">
        <x:v>1141</x:v>
      </x:c>
      <x:c r="GJ26" s="2119"/>
      <x:c r="GK26" s="2123" t="s">
        <x:v>712</x:v>
      </x:c>
      <x:c r="GL26" s="2123" t="s">
        <x:v>713</x:v>
      </x:c>
      <x:c r="GM26" s="2123" t="s">
        <x:v>714</x:v>
      </x:c>
      <x:c r="GZ26" s="145"/>
      <x:c r="HA26" s="2175" t="s">
        <x:v>632</x:v>
      </x:c>
      <x:c r="HB26" s="2177" t="s">
        <x:v>1134</x:v>
      </x:c>
      <x:c r="HC26" s="2177" t="s">
        <x:v>1159</x:v>
      </x:c>
      <x:c r="HD26" s="2177" t="str">
        <x:f>IF($HA$1,"Bay Length","Overall Length")</x:f>
        <x:v>Overall Length</x:v>
      </x:c>
      <x:c r="HE26" s="2192"/>
      <x:c r="HF26" s="2177" t="str">
        <x:f>IF($HA$1,"L Sect #","TC Width")</x:f>
        <x:v>TC Width</x:v>
      </x:c>
      <x:c r="HG26" s="2185" t="str">
        <x:f>IF($HA$1,"L Min Sup Wid","TCXL Feet")</x:f>
        <x:v>TCXL Feet</x:v>
      </x:c>
      <x:c r="HH26" s="2185" t="str">
        <x:f>IF($HA$1,"L Max Sup Wid","TCXL Inch")</x:f>
        <x:v>TCXL Inch</x:v>
      </x:c>
      <x:c r="HI26" s="2185" t="str">
        <x:f>IF($HA$1,"L Min Flg Ga","TCXL Type")</x:f>
        <x:v>TCXL Type</x:v>
      </x:c>
      <x:c r="HJ26" s="2185" t="str">
        <x:f>IF($HA$1,"L Max Flg Ga","TCXR Feet")</x:f>
        <x:v>TCXR Feet</x:v>
      </x:c>
      <x:c r="HK26" s="2185" t="str">
        <x:f>IF($HA$1,"L Skew","TCXR Inch")</x:f>
        <x:v>TCXR Inch</x:v>
      </x:c>
      <x:c r="HL26" s="2185" t="str">
        <x:f>IF($HA$1,"L Brg Slp","TCXR Type")</x:f>
        <x:v>TCXR Type</x:v>
      </x:c>
      <x:c r="HM26" s="2177" t="str">
        <x:f>IF($HA$1,"R Sect #","BDL")</x:f>
        <x:v>BDL</x:v>
      </x:c>
      <x:c r="HN26" s="2185" t="str">
        <x:f>IF($HA$1,"R Min Sup Wid","BDR")</x:f>
        <x:v>BDR</x:v>
      </x:c>
      <x:c r="HO26" s="2185" t="str">
        <x:f>IF($HA$1,"R Max Sup Wid","BCXL Feet")</x:f>
        <x:v>BCXL Feet</x:v>
      </x:c>
      <x:c r="HP26" s="2185" t="str">
        <x:f>IF($HA$1,"R Min Flg Ga","BCXL Inch")</x:f>
        <x:v>BCXL Inch</x:v>
      </x:c>
      <x:c r="HQ26" s="2185" t="str">
        <x:f>IF($HA$1,"R Max Flg Ga","BCXR Feet")</x:f>
        <x:v>BCXR Feet</x:v>
      </x:c>
      <x:c r="HR26" s="2185" t="str">
        <x:f>IF($HA$1,"R Skew","BCXR Inch")</x:f>
        <x:v>BCXR Inch</x:v>
      </x:c>
      <x:c r="HS26" s="2185" t="str">
        <x:f>IF($HA$1,"R Brg Slp","HL Feet")</x:f>
        <x:v>HL Feet</x:v>
      </x:c>
      <x:c r="HT26" s="2185" t="str">
        <x:f>IF($HA$1,"TC Slope","HL Inch")</x:f>
        <x:v>HL Inch</x:v>
      </x:c>
      <x:c r="HU26" s="2185" t="str">
        <x:f>IF($HA$1,"Load Notes","HR Feet")</x:f>
        <x:v>HR Feet</x:v>
      </x:c>
      <x:c r="HV26" s="2185" t="str">
        <x:f>IF($HA$1,"Spcl Notes","HR Inch")</x:f>
        <x:v>HR Inch</x:v>
      </x:c>
      <x:c r="HW26" s="2185" t="str">
        <x:f>IF($HA$1,"# KB","Slot Ga")</x:f>
        <x:v>Slot Ga</x:v>
      </x:c>
      <x:c r="HX26" s="2185" t="str">
        <x:f>IF($HA$1,"TC Width","L Seat Slp")</x:f>
        <x:v>L Seat Slp</x:v>
      </x:c>
      <x:c r="HY26" s="2185" t="str">
        <x:f>IF($HA$1,"TCL Override","R Seat Slp")</x:f>
        <x:v>R Seat Slp</x:v>
      </x:c>
      <x:c r="HZ26" s="2185" t="str">
        <x:f>IF($HA$1,"TCR Override","Load Notes")</x:f>
        <x:v>Load Notes</x:v>
      </x:c>
      <x:c r="IA26" s="2185" t="str">
        <x:f>IF($HA$1,"L-BL Override","Spcl Notes")</x:f>
        <x:v>Spcl Notes</x:v>
      </x:c>
      <x:c r="IB26" s="2246" t="str">
        <x:f>IF($HA$1,"R-BL Override","# KB")</x:f>
        <x:v># KB</x:v>
      </x:c>
      <x:c r="IC26" s="2185" t="str">
        <x:f>IF($HA$1,"BDL Override","-")</x:f>
        <x:v>-</x:v>
      </x:c>
      <x:c r="ID26" s="2216" t="str">
        <x:f>IF($HA$1,"BDR Override","-")</x:f>
        <x:v>-</x:v>
      </x:c>
      <x:c r="IE26" s="1241" t="s">
        <x:v>116</x:v>
      </x:c>
      <x:c r="IF26" s="1242" t="s">
        <x:v>116</x:v>
      </x:c>
      <x:c r="IG26" s="1243" t="s">
        <x:v>116</x:v>
      </x:c>
      <x:c r="IH26" s="1244" t="s">
        <x:v>116</x:v>
      </x:c>
      <x:c r="II26" s="1242" t="s">
        <x:v>116</x:v>
      </x:c>
      <x:c r="IJ26" s="1243" t="s">
        <x:v>116</x:v>
      </x:c>
      <x:c r="IK26" s="1244" t="s">
        <x:v>116</x:v>
      </x:c>
      <x:c r="IL26" s="1242" t="s">
        <x:v>116</x:v>
      </x:c>
      <x:c r="IM26" s="1242" t="s">
        <x:v>116</x:v>
      </x:c>
      <x:c r="IN26" s="1242" t="s">
        <x:v>116</x:v>
      </x:c>
      <x:c r="IO26" s="1242" t="s">
        <x:v>116</x:v>
      </x:c>
      <x:c r="IP26" s="1242" t="s">
        <x:v>116</x:v>
      </x:c>
      <x:c r="IQ26" s="1242" t="s">
        <x:v>116</x:v>
      </x:c>
      <x:c r="IR26" s="1242" t="s">
        <x:v>116</x:v>
      </x:c>
      <x:c r="IS26" s="1243" t="s">
        <x:v>116</x:v>
      </x:c>
      <x:c r="IT26" s="1244" t="s">
        <x:v>116</x:v>
      </x:c>
      <x:c r="IU26" s="1242" t="s">
        <x:v>1018</x:v>
      </x:c>
      <x:c r="IV26" s="1242" t="s">
        <x:v>1584</x:v>
      </x:c>
      <x:c r="IW26" s="1243">
        <x:v>0.6</x:v>
      </x:c>
      <x:c r="IX26" s="1244" t="s">
        <x:v>116</x:v>
      </x:c>
      <x:c r="IY26" s="1242" t="s">
        <x:v>116</x:v>
      </x:c>
      <x:c r="IZ26" s="1242" t="s">
        <x:v>116</x:v>
      </x:c>
      <x:c r="JA26" s="1243" t="s">
        <x:v>116</x:v>
      </x:c>
      <x:c r="JB26" s="1244" t="s">
        <x:v>116</x:v>
      </x:c>
      <x:c r="JC26" s="1242" t="s">
        <x:v>116</x:v>
      </x:c>
      <x:c r="JD26" s="1242" t="s">
        <x:v>116</x:v>
      </x:c>
      <x:c r="JE26" s="1243" t="s">
        <x:v>116</x:v>
      </x:c>
      <x:c r="JF26" s="1244" t="s">
        <x:v>116</x:v>
      </x:c>
      <x:c r="JG26" s="1242" t="s">
        <x:v>116</x:v>
      </x:c>
      <x:c r="JH26" s="1242" t="s">
        <x:v>116</x:v>
      </x:c>
      <x:c r="JI26" s="1242" t="s">
        <x:v>116</x:v>
      </x:c>
      <x:c r="JJ26" s="1245" t="s">
        <x:v>116</x:v>
      </x:c>
      <x:c r="JK26" s="1242"/>
      <x:c r="JL26" s="1171">
        <x:f t="shared" ca="1" si="35"/>
        <x:v>2</x:v>
      </x:c>
    </x:row>
    <x:row r="27" spans="1:274" ht="12.6" customHeight="1" thickTop="1" thickBot="1" x14ac:dyDescent="0.25">
      <x:c r="A27" s="2068"/>
      <x:c r="B27" s="2069"/>
      <x:c r="C27" s="2069"/>
      <x:c r="D27" s="2069"/>
      <x:c r="E27" s="2073"/>
      <x:c r="F27" s="2079"/>
      <x:c r="G27" s="1977" t="s">
        <x:v>16</x:v>
      </x:c>
      <x:c r="H27" s="2070"/>
      <x:c r="I27" s="1102" t="s">
        <x:v>732</x:v>
      </x:c>
      <x:c r="J27" s="2070" t="s">
        <x:v>16</x:v>
      </x:c>
      <x:c r="K27" s="2070"/>
      <x:c r="L27" s="1065" t="s">
        <x:v>732</x:v>
      </x:c>
      <x:c r="M27" s="1106" t="s">
        <x:v>18</x:v>
      </x:c>
      <x:c r="N27" s="461" t="s">
        <x:v>19</x:v>
      </x:c>
      <x:c r="O27" s="2074"/>
      <x:c r="P27" s="2075"/>
      <x:c r="Q27" s="2075"/>
      <x:c r="R27" s="2086"/>
      <x:c r="S27" s="1980" t="s">
        <x:v>80</x:v>
      </x:c>
      <x:c r="T27" s="2070"/>
      <x:c r="U27" s="2070" t="s">
        <x:v>81</x:v>
      </x:c>
      <x:c r="V27" s="2070"/>
      <x:c r="W27" s="461" t="s">
        <x:v>27</x:v>
      </x:c>
      <x:c r="X27" s="1101" t="s">
        <x:v>112</x:v>
      </x:c>
      <x:c r="Y27" s="1065" t="s">
        <x:v>113</x:v>
      </x:c>
      <x:c r="Z27" s="1117" t="s">
        <x:v>57</x:v>
      </x:c>
      <x:c r="AA27" s="2117"/>
      <x:c r="AB27" s="2764" t="s">
        <x:v>1412</x:v>
      </x:c>
      <x:c r="AC27" s="2772" t="s">
        <x:v>35</x:v>
      </x:c>
      <x:c r="AD27" s="2767">
        <x:v>6</x:v>
      </x:c>
      <x:c r="AE27" s="2771">
        <x:v>0.375</x:v>
      </x:c>
      <x:c r="AF27" s="2772">
        <x:v>7</x:v>
      </x:c>
      <x:c r="AG27" s="2767">
        <x:v>6</x:v>
      </x:c>
      <x:c r="AH27" s="2771">
        <x:v>2.75</x:v>
      </x:c>
      <x:c r="AI27" s="2767">
        <x:v>5</x:v>
      </x:c>
      <x:c r="AJ27" s="2771">
        <x:v>8.375</x:v>
      </x:c>
      <x:c r="AK27" s="2813" t="str">
        <x:f t="shared" si="12"/>
        <x:v/>
      </x:c>
      <x:c r="AL27" s="2814" t="s">
        <x:v>35</x:v>
      </x:c>
      <x:c r="AM27" s="2815">
        <x:v>5</x:v>
      </x:c>
      <x:c r="AN27" s="2772">
        <x:v>13</x:v>
      </x:c>
      <x:c r="AO27" s="2816">
        <x:v>4</x:v>
      </x:c>
      <x:c r="AP27" s="2774">
        <x:v>1.75</x:v>
      </x:c>
      <x:c r="AQ27" s="2817" t="str">
        <x:f t="shared" si="3"/>
        <x:v/>
      </x:c>
      <x:c r="AR27" s="2770" t="str">
        <x:f t="shared" si="13"/>
        <x:v/>
      </x:c>
      <x:c r="AS27" s="2771" t="str">
        <x:f t="shared" si="14"/>
        <x:v/>
      </x:c>
      <x:c r="AT27" s="2818" t="str">
        <x:f t="shared" si="15"/>
        <x:v/>
      </x:c>
      <x:c r="AU27" s="2819" t="str">
        <x:f t="shared" si="4"/>
        <x:v/>
      </x:c>
      <x:c r="AV27" s="2776" t="str">
        <x:f t="shared" si="16"/>
        <x:v/>
      </x:c>
      <x:c r="AW27" s="2771" t="str">
        <x:f t="shared" si="17"/>
        <x:v/>
      </x:c>
      <x:c r="AX27" s="2818" t="str">
        <x:f t="shared" si="18"/>
        <x:v/>
      </x:c>
      <x:c r="AY27" s="2819" t="str">
        <x:f t="shared" si="5"/>
        <x:v/>
      </x:c>
      <x:c r="AZ27" s="2776" t="str">
        <x:f t="shared" si="19"/>
        <x:v/>
      </x:c>
      <x:c r="BA27" s="2771" t="str">
        <x:f t="shared" si="20"/>
        <x:v/>
      </x:c>
      <x:c r="BB27" s="2818" t="str">
        <x:f t="shared" si="21"/>
        <x:v/>
      </x:c>
      <x:c r="BC27" s="2819" t="str">
        <x:f t="shared" si="6"/>
        <x:v/>
      </x:c>
      <x:c r="BD27" s="2776" t="str">
        <x:f t="shared" si="22"/>
        <x:v/>
      </x:c>
      <x:c r="BE27" s="2771" t="str">
        <x:f t="shared" si="23"/>
        <x:v/>
      </x:c>
      <x:c r="BF27" s="2818" t="str">
        <x:f t="shared" si="24"/>
        <x:v/>
      </x:c>
      <x:c r="BG27" s="2819" t="str">
        <x:f t="shared" si="7"/>
        <x:v/>
      </x:c>
      <x:c r="BH27" s="261"/>
      <x:c r="BJ27" s="517" t="s">
        <x:v>632</x:v>
      </x:c>
      <x:c r="BK27" s="518" t="s">
        <x:v>788</x:v>
      </x:c>
      <x:c r="BL27" s="1799" t="s">
        <x:v>170</x:v>
      </x:c>
      <x:c r="BM27" s="370" t="s">
        <x:v>171</x:v>
      </x:c>
      <x:c r="BN27" s="370" t="s">
        <x:v>172</x:v>
      </x:c>
      <x:c r="BO27" s="370" t="s">
        <x:v>417</x:v>
      </x:c>
      <x:c r="BP27" s="370" t="s">
        <x:v>418</x:v>
      </x:c>
      <x:c r="BQ27" s="370" t="s">
        <x:v>419</x:v>
      </x:c>
      <x:c r="BR27" s="370" t="s">
        <x:v>179</x:v>
      </x:c>
      <x:c r="BS27" s="370" t="s">
        <x:v>176</x:v>
      </x:c>
      <x:c r="BT27" s="370" t="s">
        <x:v>174</x:v>
      </x:c>
      <x:c r="BU27" s="370" t="s">
        <x:v>177</x:v>
      </x:c>
      <x:c r="BV27" s="370" t="s">
        <x:v>178</x:v>
      </x:c>
      <x:c r="BW27" s="991">
        <x:f t="shared" si="25"/>
        <x:v>14</x:v>
      </x:c>
      <x:c r="BX27" s="991" t="str">
        <x:f t="shared" si="32"/>
        <x:v>G12</x:v>
      </x:c>
      <x:c r="BY27" s="991" t="b">
        <x:f t="shared" si="26"/>
        <x:v>0</x:v>
      </x:c>
      <x:c r="BZ27" s="1303" t="b">
        <x:f t="shared" si="33"/>
        <x:v>0</x:v>
      </x:c>
      <x:c r="CB27" s="2128"/>
      <x:c r="CC27" s="2057"/>
      <x:c r="CD27" s="2130"/>
      <x:c r="CE27" s="2054"/>
      <x:c r="CF27" s="2055"/>
      <x:c r="CG27" s="2221"/>
      <x:c r="CH27" s="2224"/>
      <x:c r="CI27" s="2225"/>
      <x:c r="CJ27" s="2224"/>
      <x:c r="CK27" s="2225"/>
      <x:c r="CL27" s="2239"/>
      <x:c r="CM27" s="2241"/>
      <x:c r="CN27" s="1546" t="s">
        <x:v>1283</x:v>
      </x:c>
      <x:c r="CO27" s="1547" t="s">
        <x:v>1278</x:v>
      </x:c>
      <x:c r="CP27" s="1548" t="s">
        <x:v>501</x:v>
      </x:c>
      <x:c r="CQ27" s="2227"/>
      <x:c r="CR27" s="2130"/>
      <x:c r="CS27" s="2230"/>
      <x:c r="CT27" s="2130"/>
      <x:c r="CU27" s="2230"/>
      <x:c r="CV27" s="2057"/>
      <x:c r="CW27" s="2237"/>
      <x:c r="CX27" s="1546" t="s">
        <x:v>1283</x:v>
      </x:c>
      <x:c r="CY27" s="1547" t="s">
        <x:v>1278</x:v>
      </x:c>
      <x:c r="CZ27" s="1548" t="s">
        <x:v>501</x:v>
      </x:c>
      <x:c r="DA27" s="2219"/>
      <x:c r="DB27" s="431" t="s">
        <x:v>418</x:v>
      </x:c>
      <x:c r="DC27" s="432" t="s">
        <x:v>553</x:v>
      </x:c>
      <x:c r="DD27" s="2234"/>
      <x:c r="DE27" s="2234"/>
      <x:c r="DF27" s="141"/>
      <x:c r="DG27" s="141"/>
      <x:c r="DH27" s="672"/>
      <x:c r="DI27" s="673"/>
      <x:c r="DJ27" s="692"/>
      <x:c r="DK27" s="1331"/>
      <x:c r="DL27" s="674"/>
      <x:c r="DM27" s="693"/>
      <x:c r="DN27" s="1334"/>
      <x:c r="DO27" s="675"/>
      <x:c r="DP27" s="676"/>
      <x:c r="DQ27" s="1419"/>
      <x:c r="DR27" s="677"/>
      <x:c r="DS27" s="1611"/>
      <x:c r="DT27" s="1606"/>
      <x:c r="DU27" s="1607"/>
      <x:c r="DV27" s="678"/>
      <x:c r="DW27" s="1336"/>
      <x:c r="DX27" s="679"/>
      <x:c r="DY27" s="674"/>
      <x:c r="DZ27" s="678"/>
      <x:c r="EA27" s="1336"/>
      <x:c r="EB27" s="679"/>
      <x:c r="EC27" s="674"/>
      <x:c r="ED27" s="678"/>
      <x:c r="EE27" s="1336"/>
      <x:c r="EF27" s="679"/>
      <x:c r="EG27" s="674"/>
      <x:c r="EH27" s="678"/>
      <x:c r="EI27" s="1336"/>
      <x:c r="EJ27" s="679"/>
      <x:c r="EK27" s="680"/>
      <x:c r="EL27" s="141"/>
      <x:c r="EM27" s="2197"/>
      <x:c r="EN27" s="522" t="s">
        <x:v>585</x:v>
      </x:c>
      <x:c r="EO27" s="433" t="s">
        <x:v>586</x:v>
      </x:c>
      <x:c r="EP27" s="434" t="s">
        <x:v>587</x:v>
      </x:c>
      <x:c r="EQ27" s="2242"/>
      <x:c r="ER27" s="536" t="s">
        <x:v>606</x:v>
      </x:c>
      <x:c r="ES27" s="537" t="s">
        <x:v>607</x:v>
      </x:c>
      <x:c r="ET27" s="538" t="s">
        <x:v>520</x:v>
      </x:c>
      <x:c r="EU27" s="539" t="s">
        <x:v>169</x:v>
      </x:c>
      <x:c r="EX27" s="503" t="str">
        <x:f t="shared" ca="1" si="27"/>
        <x:v>G12B</x:v>
      </x:c>
      <x:c r="EY27" s="940" t="b">
        <x:f t="shared" ca="1" si="8"/>
        <x:v>1</x:v>
      </x:c>
      <x:c r="EZ27" s="940">
        <x:f t="shared" si="28"/>
        <x:v>5</x:v>
      </x:c>
      <x:c r="FA27" s="958" t="b">
        <x:f t="shared" si="34"/>
        <x:v>1</x:v>
      </x:c>
      <x:c r="FB27" s="134">
        <x:f t="shared" si="29"/>
        <x:v>664</x:v>
      </x:c>
      <x:c r="FC27" s="134">
        <x:f t="shared" si="9"/>
        <x:v>72.375</x:v>
      </x:c>
      <x:c r="FD27" s="134">
        <x:f t="shared" si="10"/>
        <x:v>523.25</x:v>
      </x:c>
      <x:c r="FE27" s="134">
        <x:f t="shared" si="11"/>
        <x:v>68.375</x:v>
      </x:c>
      <x:c r="FF27" s="134">
        <x:f t="shared" si="30"/>
        <x:v>664</x:v>
      </x:c>
      <x:c r="FN27" s="754" t="b">
        <x:v>0</x:v>
      </x:c>
      <x:c r="FO27" s="754"/>
      <x:c r="FP27" s="754" t="b">
        <x:v>0</x:v>
      </x:c>
      <x:c r="FQ27" s="754" t="b">
        <x:f t="shared" si="31"/>
        <x:v>1</x:v>
      </x:c>
      <x:c r="FX27" s="197"/>
      <x:c r="FZ27" s="2"/>
      <x:c r="GA27" s="542" t="s">
        <x:v>709</x:v>
      </x:c>
      <x:c r="GB27" s="543" t="s">
        <x:v>710</x:v>
      </x:c>
      <x:c r="GC27" s="542" t="s">
        <x:v>606</x:v>
      </x:c>
      <x:c r="GD27" s="543" t="s">
        <x:v>607</x:v>
      </x:c>
      <x:c r="GE27" s="2121"/>
      <x:c r="GF27" s="2121"/>
      <x:c r="GG27" s="542" t="s">
        <x:v>709</x:v>
      </x:c>
      <x:c r="GH27" s="543" t="s">
        <x:v>710</x:v>
      </x:c>
      <x:c r="GI27" s="542" t="s">
        <x:v>709</x:v>
      </x:c>
      <x:c r="GJ27" s="543" t="s">
        <x:v>710</x:v>
      </x:c>
      <x:c r="GK27" s="2124"/>
      <x:c r="GL27" s="2124"/>
      <x:c r="GM27" s="2124"/>
      <x:c r="GZ27" s="145"/>
      <x:c r="HA27" s="2176"/>
      <x:c r="HB27" s="2178"/>
      <x:c r="HC27" s="2178"/>
      <x:c r="HD27" s="2178"/>
      <x:c r="HE27" s="2178"/>
      <x:c r="HF27" s="2178"/>
      <x:c r="HG27" s="2178"/>
      <x:c r="HH27" s="2178"/>
      <x:c r="HI27" s="2178"/>
      <x:c r="HJ27" s="2178"/>
      <x:c r="HK27" s="2178"/>
      <x:c r="HL27" s="2178"/>
      <x:c r="HM27" s="2178"/>
      <x:c r="HN27" s="2178"/>
      <x:c r="HO27" s="2178"/>
      <x:c r="HP27" s="2178"/>
      <x:c r="HQ27" s="2178"/>
      <x:c r="HR27" s="2178"/>
      <x:c r="HS27" s="2178"/>
      <x:c r="HT27" s="2178"/>
      <x:c r="HU27" s="2178"/>
      <x:c r="HV27" s="2178"/>
      <x:c r="HW27" s="2178"/>
      <x:c r="HX27" s="2178"/>
      <x:c r="HY27" s="2178"/>
      <x:c r="HZ27" s="2178"/>
      <x:c r="IA27" s="2178"/>
      <x:c r="IB27" s="2247"/>
      <x:c r="IC27" s="2178"/>
      <x:c r="ID27" s="2217"/>
      <x:c r="IE27" s="1241" t="s">
        <x:v>1412</x:v>
      </x:c>
      <x:c r="IF27" s="1242" t="s">
        <x:v>35</x:v>
      </x:c>
      <x:c r="IG27" s="1243">
        <x:v>6</x:v>
      </x:c>
      <x:c r="IH27" s="1244">
        <x:v>0.375</x:v>
      </x:c>
      <x:c r="II27" s="1242">
        <x:v>7</x:v>
      </x:c>
      <x:c r="IJ27" s="1243">
        <x:v>6</x:v>
      </x:c>
      <x:c r="IK27" s="1244">
        <x:v>2.75</x:v>
      </x:c>
      <x:c r="IL27" s="1242">
        <x:v>5</x:v>
      </x:c>
      <x:c r="IM27" s="1242">
        <x:v>8.375</x:v>
      </x:c>
      <x:c r="IN27" s="1242" t="s">
        <x:v>116</x:v>
      </x:c>
      <x:c r="IO27" s="1242" t="s">
        <x:v>35</x:v>
      </x:c>
      <x:c r="IP27" s="1242">
        <x:v>5</x:v>
      </x:c>
      <x:c r="IQ27" s="1242">
        <x:v>13</x:v>
      </x:c>
      <x:c r="IR27" s="1242">
        <x:v>4</x:v>
      </x:c>
      <x:c r="IS27" s="1243">
        <x:v>1.75</x:v>
      </x:c>
      <x:c r="IT27" s="1244" t="s">
        <x:v>116</x:v>
      </x:c>
      <x:c r="IU27" s="1242" t="s">
        <x:v>116</x:v>
      </x:c>
      <x:c r="IV27" s="1242" t="s">
        <x:v>116</x:v>
      </x:c>
      <x:c r="IW27" s="1243" t="s">
        <x:v>116</x:v>
      </x:c>
      <x:c r="IX27" s="1244" t="s">
        <x:v>116</x:v>
      </x:c>
      <x:c r="IY27" s="1242" t="s">
        <x:v>116</x:v>
      </x:c>
      <x:c r="IZ27" s="1242" t="s">
        <x:v>116</x:v>
      </x:c>
      <x:c r="JA27" s="1243" t="s">
        <x:v>116</x:v>
      </x:c>
      <x:c r="JB27" s="1244" t="s">
        <x:v>116</x:v>
      </x:c>
      <x:c r="JC27" s="1242" t="s">
        <x:v>116</x:v>
      </x:c>
      <x:c r="JD27" s="1242" t="s">
        <x:v>116</x:v>
      </x:c>
      <x:c r="JE27" s="1243" t="s">
        <x:v>116</x:v>
      </x:c>
      <x:c r="JF27" s="1244" t="s">
        <x:v>116</x:v>
      </x:c>
      <x:c r="JG27" s="1242" t="s">
        <x:v>116</x:v>
      </x:c>
      <x:c r="JH27" s="1242" t="s">
        <x:v>116</x:v>
      </x:c>
      <x:c r="JI27" s="1242" t="s">
        <x:v>116</x:v>
      </x:c>
      <x:c r="JJ27" s="1245" t="s">
        <x:v>116</x:v>
      </x:c>
      <x:c r="JK27" s="1242">
        <x:v>1</x:v>
      </x:c>
      <x:c r="JL27" s="1171">
        <x:f t="shared" ca="1" si="35"/>
        <x:v>1</x:v>
      </x:c>
    </x:row>
    <x:row r="28" spans="1:274" ht="12.6" customHeight="1" thickTop="1" x14ac:dyDescent="0.3">
      <x:c r="A28" s="2747" t="s">
        <x:v>1400</x:v>
      </x:c>
      <x:c r="B28" s="2748">
        <x:v>2</x:v>
      </x:c>
      <x:c r="C28" s="2749" t="s">
        <x:v>1577</x:v>
      </x:c>
      <x:c r="D28" s="2750">
        <x:v>56</x:v>
      </x:c>
      <x:c r="E28" s="2751">
        <x:v>4</x:v>
      </x:c>
      <x:c r="F28" s="2752">
        <x:v>11.125</x:v>
      </x:c>
      <x:c r="G28" s="2753">
        <x:v>0</x:v>
      </x:c>
      <x:c r="H28" s="2754">
        <x:v>1.75</x:v>
      </x:c>
      <x:c r="I28" s="2755" t="s">
        <x:v>113</x:v>
      </x:c>
      <x:c r="J28" s="2750">
        <x:v>0</x:v>
      </x:c>
      <x:c r="K28" s="2754">
        <x:v>0.5</x:v>
      </x:c>
      <x:c r="L28" s="2756" t="s">
        <x:v>113</x:v>
      </x:c>
      <x:c r="M28" s="2757">
        <x:v>7.5</x:v>
      </x:c>
      <x:c r="N28" s="2758">
        <x:v>7.5</x:v>
      </x:c>
      <x:c r="O28" s="2753">
        <x:v>0</x:v>
      </x:c>
      <x:c r="P28" s="2754">
        <x:v>6.75</x:v>
      </x:c>
      <x:c r="Q28" s="2750">
        <x:v>0</x:v>
      </x:c>
      <x:c r="R28" s="2751">
        <x:v>5.5</x:v>
      </x:c>
      <x:c r="S28" s="2759">
        <x:v>0</x:v>
      </x:c>
      <x:c r="T28" s="2754">
        <x:v>6.25</x:v>
      </x:c>
      <x:c r="U28" s="2750">
        <x:v>0</x:v>
      </x:c>
      <x:c r="V28" s="2754">
        <x:v>5</x:v>
      </x:c>
      <x:c r="W28" s="2758">
        <x:v>5</x:v>
      </x:c>
      <x:c r="X28" s="2760" t="str">
        <x:f t="shared" ref="X28:X44" si="48">IF(EN68="","",EN68)</x:f>
        <x:v/>
      </x:c>
      <x:c r="Y28" s="2761" t="str">
        <x:f t="shared" ref="Y28:Y44" si="49">IF(ES68="","",ES68)</x:f>
        <x:v/>
      </x:c>
      <x:c r="Z28" s="2762" t="s">
        <x:v>1621</x:v>
      </x:c>
      <x:c r="AA28" s="2763" t="str">
        <x:f t="shared" ref="AA28:AA45" si="50">IF(ISBLANK(DD28),"",DD28)</x:f>
        <x:v/>
      </x:c>
      <x:c r="AB28" s="2764" t="s">
        <x:v>1413</x:v>
      </x:c>
      <x:c r="AC28" s="2772" t="s">
        <x:v>35</x:v>
      </x:c>
      <x:c r="AD28" s="2767">
        <x:v>6</x:v>
      </x:c>
      <x:c r="AE28" s="2771">
        <x:v>0.375</x:v>
      </x:c>
      <x:c r="AF28" s="2772">
        <x:v>7</x:v>
      </x:c>
      <x:c r="AG28" s="2767">
        <x:v>6</x:v>
      </x:c>
      <x:c r="AH28" s="2771">
        <x:v>2.75</x:v>
      </x:c>
      <x:c r="AI28" s="2767">
        <x:v>6</x:v>
      </x:c>
      <x:c r="AJ28" s="2771">
        <x:v>0.375</x:v>
      </x:c>
      <x:c r="AK28" s="2813" t="str">
        <x:f t="shared" si="12"/>
        <x:v/>
      </x:c>
      <x:c r="AL28" s="2814" t="s">
        <x:v>35</x:v>
      </x:c>
      <x:c r="AM28" s="2815">
        <x:v>5</x:v>
      </x:c>
      <x:c r="AN28" s="2772">
        <x:v>13</x:v>
      </x:c>
      <x:c r="AO28" s="2816">
        <x:v>4</x:v>
      </x:c>
      <x:c r="AP28" s="2774">
        <x:v>1.75</x:v>
      </x:c>
      <x:c r="AQ28" s="2817">
        <x:v>1.75</x:v>
      </x:c>
      <x:c r="AR28" s="2770" t="str">
        <x:f t="shared" si="13"/>
        <x:v/>
      </x:c>
      <x:c r="AS28" s="2771" t="str">
        <x:f t="shared" si="14"/>
        <x:v/>
      </x:c>
      <x:c r="AT28" s="2818" t="str">
        <x:f t="shared" si="15"/>
        <x:v/>
      </x:c>
      <x:c r="AU28" s="2819" t="str">
        <x:f t="shared" si="4"/>
        <x:v/>
      </x:c>
      <x:c r="AV28" s="2776" t="str">
        <x:f t="shared" si="16"/>
        <x:v/>
      </x:c>
      <x:c r="AW28" s="2771" t="str">
        <x:f t="shared" si="17"/>
        <x:v/>
      </x:c>
      <x:c r="AX28" s="2818" t="str">
        <x:f t="shared" si="18"/>
        <x:v/>
      </x:c>
      <x:c r="AY28" s="2819" t="str">
        <x:f t="shared" si="5"/>
        <x:v/>
      </x:c>
      <x:c r="AZ28" s="2776" t="str">
        <x:f t="shared" si="19"/>
        <x:v/>
      </x:c>
      <x:c r="BA28" s="2771" t="str">
        <x:f t="shared" si="20"/>
        <x:v/>
      </x:c>
      <x:c r="BB28" s="2818" t="str">
        <x:f t="shared" si="21"/>
        <x:v/>
      </x:c>
      <x:c r="BC28" s="2819" t="str">
        <x:f t="shared" si="6"/>
        <x:v/>
      </x:c>
      <x:c r="BD28" s="2776" t="str">
        <x:f t="shared" si="22"/>
        <x:v/>
      </x:c>
      <x:c r="BE28" s="2771" t="str">
        <x:f t="shared" si="23"/>
        <x:v/>
      </x:c>
      <x:c r="BF28" s="2818" t="str">
        <x:f t="shared" si="24"/>
        <x:v/>
      </x:c>
      <x:c r="BG28" s="2819" t="str">
        <x:f t="shared" si="7"/>
        <x:v/>
      </x:c>
      <x:c r="BH28" s="261"/>
      <x:c r="BJ28" s="1301" t="str">
        <x:f>IF(OR(ISBLANK(A28),A28=""),"",A28)</x:f>
        <x:v>G1</x:v>
      </x:c>
      <x:c r="BK28" s="988" t="b">
        <x:f>IF($BK$1,IF(AND(BJ28&lt;&gt;"",OR(B28=0,B28="")),TRUE,FALSE),FALSE)</x:f>
        <x:v>0</x:v>
      </x:c>
      <x:c r="BL28" s="1800" t="b">
        <x:v>0</x:v>
      </x:c>
      <x:c r="BM28" s="989">
        <x:f>IF(C28="",0,VALUE(IF(BN28="","",LEFT(C28,SEARCH(BN28,C28)-1))))</x:f>
        <x:v>48</x:v>
      </x:c>
      <x:c r="BN28" s="989" t="str">
        <x:f>IF(C28="",0,IF(NOT(ISERROR(SEARCH("VG",C28))),"VG",IF(NOT(ISERROR(SEARCH("BG",C28))),"BG",IF(NOT(ISERROR(SEARCH("G",C28))),"G"))))</x:f>
        <x:v>VG</x:v>
      </x:c>
      <x:c r="BO28" s="989">
        <x:f>IF(C28="",0,VALUE(MID(C28,SEARCH(BN28,C28)+LEN(BN28),SEARCH("N",C28)-SEARCH(BN28,C28)-LEN(BN28))))</x:f>
        <x:v>9</x:v>
      </x:c>
      <x:c r="BP28" s="989">
        <x:f t="shared" ref="BP28:BP45" si="5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x:f>
        <x:v>16.3</x:v>
      </x:c>
      <x:c r="BQ28" s="989">
        <x:f>IF(ISERROR(SEARCH("F",C28)),IF(C28="",0,IF(SEARCH("K",C28)=LEN(C28),0,VALUE(MID(C28,SEARCH("K",C28)+1,LEN(C28))))),IF(C28="",0,IF(SEARCH("F",C28)=LEN(C28),0,VALUE(MID(C28,SEARCH("F",C28)+1,LEN(C28))))))</x:f>
        <x:v>0</x:v>
      </x:c>
      <x:c r="BR28" s="989" t="b">
        <x:f>IF(OR(ISERROR(BM28),ISERROR(BN28),ISERROR(BO28),ISERROR(BP28),ISERROR(BQ28)),FALSE,TRUE)</x:f>
        <x:v>1</x:v>
      </x:c>
      <x:c r="BS28" s="1302">
        <x:f>6+IF(LEFT(I28,1)="R",IF(ISNUMBER(G28),G28*12,0)+IF(ISNUMBER(H28),H28,0),0)</x:f>
        <x:v>7.75</x:v>
      </x:c>
      <x:c r="BT28" s="990" t="str">
        <x:f>IF(IF(ISNUMBER(S28),S28*12,0)+IF(ISNUMBER(T28),T28,0)&gt;0,IF(AND(IF(ISNUMBER(S28),S28*12,0)+IF(ISNUMBER(T28),T28,0)&gt;=$FE$4/2+$EX$6,IF(ISNUMBER(S28),S28*12,0)+IF(ISNUMBER(T28),T28,0)&lt;=(BS28-($FE$4/2+$EX$6))+IF(I28="X",2,0)),"Yes","No"),"No")</x:f>
        <x:v>Yes</x:v>
      </x:c>
      <x:c r="BU28" s="1302">
        <x:f>6+IF(LEFT(L28,1)="R",IF(ISNUMBER(J28),J28*12,0)+IF(ISNUMBER(K28),K28,0),0)</x:f>
        <x:v>6.5</x:v>
      </x:c>
      <x:c r="BV28" s="990" t="str">
        <x:f>IF(IF(ISNUMBER(U28),U28*12,0)+IF(ISNUMBER(V28),V28,0)&gt;0,IF(AND(IF(ISNUMBER(U28),U28*12,0)+IF(ISNUMBER(V28),V28,0)&gt;=$FE$4/2+$EX$6,IF(ISNUMBER(U28),U28*12,0)+IF(ISNUMBER(V28),V28,0)&lt;=(BU28-($FE$4/2+$EX$6))+IF(L28="X",2,0)),"Yes","No"),"No")</x:f>
        <x:v>Yes</x:v>
      </x:c>
      <x:c r="BW28" s="991">
        <x:f t="shared" si="25"/>
        <x:v>15</x:v>
      </x:c>
      <x:c r="BX28" s="991" t="str">
        <x:f t="shared" si="32"/>
        <x:v>G13</x:v>
      </x:c>
      <x:c r="BY28" s="991" t="b">
        <x:f t="shared" si="26"/>
        <x:v>0</x:v>
      </x:c>
      <x:c r="BZ28" s="1303" t="b">
        <x:f t="shared" si="33"/>
        <x:v>0</x:v>
      </x:c>
      <x:c r="CB28" s="664"/>
      <x:c r="CC28" s="1683"/>
      <x:c r="CD28" s="696"/>
      <x:c r="CE28" s="697"/>
      <x:c r="CF28" s="1327"/>
      <x:c r="CG28" s="664"/>
      <x:c r="CH28" s="709"/>
      <x:c r="CI28" s="710"/>
      <x:c r="CJ28" s="709"/>
      <x:c r="CK28" s="710"/>
      <x:c r="CL28" s="711"/>
      <x:c r="CM28" s="742"/>
      <x:c r="CN28" s="1577"/>
      <x:c r="CO28" s="1578"/>
      <x:c r="CP28" s="1579"/>
      <x:c r="CQ28" s="664"/>
      <x:c r="CR28" s="709"/>
      <x:c r="CS28" s="710"/>
      <x:c r="CT28" s="709"/>
      <x:c r="CU28" s="710"/>
      <x:c r="CV28" s="711"/>
      <x:c r="CW28" s="742"/>
      <x:c r="CX28" s="1577"/>
      <x:c r="CY28" s="1578"/>
      <x:c r="CZ28" s="1579"/>
      <x:c r="DA28" s="712"/>
      <x:c r="DB28" s="954"/>
      <x:c r="DC28" s="955"/>
      <x:c r="DD28" s="1596"/>
      <x:c r="DE28" s="1597"/>
      <x:c r="DF28" s="141"/>
      <x:c r="DG28" s="141"/>
      <x:c r="DH28" s="672"/>
      <x:c r="DI28" s="673"/>
      <x:c r="DJ28" s="692"/>
      <x:c r="DK28" s="1331"/>
      <x:c r="DL28" s="674"/>
      <x:c r="DM28" s="693"/>
      <x:c r="DN28" s="1334"/>
      <x:c r="DO28" s="675"/>
      <x:c r="DP28" s="676"/>
      <x:c r="DQ28" s="1419"/>
      <x:c r="DR28" s="677"/>
      <x:c r="DS28" s="1611"/>
      <x:c r="DT28" s="1606"/>
      <x:c r="DU28" s="1607"/>
      <x:c r="DV28" s="678"/>
      <x:c r="DW28" s="1336"/>
      <x:c r="DX28" s="679"/>
      <x:c r="DY28" s="674"/>
      <x:c r="DZ28" s="678"/>
      <x:c r="EA28" s="1336"/>
      <x:c r="EB28" s="679"/>
      <x:c r="EC28" s="674"/>
      <x:c r="ED28" s="678"/>
      <x:c r="EE28" s="1336"/>
      <x:c r="EF28" s="679"/>
      <x:c r="EG28" s="674"/>
      <x:c r="EH28" s="678"/>
      <x:c r="EI28" s="1336"/>
      <x:c r="EJ28" s="679"/>
      <x:c r="EK28" s="680"/>
      <x:c r="EL28" s="141"/>
      <x:c r="EM28" s="1629" t="str">
        <x:f>IF(ISBLANK(CB28),"",CB28)</x:f>
        <x:v/>
      </x:c>
      <x:c r="EN28" s="1630" t="str">
        <x:f t="shared" ref="EN28:EN45" si="52">IF(DQ68=DR68,"",CONCATENATE(IF(CL28&lt;0,"NS ","FS "),IF(DR68="ERR","Slot Only",CONCATENATE("Slot @ ",DQ68))))</x:f>
        <x:v/>
      </x:c>
      <x:c r="EO28" s="646" t="str">
        <x:f t="shared" ref="EO28:EO45" si="53">IF(DX68=DY68,"",CONCATENATE(IF(CV28&lt;0,"FS ","NS "),IF(DY68="ERR","Slot Only",CONCATENATE("Slot @ ",DX68))))</x:f>
        <x:v/>
      </x:c>
      <x:c r="EP28" s="647" t="str">
        <x:f t="shared" ref="EP28:EP45" si="54">IF(EC68="","",IF(CI68&lt;&gt;EC68,CONCATENATE("LE slots @ ",CI68," Ga."),IF(CR68&lt;&gt;EC68,CONCATENATE("RE slots @ ",CR68," Ga."),"")))</x:f>
        <x:v/>
      </x:c>
      <x:c r="EQ28" s="812" t="str">
        <x:f t="shared" ref="EQ28:EQ45" si="55">IF(AND(ET28&lt;&gt;"",CL28&lt;&gt;"",EU28&lt;&gt;"",CV28&lt;&gt;""),"BE",IF(AND(ET28&lt;&gt;"",CL28&lt;&gt;""),"LE",IF(AND(EU28&lt;&gt;"",CV28&lt;&gt;""),"RE","")))</x:f>
        <x:v/>
      </x:c>
      <x:c r="ER28" s="1582" t="str">
        <x:f t="shared" ref="ER28:ER45" si="56">IF(ISBLANK(CO28),"",IF(CEILING(DB68,0.125)&lt;=DC68+$FA$4,"",CEILING(DB68,0.125)))</x:f>
        <x:v/>
      </x:c>
      <x:c r="ES28" s="1583" t="str">
        <x:f t="shared" ref="ES28:ES45" si="57">IF(ISBLANK(CY28),"",IF(CEILING(DH68,0.125)&lt;=DI68+$FA$4,"",CEILING(DH68,0.125)))</x:f>
        <x:v/>
      </x:c>
      <x:c r="ET28" s="1584" t="str">
        <x:f t="shared" ref="ET28:ET45" si="58">IF(CG28="","",IF($FB$4&gt;EV68,EV68,""))</x:f>
        <x:v/>
      </x:c>
      <x:c r="EU28" s="1585" t="str">
        <x:f t="shared" ref="EU28:EU45" si="59">IF(CQ28="","",IF($FB$4&gt;EW68,EW68,""))</x:f>
        <x:v/>
      </x:c>
      <x:c r="EX28" s="503" t="str">
        <x:f t="shared" si="27"/>
        <x:v>G13B</x:v>
      </x:c>
      <x:c r="EY28" s="940" t="b">
        <x:f t="shared" ca="1" si="8"/>
        <x:v>1</x:v>
      </x:c>
      <x:c r="EZ28" s="940">
        <x:f t="shared" si="28"/>
        <x:v>5</x:v>
      </x:c>
      <x:c r="FA28" s="958" t="b">
        <x:f t="shared" si="34"/>
        <x:v>1</x:v>
      </x:c>
      <x:c r="FB28" s="134">
        <x:f t="shared" si="29"/>
        <x:v>668</x:v>
      </x:c>
      <x:c r="FC28" s="134">
        <x:f t="shared" si="9"/>
        <x:v>72.375</x:v>
      </x:c>
      <x:c r="FD28" s="134">
        <x:f t="shared" si="10"/>
        <x:v>523.25</x:v>
      </x:c>
      <x:c r="FE28" s="134">
        <x:f t="shared" si="11"/>
        <x:v>72.375</x:v>
      </x:c>
      <x:c r="FF28" s="134">
        <x:f t="shared" si="30"/>
        <x:v>668</x:v>
      </x:c>
      <x:c r="FN28" s="993" t="b">
        <x:v>0</x:v>
      </x:c>
      <x:c r="FO28" s="754" t="b">
        <x:f>NOT(ISERROR(VLOOKUP(A28,$AB$14:$AB$45,1,FALSE)))</x:f>
        <x:v>1</x:v>
      </x:c>
      <x:c r="FP28" s="754" t="b">
        <x:v>0</x:v>
      </x:c>
      <x:c r="FQ28" s="754" t="b">
        <x:f t="shared" si="31"/>
        <x:v>1</x:v>
      </x:c>
      <x:c r="FX28" s="197"/>
      <x:c r="FZ28" s="2"/>
      <x:c r="GA28" s="1761">
        <x:v>56</x:v>
      </x:c>
      <x:c r="GB28" s="1762">
        <x:v>0.75</x:v>
      </x:c>
      <x:c r="GC28" s="1763">
        <x:v>-0.25</x:v>
      </x:c>
      <x:c r="GD28" s="1764">
        <x:v>3.5</x:v>
      </x:c>
      <x:c r="GE28" s="1765">
        <x:f t="shared" ref="GE28:GE45" si="60">IF(GF28="","",IF(ISBLANK(DA28),IF(X28=Y28,0,MAX(ABS(X28),ABS(Y28))*IF(X28&lt;0,-1,1)),DA28))</x:f>
        <x:v>0</x:v>
      </x:c>
      <x:c r="GF28" s="582" t="str">
        <x:f t="shared" ref="GF28:GF45" si="61">IF(A28=0,"",A28)</x:f>
        <x:v>G1</x:v>
      </x:c>
      <x:c r="GG28" s="692">
        <x:v>0</x:v>
      </x:c>
      <x:c r="GH28" s="1134">
        <x:v>0</x:v>
      </x:c>
      <x:c r="GI28" s="692"/>
      <x:c r="GJ28" s="1134"/>
      <x:c r="GK28" s="1640">
        <x:f t="shared" ref="GK28:GK45" si="62">IF(D28="",0,D28*12+E28)</x:f>
        <x:v>676</x:v>
      </x:c>
      <x:c r="GL28" s="1640">
        <x:f t="shared" ref="GL28:GL45" si="63">(GA28*12+GB28+GC28+GD28)/COS(ATAN(ABS(GE28/12)))</x:f>
        <x:v>676</x:v>
      </x:c>
      <x:c r="GM28" s="1641">
        <x:f>IF(ABS(GK28-GL28)&gt;='Job Info.'!$L$22,ABS(GK28-GL28),0)</x:f>
        <x:v>0</x:v>
      </x:c>
      <x:c r="GZ28" s="144"/>
      <x:c r="HA28" s="1235" t="s">
        <x:v>1400</x:v>
      </x:c>
      <x:c r="HB28" s="1236">
        <x:v>2</x:v>
      </x:c>
      <x:c r="HC28" s="1236" t="s">
        <x:v>1577</x:v>
      </x:c>
      <x:c r="HD28" s="1237">
        <x:v>56</x:v>
      </x:c>
      <x:c r="HE28" s="1238">
        <x:v>4</x:v>
      </x:c>
      <x:c r="HF28" s="1236">
        <x:v>11.125</x:v>
      </x:c>
      <x:c r="HG28" s="1236">
        <x:v>0</x:v>
      </x:c>
      <x:c r="HH28" s="1236">
        <x:v>1.75</x:v>
      </x:c>
      <x:c r="HI28" s="1236" t="s">
        <x:v>113</x:v>
      </x:c>
      <x:c r="HJ28" s="1236">
        <x:v>0</x:v>
      </x:c>
      <x:c r="HK28" s="1236">
        <x:v>0.5</x:v>
      </x:c>
      <x:c r="HL28" s="1236" t="s">
        <x:v>113</x:v>
      </x:c>
      <x:c r="HM28" s="1236">
        <x:v>7.5</x:v>
      </x:c>
      <x:c r="HN28" s="1236">
        <x:v>7.5</x:v>
      </x:c>
      <x:c r="HO28" s="1236">
        <x:v>0</x:v>
      </x:c>
      <x:c r="HP28" s="1236">
        <x:v>6.75</x:v>
      </x:c>
      <x:c r="HQ28" s="1236">
        <x:v>0</x:v>
      </x:c>
      <x:c r="HR28" s="1236">
        <x:v>5.5</x:v>
      </x:c>
      <x:c r="HS28" s="1236">
        <x:v>0</x:v>
      </x:c>
      <x:c r="HT28" s="1236">
        <x:v>6.25</x:v>
      </x:c>
      <x:c r="HU28" s="1236">
        <x:v>0</x:v>
      </x:c>
      <x:c r="HV28" s="1236">
        <x:v>5</x:v>
      </x:c>
      <x:c r="HW28" s="1236">
        <x:v>5</x:v>
      </x:c>
      <x:c r="HX28" s="1236" t="s">
        <x:v>116</x:v>
      </x:c>
      <x:c r="HY28" s="1239" t="s">
        <x:v>116</x:v>
      </x:c>
      <x:c r="HZ28" s="1239" t="s">
        <x:v>1621</x:v>
      </x:c>
      <x:c r="IA28" s="1239" t="s">
        <x:v>116</x:v>
      </x:c>
      <x:c r="IB28" s="1239"/>
      <x:c r="IC28" s="1239"/>
      <x:c r="ID28" s="1240"/>
      <x:c r="IE28" s="1241" t="s">
        <x:v>1413</x:v>
      </x:c>
      <x:c r="IF28" s="1242" t="s">
        <x:v>35</x:v>
      </x:c>
      <x:c r="IG28" s="1243">
        <x:v>6</x:v>
      </x:c>
      <x:c r="IH28" s="1244">
        <x:v>0.375</x:v>
      </x:c>
      <x:c r="II28" s="1242">
        <x:v>7</x:v>
      </x:c>
      <x:c r="IJ28" s="1243">
        <x:v>6</x:v>
      </x:c>
      <x:c r="IK28" s="1244">
        <x:v>2.75</x:v>
      </x:c>
      <x:c r="IL28" s="1242">
        <x:v>6</x:v>
      </x:c>
      <x:c r="IM28" s="1242">
        <x:v>0.375</x:v>
      </x:c>
      <x:c r="IN28" s="1242" t="s">
        <x:v>116</x:v>
      </x:c>
      <x:c r="IO28" s="1242" t="s">
        <x:v>35</x:v>
      </x:c>
      <x:c r="IP28" s="1242">
        <x:v>5</x:v>
      </x:c>
      <x:c r="IQ28" s="1242">
        <x:v>13</x:v>
      </x:c>
      <x:c r="IR28" s="1242">
        <x:v>4</x:v>
      </x:c>
      <x:c r="IS28" s="1243">
        <x:v>1.75</x:v>
      </x:c>
      <x:c r="IT28" s="1244">
        <x:v>1.75</x:v>
      </x:c>
      <x:c r="IU28" s="1242" t="s">
        <x:v>116</x:v>
      </x:c>
      <x:c r="IV28" s="1242" t="s">
        <x:v>116</x:v>
      </x:c>
      <x:c r="IW28" s="1243" t="s">
        <x:v>116</x:v>
      </x:c>
      <x:c r="IX28" s="1244" t="s">
        <x:v>116</x:v>
      </x:c>
      <x:c r="IY28" s="1242" t="s">
        <x:v>116</x:v>
      </x:c>
      <x:c r="IZ28" s="1242" t="s">
        <x:v>116</x:v>
      </x:c>
      <x:c r="JA28" s="1243" t="s">
        <x:v>116</x:v>
      </x:c>
      <x:c r="JB28" s="1244" t="s">
        <x:v>116</x:v>
      </x:c>
      <x:c r="JC28" s="1242" t="s">
        <x:v>116</x:v>
      </x:c>
      <x:c r="JD28" s="1242" t="s">
        <x:v>116</x:v>
      </x:c>
      <x:c r="JE28" s="1243" t="s">
        <x:v>116</x:v>
      </x:c>
      <x:c r="JF28" s="1244" t="s">
        <x:v>116</x:v>
      </x:c>
      <x:c r="JG28" s="1242" t="s">
        <x:v>116</x:v>
      </x:c>
      <x:c r="JH28" s="1242" t="s">
        <x:v>116</x:v>
      </x:c>
      <x:c r="JI28" s="1242" t="s">
        <x:v>116</x:v>
      </x:c>
      <x:c r="JJ28" s="1245" t="s">
        <x:v>116</x:v>
      </x:c>
      <x:c r="JK28" s="1242">
        <x:v>1</x:v>
      </x:c>
      <x:c r="JL28" s="1171">
        <x:f t="shared" ca="1" si="35"/>
        <x:v>1</x:v>
      </x:c>
    </x:row>
    <x:row r="29" spans="1:274" ht="12.6" customHeight="1" x14ac:dyDescent="0.25">
      <x:c r="A29" s="2764" t="s">
        <x:v>1402</x:v>
      </x:c>
      <x:c r="B29" s="2765">
        <x:v>2</x:v>
      </x:c>
      <x:c r="C29" s="2766" t="s">
        <x:v>1577</x:v>
      </x:c>
      <x:c r="D29" s="2767">
        <x:v>55</x:v>
      </x:c>
      <x:c r="E29" s="2768">
        <x:v>11.5</x:v>
      </x:c>
      <x:c r="F29" s="2769">
        <x:v>11.125</x:v>
      </x:c>
      <x:c r="G29" s="2770">
        <x:v>0</x:v>
      </x:c>
      <x:c r="H29" s="2771">
        <x:v>1.75</x:v>
      </x:c>
      <x:c r="I29" s="2772" t="s">
        <x:v>113</x:v>
      </x:c>
      <x:c r="J29" s="2767">
        <x:v>0</x:v>
      </x:c>
      <x:c r="K29" s="2771">
        <x:v>1.75</x:v>
      </x:c>
      <x:c r="L29" s="2773" t="s">
        <x:v>113</x:v>
      </x:c>
      <x:c r="M29" s="2774">
        <x:v>7.5</x:v>
      </x:c>
      <x:c r="N29" s="2775">
        <x:v>7.5</x:v>
      </x:c>
      <x:c r="O29" s="2770">
        <x:v>0</x:v>
      </x:c>
      <x:c r="P29" s="2771">
        <x:v>6.75</x:v>
      </x:c>
      <x:c r="Q29" s="2767">
        <x:v>0</x:v>
      </x:c>
      <x:c r="R29" s="2768">
        <x:v>6.75</x:v>
      </x:c>
      <x:c r="S29" s="2776">
        <x:v>0</x:v>
      </x:c>
      <x:c r="T29" s="2771">
        <x:v>6.25</x:v>
      </x:c>
      <x:c r="U29" s="2767">
        <x:v>0</x:v>
      </x:c>
      <x:c r="V29" s="2771">
        <x:v>6.25</x:v>
      </x:c>
      <x:c r="W29" s="2775">
        <x:v>5</x:v>
      </x:c>
      <x:c r="X29" s="2777" t="str">
        <x:f t="shared" si="48"/>
        <x:v/>
      </x:c>
      <x:c r="Y29" s="2778" t="str">
        <x:f t="shared" si="49"/>
        <x:v/>
      </x:c>
      <x:c r="Z29" s="2779" t="s">
        <x:v>1622</x:v>
      </x:c>
      <x:c r="AA29" s="2780" t="str">
        <x:f t="shared" si="50"/>
        <x:v/>
      </x:c>
      <x:c r="AB29" s="2764" t="s">
        <x:v>1414</x:v>
      </x:c>
      <x:c r="AC29" s="2772" t="s">
        <x:v>35</x:v>
      </x:c>
      <x:c r="AD29" s="2767">
        <x:v>6</x:v>
      </x:c>
      <x:c r="AE29" s="2771">
        <x:v>0.375</x:v>
      </x:c>
      <x:c r="AF29" s="2772">
        <x:v>7</x:v>
      </x:c>
      <x:c r="AG29" s="2767">
        <x:v>6</x:v>
      </x:c>
      <x:c r="AH29" s="2771">
        <x:v>2.75</x:v>
      </x:c>
      <x:c r="AI29" s="2767">
        <x:v>6</x:v>
      </x:c>
      <x:c r="AJ29" s="2771">
        <x:v>1.5</x:v>
      </x:c>
      <x:c r="AK29" s="2813" t="str">
        <x:f t="shared" si="12"/>
        <x:v/>
      </x:c>
      <x:c r="AL29" s="2814" t="s">
        <x:v>35</x:v>
      </x:c>
      <x:c r="AM29" s="2815">
        <x:v>5</x:v>
      </x:c>
      <x:c r="AN29" s="2772">
        <x:v>13</x:v>
      </x:c>
      <x:c r="AO29" s="2816">
        <x:v>4</x:v>
      </x:c>
      <x:c r="AP29" s="2774">
        <x:v>1.75</x:v>
      </x:c>
      <x:c r="AQ29" s="2817" t="str">
        <x:f t="shared" si="3"/>
        <x:v/>
      </x:c>
      <x:c r="AR29" s="2770" t="str">
        <x:f t="shared" si="13"/>
        <x:v/>
      </x:c>
      <x:c r="AS29" s="2771" t="str">
        <x:f t="shared" si="14"/>
        <x:v/>
      </x:c>
      <x:c r="AT29" s="2818" t="str">
        <x:f t="shared" si="15"/>
        <x:v/>
      </x:c>
      <x:c r="AU29" s="2819" t="str">
        <x:f t="shared" si="4"/>
        <x:v/>
      </x:c>
      <x:c r="AV29" s="2776" t="str">
        <x:f t="shared" si="16"/>
        <x:v/>
      </x:c>
      <x:c r="AW29" s="2771" t="str">
        <x:f t="shared" si="17"/>
        <x:v/>
      </x:c>
      <x:c r="AX29" s="2818" t="str">
        <x:f t="shared" si="18"/>
        <x:v/>
      </x:c>
      <x:c r="AY29" s="2819" t="str">
        <x:f t="shared" si="5"/>
        <x:v/>
      </x:c>
      <x:c r="AZ29" s="2776" t="str">
        <x:f t="shared" si="19"/>
        <x:v/>
      </x:c>
      <x:c r="BA29" s="2771" t="str">
        <x:f t="shared" si="20"/>
        <x:v/>
      </x:c>
      <x:c r="BB29" s="2818" t="str">
        <x:f t="shared" si="21"/>
        <x:v/>
      </x:c>
      <x:c r="BC29" s="2819" t="str">
        <x:f t="shared" si="6"/>
        <x:v/>
      </x:c>
      <x:c r="BD29" s="2776" t="str">
        <x:f t="shared" si="22"/>
        <x:v/>
      </x:c>
      <x:c r="BE29" s="2771" t="str">
        <x:f t="shared" si="23"/>
        <x:v/>
      </x:c>
      <x:c r="BF29" s="2818" t="str">
        <x:f t="shared" si="24"/>
        <x:v/>
      </x:c>
      <x:c r="BG29" s="2819" t="str">
        <x:f t="shared" si="7"/>
        <x:v/>
      </x:c>
      <x:c r="BH29" s="261"/>
      <x:c r="BJ29" s="1301" t="str">
        <x:f>IF(AND(OR(ISBLANK(A29),A29=""),Z29&lt;&gt;""),BJ28,IF(OR(ISBLANK(A29),A29=""),"",A29))</x:f>
        <x:v>G2</x:v>
      </x:c>
      <x:c r="BK29" s="993" t="b">
        <x:f>IF($BK$1,IF(BJ29=BJ28,BK28,IF(AND(BJ29&lt;&gt;"",OR(B29=0,B29="")),TRUE,FALSE)),FALSE)</x:f>
        <x:v>0</x:v>
      </x:c>
      <x:c r="BL29" s="1800" t="b">
        <x:v>0</x:v>
      </x:c>
      <x:c r="BM29" s="989">
        <x:f t="shared" ref="BM29:BM45" si="64">IF(C29="",0,VALUE(IF(BN29="","",LEFT(C29,SEARCH(BN29,C29)-1))))</x:f>
        <x:v>48</x:v>
      </x:c>
      <x:c r="BN29" s="989" t="str">
        <x:f t="shared" ref="BN29:BN45" si="65">IF(C29="",0,IF(NOT(ISERROR(SEARCH("VG",C29))),"VG",IF(NOT(ISERROR(SEARCH("BG",C29))),"BG",IF(NOT(ISERROR(SEARCH("G",C29))),"G"))))</x:f>
        <x:v>VG</x:v>
      </x:c>
      <x:c r="BO29" s="989">
        <x:f t="shared" ref="BO29:BO45" si="66">IF(C29="",0,VALUE(MID(C29,SEARCH(BN29,C29)+LEN(BN29),SEARCH("N",C29)-SEARCH(BN29,C29)-LEN(BN29))))</x:f>
        <x:v>9</x:v>
      </x:c>
      <x:c r="BP29" s="989">
        <x:f t="shared" si="51"/>
        <x:v>16.3</x:v>
      </x:c>
      <x:c r="BQ29" s="989">
        <x:f t="shared" ref="BQ29:BQ45" si="67">IF(ISERROR(SEARCH("F",C29)),IF(C29="",0,IF(SEARCH("K",C29)=LEN(C29),0,VALUE(MID(C29,SEARCH("K",C29)+1,LEN(C29))))),IF(C29="",0,IF(SEARCH("F",C29)=LEN(C29),0,VALUE(MID(C29,SEARCH("F",C29)+1,LEN(C29))))))</x:f>
        <x:v>0</x:v>
      </x:c>
      <x:c r="BR29" s="989" t="b">
        <x:f t="shared" ref="BR29:BR45" si="68">IF(OR(ISERROR(BM29),ISERROR(BN29),ISERROR(BO29),ISERROR(BP29),ISERROR(BQ29)),FALSE,TRUE)</x:f>
        <x:v>1</x:v>
      </x:c>
      <x:c r="BS29" s="1302">
        <x:f t="shared" ref="BS29:BS45" si="69">6+IF(LEFT(I29,1)="R",IF(ISNUMBER(G29),G29*12,0)+IF(ISNUMBER(H29),H29,0),0)</x:f>
        <x:v>7.75</x:v>
      </x:c>
      <x:c r="BT29" s="990" t="str">
        <x:f t="shared" ref="BT29:BT45" si="70">IF(IF(ISNUMBER(S29),S29*12,0)+IF(ISNUMBER(T29),T29,0)&gt;0,IF(AND(IF(ISNUMBER(S29),S29*12,0)+IF(ISNUMBER(T29),T29,0)&gt;=$FE$4/2+$EX$6,IF(ISNUMBER(S29),S29*12,0)+IF(ISNUMBER(T29),T29,0)&lt;=(BS29-($FE$4/2+$EX$6))+IF(I29="X",2,0)),"Yes","No"),"No")</x:f>
        <x:v>Yes</x:v>
      </x:c>
      <x:c r="BU29" s="1302">
        <x:f t="shared" ref="BU29:BU45" si="71">6+IF(LEFT(L29,1)="R",IF(ISNUMBER(J29),J29*12,0)+IF(ISNUMBER(K29),K29,0),0)</x:f>
        <x:v>7.75</x:v>
      </x:c>
      <x:c r="BV29" s="990" t="str">
        <x:f t="shared" ref="BV29:BV45" si="72">IF(IF(ISNUMBER(U29),U29*12,0)+IF(ISNUMBER(V29),V29,0)&gt;0,IF(AND(IF(ISNUMBER(U29),U29*12,0)+IF(ISNUMBER(V29),V29,0)&gt;=$FE$4/2+$EX$6,IF(ISNUMBER(U29),U29*12,0)+IF(ISNUMBER(V29),V29,0)&lt;=(BU29-($FE$4/2+$EX$6))+IF(L29="X",2,0)),"Yes","No"),"No")</x:f>
        <x:v>Yes</x:v>
      </x:c>
      <x:c r="BW29" s="991">
        <x:f t="shared" si="25"/>
        <x:v>14</x:v>
      </x:c>
      <x:c r="BX29" s="991" t="str">
        <x:f t="shared" si="32"/>
        <x:v>G14</x:v>
      </x:c>
      <x:c r="BY29" s="991" t="b">
        <x:f t="shared" si="26"/>
        <x:v>0</x:v>
      </x:c>
      <x:c r="BZ29" s="1303" t="b">
        <x:f t="shared" si="33"/>
        <x:v>0</x:v>
      </x:c>
      <x:c r="CB29" s="672"/>
      <x:c r="CC29" s="1684"/>
      <x:c r="CD29" s="699"/>
      <x:c r="CE29" s="700"/>
      <x:c r="CF29" s="1328"/>
      <x:c r="CG29" s="672"/>
      <x:c r="CH29" s="713"/>
      <x:c r="CI29" s="714"/>
      <x:c r="CJ29" s="713"/>
      <x:c r="CK29" s="714"/>
      <x:c r="CL29" s="715"/>
      <x:c r="CM29" s="743"/>
      <x:c r="CN29" s="738"/>
      <x:c r="CO29" s="1551"/>
      <x:c r="CP29" s="910"/>
      <x:c r="CQ29" s="672"/>
      <x:c r="CR29" s="713"/>
      <x:c r="CS29" s="714"/>
      <x:c r="CT29" s="713"/>
      <x:c r="CU29" s="714"/>
      <x:c r="CV29" s="715"/>
      <x:c r="CW29" s="743"/>
      <x:c r="CX29" s="738"/>
      <x:c r="CY29" s="1551"/>
      <x:c r="CZ29" s="910"/>
      <x:c r="DA29" s="717"/>
      <x:c r="DB29" s="702"/>
      <x:c r="DC29" s="703"/>
      <x:c r="DD29" s="1598"/>
      <x:c r="DE29" s="1599"/>
      <x:c r="DF29" s="141"/>
      <x:c r="DG29" s="141"/>
      <x:c r="DH29" s="672"/>
      <x:c r="DI29" s="673"/>
      <x:c r="DJ29" s="692"/>
      <x:c r="DK29" s="1331"/>
      <x:c r="DL29" s="674"/>
      <x:c r="DM29" s="693"/>
      <x:c r="DN29" s="1334"/>
      <x:c r="DO29" s="675"/>
      <x:c r="DP29" s="676"/>
      <x:c r="DQ29" s="1419"/>
      <x:c r="DR29" s="677"/>
      <x:c r="DS29" s="1611"/>
      <x:c r="DT29" s="1606"/>
      <x:c r="DU29" s="1607"/>
      <x:c r="DV29" s="678"/>
      <x:c r="DW29" s="1336"/>
      <x:c r="DX29" s="679"/>
      <x:c r="DY29" s="674"/>
      <x:c r="DZ29" s="678"/>
      <x:c r="EA29" s="1336"/>
      <x:c r="EB29" s="679"/>
      <x:c r="EC29" s="674"/>
      <x:c r="ED29" s="678"/>
      <x:c r="EE29" s="1336"/>
      <x:c r="EF29" s="679"/>
      <x:c r="EG29" s="674"/>
      <x:c r="EH29" s="678"/>
      <x:c r="EI29" s="1336"/>
      <x:c r="EJ29" s="679"/>
      <x:c r="EK29" s="680"/>
      <x:c r="EL29" s="141"/>
      <x:c r="EM29" s="1631" t="str">
        <x:f t="shared" ref="EM29:EM45" si="73">IF(ISBLANK(CB29),"",CB29)</x:f>
        <x:v/>
      </x:c>
      <x:c r="EN29" s="1632" t="str">
        <x:f t="shared" si="52"/>
        <x:v/>
      </x:c>
      <x:c r="EO29" s="648" t="str">
        <x:f t="shared" si="53"/>
        <x:v/>
      </x:c>
      <x:c r="EP29" s="649" t="str">
        <x:f t="shared" si="54"/>
        <x:v/>
      </x:c>
      <x:c r="EQ29" s="813" t="str">
        <x:f t="shared" si="55"/>
        <x:v/>
      </x:c>
      <x:c r="ER29" s="1586" t="str">
        <x:f t="shared" si="56"/>
        <x:v/>
      </x:c>
      <x:c r="ES29" s="1587" t="str">
        <x:f t="shared" si="57"/>
        <x:v/>
      </x:c>
      <x:c r="ET29" s="1588" t="str">
        <x:f t="shared" si="58"/>
        <x:v/>
      </x:c>
      <x:c r="EU29" s="1589" t="str">
        <x:f t="shared" si="59"/>
        <x:v/>
      </x:c>
      <x:c r="EX29" s="503" t="str">
        <x:f t="shared" si="27"/>
        <x:v>G14B</x:v>
      </x:c>
      <x:c r="EY29" s="940" t="b">
        <x:f t="shared" ca="1" si="8"/>
        <x:v>1</x:v>
      </x:c>
      <x:c r="EZ29" s="940">
        <x:f t="shared" si="28"/>
        <x:v>5</x:v>
      </x:c>
      <x:c r="FA29" s="958" t="b">
        <x:f t="shared" si="34"/>
        <x:v>1</x:v>
      </x:c>
      <x:c r="FB29" s="134">
        <x:f t="shared" si="29"/>
        <x:v>669.125</x:v>
      </x:c>
      <x:c r="FC29" s="134">
        <x:f t="shared" si="9"/>
        <x:v>72.375</x:v>
      </x:c>
      <x:c r="FD29" s="134">
        <x:f t="shared" si="10"/>
        <x:v>523.25</x:v>
      </x:c>
      <x:c r="FE29" s="134">
        <x:f t="shared" si="11"/>
        <x:v>73.5</x:v>
      </x:c>
      <x:c r="FF29" s="134">
        <x:f t="shared" si="30"/>
        <x:v>669.125</x:v>
      </x:c>
      <x:c r="FN29" s="993" t="b">
        <x:v>0</x:v>
      </x:c>
      <x:c r="FO29" s="754" t="b">
        <x:f t="shared" ref="FO29:FO45" si="74">NOT(ISERROR(VLOOKUP(A29,$AB$14:$AB$45,1,FALSE)))</x:f>
        <x:v>1</x:v>
      </x:c>
      <x:c r="FP29" s="754" t="b">
        <x:v>0</x:v>
      </x:c>
      <x:c r="FQ29" s="754" t="b">
        <x:f t="shared" si="31"/>
        <x:v>1</x:v>
      </x:c>
      <x:c r="FX29" s="197"/>
      <x:c r="FZ29" s="2"/>
      <x:c r="GA29" s="1761">
        <x:v>56</x:v>
      </x:c>
      <x:c r="GB29" s="1762">
        <x:v>0</x:v>
      </x:c>
      <x:c r="GC29" s="1763">
        <x:v>-0.25</x:v>
      </x:c>
      <x:c r="GD29" s="1764">
        <x:v>-0.25</x:v>
      </x:c>
      <x:c r="GE29" s="1765">
        <x:f t="shared" si="60"/>
        <x:v>0</x:v>
      </x:c>
      <x:c r="GF29" s="582" t="str">
        <x:f t="shared" si="61"/>
        <x:v>G2</x:v>
      </x:c>
      <x:c r="GG29" s="692">
        <x:v>0</x:v>
      </x:c>
      <x:c r="GH29" s="1135">
        <x:v>0</x:v>
      </x:c>
      <x:c r="GI29" s="692"/>
      <x:c r="GJ29" s="1135"/>
      <x:c r="GK29" s="1640">
        <x:f t="shared" si="62"/>
        <x:v>671.5</x:v>
      </x:c>
      <x:c r="GL29" s="1640">
        <x:f t="shared" si="63"/>
        <x:v>671.5</x:v>
      </x:c>
      <x:c r="GM29" s="1641">
        <x:f>IF(ABS(GK29-GL29)&gt;='Job Info.'!$L$22,ABS(GK29-GL29),0)</x:f>
        <x:v>0</x:v>
      </x:c>
      <x:c r="HA29" s="1241" t="s">
        <x:v>1402</x:v>
      </x:c>
      <x:c r="HB29" s="1242">
        <x:v>2</x:v>
      </x:c>
      <x:c r="HC29" s="1242" t="s">
        <x:v>1577</x:v>
      </x:c>
      <x:c r="HD29" s="1243">
        <x:v>55</x:v>
      </x:c>
      <x:c r="HE29" s="1244">
        <x:v>11.5</x:v>
      </x:c>
      <x:c r="HF29" s="1242">
        <x:v>11.125</x:v>
      </x:c>
      <x:c r="HG29" s="1242">
        <x:v>0</x:v>
      </x:c>
      <x:c r="HH29" s="1242">
        <x:v>1.75</x:v>
      </x:c>
      <x:c r="HI29" s="1242" t="s">
        <x:v>113</x:v>
      </x:c>
      <x:c r="HJ29" s="1242">
        <x:v>0</x:v>
      </x:c>
      <x:c r="HK29" s="1242">
        <x:v>1.75</x:v>
      </x:c>
      <x:c r="HL29" s="1242" t="s">
        <x:v>113</x:v>
      </x:c>
      <x:c r="HM29" s="1242">
        <x:v>7.5</x:v>
      </x:c>
      <x:c r="HN29" s="1242">
        <x:v>7.5</x:v>
      </x:c>
      <x:c r="HO29" s="1242">
        <x:v>0</x:v>
      </x:c>
      <x:c r="HP29" s="1242">
        <x:v>6.75</x:v>
      </x:c>
      <x:c r="HQ29" s="1242">
        <x:v>0</x:v>
      </x:c>
      <x:c r="HR29" s="1242">
        <x:v>6.75</x:v>
      </x:c>
      <x:c r="HS29" s="1242">
        <x:v>0</x:v>
      </x:c>
      <x:c r="HT29" s="1242">
        <x:v>6.25</x:v>
      </x:c>
      <x:c r="HU29" s="1242">
        <x:v>0</x:v>
      </x:c>
      <x:c r="HV29" s="1242">
        <x:v>6.25</x:v>
      </x:c>
      <x:c r="HW29" s="1242">
        <x:v>5</x:v>
      </x:c>
      <x:c r="HX29" s="1242" t="s">
        <x:v>116</x:v>
      </x:c>
      <x:c r="HY29" s="1246" t="s">
        <x:v>116</x:v>
      </x:c>
      <x:c r="HZ29" s="1246" t="s">
        <x:v>1622</x:v>
      </x:c>
      <x:c r="IA29" s="1246" t="s">
        <x:v>116</x:v>
      </x:c>
      <x:c r="IB29" s="1246"/>
      <x:c r="IC29" s="1246"/>
      <x:c r="ID29" s="1247"/>
      <x:c r="IE29" s="1241" t="s">
        <x:v>1414</x:v>
      </x:c>
      <x:c r="IF29" s="1242" t="s">
        <x:v>35</x:v>
      </x:c>
      <x:c r="IG29" s="1243">
        <x:v>6</x:v>
      </x:c>
      <x:c r="IH29" s="1244">
        <x:v>0.375</x:v>
      </x:c>
      <x:c r="II29" s="1242">
        <x:v>7</x:v>
      </x:c>
      <x:c r="IJ29" s="1243">
        <x:v>6</x:v>
      </x:c>
      <x:c r="IK29" s="1244">
        <x:v>2.75</x:v>
      </x:c>
      <x:c r="IL29" s="1242">
        <x:v>6</x:v>
      </x:c>
      <x:c r="IM29" s="1242">
        <x:v>1.5</x:v>
      </x:c>
      <x:c r="IN29" s="1242" t="s">
        <x:v>116</x:v>
      </x:c>
      <x:c r="IO29" s="1242" t="s">
        <x:v>35</x:v>
      </x:c>
      <x:c r="IP29" s="1242">
        <x:v>5</x:v>
      </x:c>
      <x:c r="IQ29" s="1242">
        <x:v>13</x:v>
      </x:c>
      <x:c r="IR29" s="1242">
        <x:v>4</x:v>
      </x:c>
      <x:c r="IS29" s="1243">
        <x:v>1.75</x:v>
      </x:c>
      <x:c r="IT29" s="1244" t="s">
        <x:v>116</x:v>
      </x:c>
      <x:c r="IU29" s="1242" t="s">
        <x:v>116</x:v>
      </x:c>
      <x:c r="IV29" s="1242" t="s">
        <x:v>116</x:v>
      </x:c>
      <x:c r="IW29" s="1243" t="s">
        <x:v>116</x:v>
      </x:c>
      <x:c r="IX29" s="1244" t="s">
        <x:v>116</x:v>
      </x:c>
      <x:c r="IY29" s="1242" t="s">
        <x:v>116</x:v>
      </x:c>
      <x:c r="IZ29" s="1242" t="s">
        <x:v>116</x:v>
      </x:c>
      <x:c r="JA29" s="1243" t="s">
        <x:v>116</x:v>
      </x:c>
      <x:c r="JB29" s="1244" t="s">
        <x:v>116</x:v>
      </x:c>
      <x:c r="JC29" s="1242" t="s">
        <x:v>116</x:v>
      </x:c>
      <x:c r="JD29" s="1242" t="s">
        <x:v>116</x:v>
      </x:c>
      <x:c r="JE29" s="1243" t="s">
        <x:v>116</x:v>
      </x:c>
      <x:c r="JF29" s="1244" t="s">
        <x:v>116</x:v>
      </x:c>
      <x:c r="JG29" s="1242" t="s">
        <x:v>116</x:v>
      </x:c>
      <x:c r="JH29" s="1242" t="s">
        <x:v>116</x:v>
      </x:c>
      <x:c r="JI29" s="1242" t="s">
        <x:v>116</x:v>
      </x:c>
      <x:c r="JJ29" s="1245" t="s">
        <x:v>116</x:v>
      </x:c>
      <x:c r="JK29" s="1242">
        <x:v>1</x:v>
      </x:c>
      <x:c r="JL29" s="1171">
        <x:f t="shared" ca="1" si="35"/>
        <x:v>1</x:v>
      </x:c>
    </x:row>
    <x:row r="30" spans="1:274" s="145" customFormat="1" ht="12.6" customHeight="1" x14ac:dyDescent="0.25">
      <x:c r="A30" s="2764" t="s">
        <x:v>1403</x:v>
      </x:c>
      <x:c r="B30" s="2765">
        <x:v>2</x:v>
      </x:c>
      <x:c r="C30" s="2766" t="s">
        <x:v>1577</x:v>
      </x:c>
      <x:c r="D30" s="2767">
        <x:v>55</x:v>
      </x:c>
      <x:c r="E30" s="2768">
        <x:v>11.5</x:v>
      </x:c>
      <x:c r="F30" s="2769">
        <x:v>11.125</x:v>
      </x:c>
      <x:c r="G30" s="2770">
        <x:v>0</x:v>
      </x:c>
      <x:c r="H30" s="2771">
        <x:v>1.75</x:v>
      </x:c>
      <x:c r="I30" s="2772" t="s">
        <x:v>113</x:v>
      </x:c>
      <x:c r="J30" s="2767">
        <x:v>0</x:v>
      </x:c>
      <x:c r="K30" s="2771">
        <x:v>1.75</x:v>
      </x:c>
      <x:c r="L30" s="2773" t="s">
        <x:v>113</x:v>
      </x:c>
      <x:c r="M30" s="2774">
        <x:v>7.5</x:v>
      </x:c>
      <x:c r="N30" s="2775">
        <x:v>7.5</x:v>
      </x:c>
      <x:c r="O30" s="2770">
        <x:v>0</x:v>
      </x:c>
      <x:c r="P30" s="2771">
        <x:v>6.75</x:v>
      </x:c>
      <x:c r="Q30" s="2767">
        <x:v>0</x:v>
      </x:c>
      <x:c r="R30" s="2768">
        <x:v>6.75</x:v>
      </x:c>
      <x:c r="S30" s="2776">
        <x:v>0</x:v>
      </x:c>
      <x:c r="T30" s="2771">
        <x:v>6.25</x:v>
      </x:c>
      <x:c r="U30" s="2767">
        <x:v>0</x:v>
      </x:c>
      <x:c r="V30" s="2771">
        <x:v>6.25</x:v>
      </x:c>
      <x:c r="W30" s="2775">
        <x:v>5</x:v>
      </x:c>
      <x:c r="X30" s="2777" t="str">
        <x:f t="shared" si="48"/>
        <x:v/>
      </x:c>
      <x:c r="Y30" s="2778" t="str">
        <x:f t="shared" si="49"/>
        <x:v/>
      </x:c>
      <x:c r="Z30" s="2779" t="s">
        <x:v>1623</x:v>
      </x:c>
      <x:c r="AA30" s="2780" t="str">
        <x:f t="shared" si="50"/>
        <x:v/>
      </x:c>
      <x:c r="AB30" s="2764" t="s">
        <x:v>1415</x:v>
      </x:c>
      <x:c r="AC30" s="2772" t="s">
        <x:v>35</x:v>
      </x:c>
      <x:c r="AD30" s="2767">
        <x:v>6</x:v>
      </x:c>
      <x:c r="AE30" s="2771">
        <x:v>0.375</x:v>
      </x:c>
      <x:c r="AF30" s="2772">
        <x:v>7</x:v>
      </x:c>
      <x:c r="AG30" s="2767">
        <x:v>6</x:v>
      </x:c>
      <x:c r="AH30" s="2771">
        <x:v>2.75</x:v>
      </x:c>
      <x:c r="AI30" s="2767">
        <x:v>5</x:v>
      </x:c>
      <x:c r="AJ30" s="2771">
        <x:v>6</x:v>
      </x:c>
      <x:c r="AK30" s="2813" t="str">
        <x:f t="shared" si="12"/>
        <x:v/>
      </x:c>
      <x:c r="AL30" s="2814" t="s">
        <x:v>35</x:v>
      </x:c>
      <x:c r="AM30" s="2815">
        <x:v>5</x:v>
      </x:c>
      <x:c r="AN30" s="2772">
        <x:v>13</x:v>
      </x:c>
      <x:c r="AO30" s="2816">
        <x:v>4</x:v>
      </x:c>
      <x:c r="AP30" s="2774">
        <x:v>1.75</x:v>
      </x:c>
      <x:c r="AQ30" s="2817" t="str">
        <x:f t="shared" si="3"/>
        <x:v/>
      </x:c>
      <x:c r="AR30" s="2770">
        <x:v>54</x:v>
      </x:c>
      <x:c r="AS30" s="2771">
        <x:v>8</x:v>
      </x:c>
      <x:c r="AT30" s="2818">
        <x:v>13.8</x:v>
      </x:c>
      <x:c r="AU30" s="2819" t="s">
        <x:v>35</x:v>
      </x:c>
      <x:c r="AV30" s="2776" t="str">
        <x:f t="shared" si="16"/>
        <x:v/>
      </x:c>
      <x:c r="AW30" s="2771" t="str">
        <x:f t="shared" si="17"/>
        <x:v/>
      </x:c>
      <x:c r="AX30" s="2818" t="str">
        <x:f t="shared" si="18"/>
        <x:v/>
      </x:c>
      <x:c r="AY30" s="2819" t="str">
        <x:f t="shared" si="5"/>
        <x:v/>
      </x:c>
      <x:c r="AZ30" s="2776" t="str">
        <x:f t="shared" si="19"/>
        <x:v/>
      </x:c>
      <x:c r="BA30" s="2771" t="str">
        <x:f t="shared" si="20"/>
        <x:v/>
      </x:c>
      <x:c r="BB30" s="2818" t="str">
        <x:f t="shared" si="21"/>
        <x:v/>
      </x:c>
      <x:c r="BC30" s="2819" t="str">
        <x:f t="shared" si="6"/>
        <x:v/>
      </x:c>
      <x:c r="BD30" s="2776" t="str">
        <x:f t="shared" si="22"/>
        <x:v/>
      </x:c>
      <x:c r="BE30" s="2771" t="str">
        <x:f t="shared" si="23"/>
        <x:v/>
      </x:c>
      <x:c r="BF30" s="2818" t="str">
        <x:f t="shared" si="24"/>
        <x:v/>
      </x:c>
      <x:c r="BG30" s="2819" t="str">
        <x:f t="shared" si="7"/>
        <x:v/>
      </x:c>
      <x:c r="BH30" s="262"/>
      <x:c r="BJ30" s="1301" t="str">
        <x:f t="shared" ref="BJ30:BJ45" si="75">IF(AND(OR(ISBLANK(A30),A30=""),Z30&lt;&gt;""),BJ29,IF(OR(ISBLANK(A30),A30=""),"",A30))</x:f>
        <x:v>G3</x:v>
      </x:c>
      <x:c r="BK30" s="993" t="b">
        <x:f>IF($BK$1,IF(BJ30=BJ29,BK29,IF(AND(BJ30&lt;&gt;"",OR(B30=0,B30="")),TRUE,FALSE)),FALSE)</x:f>
        <x:v>0</x:v>
      </x:c>
      <x:c r="BL30" s="1800" t="b">
        <x:v>0</x:v>
      </x:c>
      <x:c r="BM30" s="989">
        <x:f t="shared" si="64"/>
        <x:v>48</x:v>
      </x:c>
      <x:c r="BN30" s="989" t="str">
        <x:f t="shared" si="65"/>
        <x:v>VG</x:v>
      </x:c>
      <x:c r="BO30" s="989">
        <x:f t="shared" si="66"/>
        <x:v>9</x:v>
      </x:c>
      <x:c r="BP30" s="989">
        <x:f t="shared" si="51"/>
        <x:v>16.3</x:v>
      </x:c>
      <x:c r="BQ30" s="989">
        <x:f t="shared" si="67"/>
        <x:v>0</x:v>
      </x:c>
      <x:c r="BR30" s="989" t="b">
        <x:f t="shared" si="68"/>
        <x:v>1</x:v>
      </x:c>
      <x:c r="BS30" s="1302">
        <x:f t="shared" si="69"/>
        <x:v>7.75</x:v>
      </x:c>
      <x:c r="BT30" s="990" t="str">
        <x:f t="shared" si="70"/>
        <x:v>Yes</x:v>
      </x:c>
      <x:c r="BU30" s="1302">
        <x:f t="shared" si="71"/>
        <x:v>7.75</x:v>
      </x:c>
      <x:c r="BV30" s="990" t="str">
        <x:f t="shared" si="72"/>
        <x:v>Yes</x:v>
      </x:c>
      <x:c r="BW30" s="991">
        <x:f t="shared" si="25"/>
        <x:v>18</x:v>
      </x:c>
      <x:c r="BX30" s="991" t="str">
        <x:f t="shared" si="32"/>
        <x:v>G15</x:v>
      </x:c>
      <x:c r="BY30" s="991" t="b">
        <x:f t="shared" si="26"/>
        <x:v>0</x:v>
      </x:c>
      <x:c r="BZ30" s="1303" t="b">
        <x:f t="shared" si="33"/>
        <x:v>0</x:v>
      </x:c>
      <x:c r="CB30" s="672"/>
      <x:c r="CC30" s="1684"/>
      <x:c r="CD30" s="699"/>
      <x:c r="CE30" s="700"/>
      <x:c r="CF30" s="1328"/>
      <x:c r="CG30" s="672"/>
      <x:c r="CH30" s="713"/>
      <x:c r="CI30" s="714"/>
      <x:c r="CJ30" s="713"/>
      <x:c r="CK30" s="714"/>
      <x:c r="CL30" s="715"/>
      <x:c r="CM30" s="743"/>
      <x:c r="CN30" s="738"/>
      <x:c r="CO30" s="1551"/>
      <x:c r="CP30" s="910"/>
      <x:c r="CQ30" s="672"/>
      <x:c r="CR30" s="713"/>
      <x:c r="CS30" s="714"/>
      <x:c r="CT30" s="713"/>
      <x:c r="CU30" s="714"/>
      <x:c r="CV30" s="715"/>
      <x:c r="CW30" s="743"/>
      <x:c r="CX30" s="738"/>
      <x:c r="CY30" s="1551"/>
      <x:c r="CZ30" s="910"/>
      <x:c r="DA30" s="717"/>
      <x:c r="DB30" s="702"/>
      <x:c r="DC30" s="703"/>
      <x:c r="DD30" s="1598"/>
      <x:c r="DE30" s="1599"/>
      <x:c r="DF30" s="141"/>
      <x:c r="DG30" s="141"/>
      <x:c r="DH30" s="672"/>
      <x:c r="DI30" s="673"/>
      <x:c r="DJ30" s="692"/>
      <x:c r="DK30" s="1331"/>
      <x:c r="DL30" s="674"/>
      <x:c r="DM30" s="693"/>
      <x:c r="DN30" s="1334"/>
      <x:c r="DO30" s="675"/>
      <x:c r="DP30" s="676"/>
      <x:c r="DQ30" s="1419"/>
      <x:c r="DR30" s="677"/>
      <x:c r="DS30" s="1611"/>
      <x:c r="DT30" s="1606"/>
      <x:c r="DU30" s="1607"/>
      <x:c r="DV30" s="678"/>
      <x:c r="DW30" s="1336"/>
      <x:c r="DX30" s="679"/>
      <x:c r="DY30" s="674"/>
      <x:c r="DZ30" s="678"/>
      <x:c r="EA30" s="1336"/>
      <x:c r="EB30" s="679"/>
      <x:c r="EC30" s="674"/>
      <x:c r="ED30" s="678"/>
      <x:c r="EE30" s="1336"/>
      <x:c r="EF30" s="679"/>
      <x:c r="EG30" s="674"/>
      <x:c r="EH30" s="678"/>
      <x:c r="EI30" s="1336"/>
      <x:c r="EJ30" s="679"/>
      <x:c r="EK30" s="680"/>
      <x:c r="EL30" s="141"/>
      <x:c r="EM30" s="1631" t="str">
        <x:f t="shared" si="73"/>
        <x:v/>
      </x:c>
      <x:c r="EN30" s="1632" t="str">
        <x:f t="shared" si="52"/>
        <x:v/>
      </x:c>
      <x:c r="EO30" s="648" t="str">
        <x:f t="shared" si="53"/>
        <x:v/>
      </x:c>
      <x:c r="EP30" s="649" t="str">
        <x:f t="shared" si="54"/>
        <x:v/>
      </x:c>
      <x:c r="EQ30" s="813" t="str">
        <x:f t="shared" si="55"/>
        <x:v/>
      </x:c>
      <x:c r="ER30" s="1590" t="str">
        <x:f t="shared" si="56"/>
        <x:v/>
      </x:c>
      <x:c r="ES30" s="1591" t="str">
        <x:f t="shared" si="57"/>
        <x:v/>
      </x:c>
      <x:c r="ET30" s="1588" t="str">
        <x:f t="shared" si="58"/>
        <x:v/>
      </x:c>
      <x:c r="EU30" s="1589" t="str">
        <x:f t="shared" si="59"/>
        <x:v/>
      </x:c>
      <x:c r="EV30" s="130"/>
      <x:c r="EW30" s="130"/>
      <x:c r="EX30" s="503" t="str">
        <x:f t="shared" si="27"/>
        <x:v>G15B</x:v>
      </x:c>
      <x:c r="EY30" s="940" t="b">
        <x:f t="shared" ca="1" si="8"/>
        <x:v>1</x:v>
      </x:c>
      <x:c r="EZ30" s="940">
        <x:f t="shared" si="28"/>
        <x:v>5</x:v>
      </x:c>
      <x:c r="FA30" s="958" t="b">
        <x:f t="shared" si="34"/>
        <x:v>1</x:v>
      </x:c>
      <x:c r="FB30" s="134">
        <x:f t="shared" si="29"/>
        <x:v>661.625</x:v>
      </x:c>
      <x:c r="FC30" s="134">
        <x:f t="shared" si="9"/>
        <x:v>72.375</x:v>
      </x:c>
      <x:c r="FD30" s="134">
        <x:f t="shared" si="10"/>
        <x:v>523.25</x:v>
      </x:c>
      <x:c r="FE30" s="134">
        <x:f t="shared" si="11"/>
        <x:v>66</x:v>
      </x:c>
      <x:c r="FF30" s="134">
        <x:f t="shared" si="30"/>
        <x:v>661.625</x:v>
      </x:c>
      <x:c r="FN30" s="993" t="b">
        <x:v>0</x:v>
      </x:c>
      <x:c r="FO30" s="755" t="b">
        <x:f t="shared" si="74"/>
        <x:v>1</x:v>
      </x:c>
      <x:c r="FP30" s="754" t="b">
        <x:v>0</x:v>
      </x:c>
      <x:c r="FQ30" s="755" t="b">
        <x:f t="shared" si="31"/>
        <x:v>1</x:v>
      </x:c>
      <x:c r="FX30" s="197"/>
      <x:c r="FZ30" s="2"/>
      <x:c r="GA30" s="1761">
        <x:v>56</x:v>
      </x:c>
      <x:c r="GB30" s="1762">
        <x:v>0</x:v>
      </x:c>
      <x:c r="GC30" s="1763">
        <x:v>-0.25</x:v>
      </x:c>
      <x:c r="GD30" s="1764">
        <x:v>-0.25</x:v>
      </x:c>
      <x:c r="GE30" s="1765">
        <x:f t="shared" si="60"/>
        <x:v>0</x:v>
      </x:c>
      <x:c r="GF30" s="582" t="str">
        <x:f t="shared" si="61"/>
        <x:v>G3</x:v>
      </x:c>
      <x:c r="GG30" s="692">
        <x:v>0</x:v>
      </x:c>
      <x:c r="GH30" s="1135">
        <x:v>0</x:v>
      </x:c>
      <x:c r="GI30" s="692"/>
      <x:c r="GJ30" s="1135"/>
      <x:c r="GK30" s="1640">
        <x:f t="shared" si="62"/>
        <x:v>671.5</x:v>
      </x:c>
      <x:c r="GL30" s="1640">
        <x:f t="shared" si="63"/>
        <x:v>671.5</x:v>
      </x:c>
      <x:c r="GM30" s="1641">
        <x:f>IF(ABS(GK30-GL30)&gt;='Job Info.'!$L$22,ABS(GK30-GL30),0)</x:f>
        <x:v>0</x:v>
      </x:c>
      <x:c r="GZ30" s="130"/>
      <x:c r="HA30" s="1241" t="s">
        <x:v>1403</x:v>
      </x:c>
      <x:c r="HB30" s="1242">
        <x:v>2</x:v>
      </x:c>
      <x:c r="HC30" s="1242" t="s">
        <x:v>1577</x:v>
      </x:c>
      <x:c r="HD30" s="1243">
        <x:v>55</x:v>
      </x:c>
      <x:c r="HE30" s="1244">
        <x:v>11.5</x:v>
      </x:c>
      <x:c r="HF30" s="1242">
        <x:v>11.125</x:v>
      </x:c>
      <x:c r="HG30" s="1242">
        <x:v>0</x:v>
      </x:c>
      <x:c r="HH30" s="1242">
        <x:v>1.75</x:v>
      </x:c>
      <x:c r="HI30" s="1242" t="s">
        <x:v>113</x:v>
      </x:c>
      <x:c r="HJ30" s="1242">
        <x:v>0</x:v>
      </x:c>
      <x:c r="HK30" s="1242">
        <x:v>1.75</x:v>
      </x:c>
      <x:c r="HL30" s="1242" t="s">
        <x:v>113</x:v>
      </x:c>
      <x:c r="HM30" s="1242">
        <x:v>7.5</x:v>
      </x:c>
      <x:c r="HN30" s="1242">
        <x:v>7.5</x:v>
      </x:c>
      <x:c r="HO30" s="1242">
        <x:v>0</x:v>
      </x:c>
      <x:c r="HP30" s="1242">
        <x:v>6.75</x:v>
      </x:c>
      <x:c r="HQ30" s="1242">
        <x:v>0</x:v>
      </x:c>
      <x:c r="HR30" s="1242">
        <x:v>6.75</x:v>
      </x:c>
      <x:c r="HS30" s="1242">
        <x:v>0</x:v>
      </x:c>
      <x:c r="HT30" s="1242">
        <x:v>6.25</x:v>
      </x:c>
      <x:c r="HU30" s="1242">
        <x:v>0</x:v>
      </x:c>
      <x:c r="HV30" s="1242">
        <x:v>6.25</x:v>
      </x:c>
      <x:c r="HW30" s="1242">
        <x:v>5</x:v>
      </x:c>
      <x:c r="HX30" s="1242" t="s">
        <x:v>116</x:v>
      </x:c>
      <x:c r="HY30" s="1248" t="s">
        <x:v>116</x:v>
      </x:c>
      <x:c r="HZ30" s="1248" t="s">
        <x:v>1623</x:v>
      </x:c>
      <x:c r="IA30" s="1248" t="s">
        <x:v>116</x:v>
      </x:c>
      <x:c r="IB30" s="1248"/>
      <x:c r="IC30" s="1248"/>
      <x:c r="ID30" s="1247"/>
      <x:c r="IE30" s="1241" t="s">
        <x:v>1415</x:v>
      </x:c>
      <x:c r="IF30" s="1242" t="s">
        <x:v>35</x:v>
      </x:c>
      <x:c r="IG30" s="1243">
        <x:v>6</x:v>
      </x:c>
      <x:c r="IH30" s="1244">
        <x:v>0.375</x:v>
      </x:c>
      <x:c r="II30" s="1242">
        <x:v>7</x:v>
      </x:c>
      <x:c r="IJ30" s="1243">
        <x:v>6</x:v>
      </x:c>
      <x:c r="IK30" s="1244">
        <x:v>2.75</x:v>
      </x:c>
      <x:c r="IL30" s="1242">
        <x:v>5</x:v>
      </x:c>
      <x:c r="IM30" s="1242">
        <x:v>6</x:v>
      </x:c>
      <x:c r="IN30" s="1242" t="s">
        <x:v>116</x:v>
      </x:c>
      <x:c r="IO30" s="1242" t="s">
        <x:v>35</x:v>
      </x:c>
      <x:c r="IP30" s="1242">
        <x:v>5</x:v>
      </x:c>
      <x:c r="IQ30" s="1242">
        <x:v>13</x:v>
      </x:c>
      <x:c r="IR30" s="1242">
        <x:v>4</x:v>
      </x:c>
      <x:c r="IS30" s="1243">
        <x:v>1.75</x:v>
      </x:c>
      <x:c r="IT30" s="1244" t="s">
        <x:v>116</x:v>
      </x:c>
      <x:c r="IU30" s="1242">
        <x:v>54</x:v>
      </x:c>
      <x:c r="IV30" s="1242">
        <x:v>8</x:v>
      </x:c>
      <x:c r="IW30" s="1243">
        <x:v>13.8</x:v>
      </x:c>
      <x:c r="IX30" s="1244" t="s">
        <x:v>35</x:v>
      </x:c>
      <x:c r="IY30" s="1242" t="s">
        <x:v>116</x:v>
      </x:c>
      <x:c r="IZ30" s="1242" t="s">
        <x:v>116</x:v>
      </x:c>
      <x:c r="JA30" s="1243" t="s">
        <x:v>116</x:v>
      </x:c>
      <x:c r="JB30" s="1244" t="s">
        <x:v>116</x:v>
      </x:c>
      <x:c r="JC30" s="1242" t="s">
        <x:v>116</x:v>
      </x:c>
      <x:c r="JD30" s="1242" t="s">
        <x:v>116</x:v>
      </x:c>
      <x:c r="JE30" s="1243" t="s">
        <x:v>116</x:v>
      </x:c>
      <x:c r="JF30" s="1244" t="s">
        <x:v>116</x:v>
      </x:c>
      <x:c r="JG30" s="1242" t="s">
        <x:v>116</x:v>
      </x:c>
      <x:c r="JH30" s="1242" t="s">
        <x:v>116</x:v>
      </x:c>
      <x:c r="JI30" s="1242" t="s">
        <x:v>116</x:v>
      </x:c>
      <x:c r="JJ30" s="1248" t="s">
        <x:v>116</x:v>
      </x:c>
      <x:c r="JK30" s="1242">
        <x:v>1</x:v>
      </x:c>
      <x:c r="JL30" s="1171">
        <x:f t="shared" ca="1" si="35"/>
        <x:v>1</x:v>
      </x:c>
    </x:row>
    <x:row r="31" spans="1:274" s="145" customFormat="1" ht="12.6" customHeight="1" x14ac:dyDescent="0.25">
      <x:c r="A31" s="2764" t="s">
        <x:v>1404</x:v>
      </x:c>
      <x:c r="B31" s="2765">
        <x:v>1</x:v>
      </x:c>
      <x:c r="C31" s="2766" t="s">
        <x:v>1577</x:v>
      </x:c>
      <x:c r="D31" s="2767">
        <x:v>55</x:v>
      </x:c>
      <x:c r="E31" s="2768">
        <x:v>10.875</x:v>
      </x:c>
      <x:c r="F31" s="2769">
        <x:v>11.125</x:v>
      </x:c>
      <x:c r="G31" s="2770">
        <x:v>0</x:v>
      </x:c>
      <x:c r="H31" s="2771">
        <x:v>1.75</x:v>
      </x:c>
      <x:c r="I31" s="2772" t="s">
        <x:v>113</x:v>
      </x:c>
      <x:c r="J31" s="2767" t="str">
        <x:f t="shared" ref="J31:J44" si="76">IF(DJ71=0,"",TRUNC(DJ71/12))</x:f>
        <x:v/>
      </x:c>
      <x:c r="K31" s="2771" t="str">
        <x:f t="shared" ref="K31:K44" si="77">IF(DJ71=0,"",DJ71-(J31*12))</x:f>
        <x:v/>
      </x:c>
      <x:c r="L31" s="2773" t="str">
        <x:f t="shared" ref="L31:L44" si="78">IF(DJ71=0,"",CN71)</x:f>
        <x:v/>
      </x:c>
      <x:c r="M31" s="2774">
        <x:v>7.5</x:v>
      </x:c>
      <x:c r="N31" s="2775">
        <x:v>10</x:v>
      </x:c>
      <x:c r="O31" s="2770">
        <x:v>0</x:v>
      </x:c>
      <x:c r="P31" s="2771">
        <x:v>6.75</x:v>
      </x:c>
      <x:c r="Q31" s="2767">
        <x:v>0</x:v>
      </x:c>
      <x:c r="R31" s="2768">
        <x:v>6.125</x:v>
      </x:c>
      <x:c r="S31" s="2776">
        <x:v>0</x:v>
      </x:c>
      <x:c r="T31" s="2771">
        <x:v>6.25</x:v>
      </x:c>
      <x:c r="U31" s="2767">
        <x:v>0</x:v>
      </x:c>
      <x:c r="V31" s="2771">
        <x:v>2.125</x:v>
      </x:c>
      <x:c r="W31" s="2775">
        <x:v>5</x:v>
      </x:c>
      <x:c r="X31" s="2777" t="str">
        <x:f t="shared" si="48"/>
        <x:v/>
      </x:c>
      <x:c r="Y31" s="2778" t="str">
        <x:f t="shared" si="49"/>
        <x:v/>
      </x:c>
      <x:c r="Z31" s="2779" t="s">
        <x:v>1624</x:v>
      </x:c>
      <x:c r="AA31" s="2780" t="str">
        <x:f t="shared" si="50"/>
        <x:v/>
      </x:c>
      <x:c r="AB31" s="2764" t="s">
        <x:v>1416</x:v>
      </x:c>
      <x:c r="AC31" s="2772" t="s">
        <x:v>35</x:v>
      </x:c>
      <x:c r="AD31" s="2767">
        <x:v>6</x:v>
      </x:c>
      <x:c r="AE31" s="2771">
        <x:v>0.375</x:v>
      </x:c>
      <x:c r="AF31" s="2772">
        <x:v>7</x:v>
      </x:c>
      <x:c r="AG31" s="2767">
        <x:v>6</x:v>
      </x:c>
      <x:c r="AH31" s="2771">
        <x:v>2.75</x:v>
      </x:c>
      <x:c r="AI31" s="2767">
        <x:v>6</x:v>
      </x:c>
      <x:c r="AJ31" s="2771">
        <x:v>0.375</x:v>
      </x:c>
      <x:c r="AK31" s="2813" t="str">
        <x:f t="shared" si="12"/>
        <x:v/>
      </x:c>
      <x:c r="AL31" s="2814" t="s">
        <x:v>35</x:v>
      </x:c>
      <x:c r="AM31" s="2815">
        <x:v>5</x:v>
      </x:c>
      <x:c r="AN31" s="2772">
        <x:v>13</x:v>
      </x:c>
      <x:c r="AO31" s="2816">
        <x:v>4</x:v>
      </x:c>
      <x:c r="AP31" s="2774">
        <x:v>1.75</x:v>
      </x:c>
      <x:c r="AQ31" s="2817">
        <x:v>1.75</x:v>
      </x:c>
      <x:c r="AR31" s="2770" t="str">
        <x:f t="shared" si="13"/>
        <x:v/>
      </x:c>
      <x:c r="AS31" s="2771" t="str">
        <x:f t="shared" si="14"/>
        <x:v/>
      </x:c>
      <x:c r="AT31" s="2818" t="str">
        <x:f t="shared" si="15"/>
        <x:v/>
      </x:c>
      <x:c r="AU31" s="2819" t="str">
        <x:f t="shared" si="4"/>
        <x:v/>
      </x:c>
      <x:c r="AV31" s="2776" t="str">
        <x:f t="shared" si="16"/>
        <x:v/>
      </x:c>
      <x:c r="AW31" s="2771" t="str">
        <x:f t="shared" si="17"/>
        <x:v/>
      </x:c>
      <x:c r="AX31" s="2818" t="str">
        <x:f t="shared" si="18"/>
        <x:v/>
      </x:c>
      <x:c r="AY31" s="2819" t="str">
        <x:f t="shared" si="5"/>
        <x:v/>
      </x:c>
      <x:c r="AZ31" s="2776" t="str">
        <x:f t="shared" si="19"/>
        <x:v/>
      </x:c>
      <x:c r="BA31" s="2771" t="str">
        <x:f t="shared" si="20"/>
        <x:v/>
      </x:c>
      <x:c r="BB31" s="2818" t="str">
        <x:f t="shared" si="21"/>
        <x:v/>
      </x:c>
      <x:c r="BC31" s="2819" t="str">
        <x:f t="shared" si="6"/>
        <x:v/>
      </x:c>
      <x:c r="BD31" s="2776" t="str">
        <x:f t="shared" si="22"/>
        <x:v/>
      </x:c>
      <x:c r="BE31" s="2771" t="str">
        <x:f t="shared" si="23"/>
        <x:v/>
      </x:c>
      <x:c r="BF31" s="2818" t="str">
        <x:f t="shared" si="24"/>
        <x:v/>
      </x:c>
      <x:c r="BG31" s="2819" t="str">
        <x:f t="shared" si="7"/>
        <x:v/>
      </x:c>
      <x:c r="BH31" s="262"/>
      <x:c r="BJ31" s="1301" t="str">
        <x:f t="shared" si="75"/>
        <x:v>G4</x:v>
      </x:c>
      <x:c r="BK31" s="993" t="b">
        <x:f t="shared" ref="BK31:BK45" si="79">IF($BK$1,IF(BJ31=BJ30,BK30,IF(AND(BJ31&lt;&gt;"",OR(B31=0,B31="")),TRUE,FALSE)),FALSE)</x:f>
        <x:v>0</x:v>
      </x:c>
      <x:c r="BL31" s="1800" t="b">
        <x:v>0</x:v>
      </x:c>
      <x:c r="BM31" s="989">
        <x:f t="shared" si="64"/>
        <x:v>48</x:v>
      </x:c>
      <x:c r="BN31" s="989" t="str">
        <x:f t="shared" si="65"/>
        <x:v>VG</x:v>
      </x:c>
      <x:c r="BO31" s="989">
        <x:f t="shared" si="66"/>
        <x:v>9</x:v>
      </x:c>
      <x:c r="BP31" s="989">
        <x:f t="shared" si="51"/>
        <x:v>16.3</x:v>
      </x:c>
      <x:c r="BQ31" s="989">
        <x:f t="shared" si="67"/>
        <x:v>0</x:v>
      </x:c>
      <x:c r="BR31" s="989" t="b">
        <x:f t="shared" si="68"/>
        <x:v>1</x:v>
      </x:c>
      <x:c r="BS31" s="1302">
        <x:f t="shared" si="69"/>
        <x:v>7.75</x:v>
      </x:c>
      <x:c r="BT31" s="990" t="str">
        <x:f t="shared" si="70"/>
        <x:v>Yes</x:v>
      </x:c>
      <x:c r="BU31" s="1302">
        <x:f t="shared" si="71"/>
        <x:v>6</x:v>
      </x:c>
      <x:c r="BV31" s="990" t="str">
        <x:f t="shared" si="72"/>
        <x:v>Yes</x:v>
      </x:c>
      <x:c r="BW31" s="991">
        <x:f t="shared" si="25"/>
        <x:v>15</x:v>
      </x:c>
      <x:c r="BX31" s="991" t="str">
        <x:f t="shared" si="32"/>
        <x:v>G16</x:v>
      </x:c>
      <x:c r="BY31" s="991" t="b">
        <x:f t="shared" si="26"/>
        <x:v>0</x:v>
      </x:c>
      <x:c r="BZ31" s="1303" t="b">
        <x:f t="shared" si="33"/>
        <x:v>0</x:v>
      </x:c>
      <x:c r="CB31" s="672"/>
      <x:c r="CC31" s="1684"/>
      <x:c r="CD31" s="699"/>
      <x:c r="CE31" s="700"/>
      <x:c r="CF31" s="1328"/>
      <x:c r="CG31" s="672"/>
      <x:c r="CH31" s="713"/>
      <x:c r="CI31" s="714"/>
      <x:c r="CJ31" s="713"/>
      <x:c r="CK31" s="714"/>
      <x:c r="CL31" s="715"/>
      <x:c r="CM31" s="743"/>
      <x:c r="CN31" s="738"/>
      <x:c r="CO31" s="1551"/>
      <x:c r="CP31" s="910"/>
      <x:c r="CQ31" s="672"/>
      <x:c r="CR31" s="713"/>
      <x:c r="CS31" s="714"/>
      <x:c r="CT31" s="713"/>
      <x:c r="CU31" s="714"/>
      <x:c r="CV31" s="715"/>
      <x:c r="CW31" s="743"/>
      <x:c r="CX31" s="738"/>
      <x:c r="CY31" s="1551"/>
      <x:c r="CZ31" s="910"/>
      <x:c r="DA31" s="717"/>
      <x:c r="DB31" s="702"/>
      <x:c r="DC31" s="703"/>
      <x:c r="DD31" s="1598"/>
      <x:c r="DE31" s="1599"/>
      <x:c r="DF31" s="141"/>
      <x:c r="DG31" s="141"/>
      <x:c r="DH31" s="672"/>
      <x:c r="DI31" s="673"/>
      <x:c r="DJ31" s="692"/>
      <x:c r="DK31" s="1331"/>
      <x:c r="DL31" s="674"/>
      <x:c r="DM31" s="693"/>
      <x:c r="DN31" s="1334"/>
      <x:c r="DO31" s="675"/>
      <x:c r="DP31" s="676"/>
      <x:c r="DQ31" s="1419"/>
      <x:c r="DR31" s="677"/>
      <x:c r="DS31" s="1611"/>
      <x:c r="DT31" s="1606"/>
      <x:c r="DU31" s="1607"/>
      <x:c r="DV31" s="678"/>
      <x:c r="DW31" s="1336"/>
      <x:c r="DX31" s="679"/>
      <x:c r="DY31" s="674"/>
      <x:c r="DZ31" s="678"/>
      <x:c r="EA31" s="1336"/>
      <x:c r="EB31" s="679"/>
      <x:c r="EC31" s="674"/>
      <x:c r="ED31" s="678"/>
      <x:c r="EE31" s="1336"/>
      <x:c r="EF31" s="679"/>
      <x:c r="EG31" s="674"/>
      <x:c r="EH31" s="678"/>
      <x:c r="EI31" s="1336"/>
      <x:c r="EJ31" s="679"/>
      <x:c r="EK31" s="680"/>
      <x:c r="EL31" s="141"/>
      <x:c r="EM31" s="1631" t="str">
        <x:f t="shared" si="73"/>
        <x:v/>
      </x:c>
      <x:c r="EN31" s="1632" t="str">
        <x:f t="shared" si="52"/>
        <x:v/>
      </x:c>
      <x:c r="EO31" s="648" t="str">
        <x:f t="shared" si="53"/>
        <x:v/>
      </x:c>
      <x:c r="EP31" s="649" t="str">
        <x:f t="shared" si="54"/>
        <x:v/>
      </x:c>
      <x:c r="EQ31" s="813" t="str">
        <x:f t="shared" si="55"/>
        <x:v/>
      </x:c>
      <x:c r="ER31" s="1590" t="str">
        <x:f t="shared" si="56"/>
        <x:v/>
      </x:c>
      <x:c r="ES31" s="1591" t="str">
        <x:f t="shared" si="57"/>
        <x:v/>
      </x:c>
      <x:c r="ET31" s="1588" t="str">
        <x:f t="shared" si="58"/>
        <x:v/>
      </x:c>
      <x:c r="EU31" s="1589" t="str">
        <x:f t="shared" si="59"/>
        <x:v/>
      </x:c>
      <x:c r="EV31" s="130"/>
      <x:c r="EW31" s="130"/>
      <x:c r="EX31" s="503" t="str">
        <x:f t="shared" si="27"/>
        <x:v>G16B</x:v>
      </x:c>
      <x:c r="EY31" s="940" t="b">
        <x:f t="shared" ca="1" si="8"/>
        <x:v>1</x:v>
      </x:c>
      <x:c r="EZ31" s="940">
        <x:f t="shared" si="28"/>
        <x:v>5</x:v>
      </x:c>
      <x:c r="FA31" s="958" t="b">
        <x:f t="shared" si="34"/>
        <x:v>1</x:v>
      </x:c>
      <x:c r="FB31" s="134">
        <x:f t="shared" si="29"/>
        <x:v>668</x:v>
      </x:c>
      <x:c r="FC31" s="134">
        <x:f t="shared" si="9"/>
        <x:v>72.375</x:v>
      </x:c>
      <x:c r="FD31" s="134">
        <x:f t="shared" si="10"/>
        <x:v>523.25</x:v>
      </x:c>
      <x:c r="FE31" s="134">
        <x:f t="shared" si="11"/>
        <x:v>72.375</x:v>
      </x:c>
      <x:c r="FF31" s="134">
        <x:f t="shared" si="30"/>
        <x:v>668</x:v>
      </x:c>
      <x:c r="FN31" s="993" t="b">
        <x:v>0</x:v>
      </x:c>
      <x:c r="FO31" s="755" t="b">
        <x:f t="shared" si="74"/>
        <x:v>1</x:v>
      </x:c>
      <x:c r="FP31" s="754" t="b">
        <x:v>0</x:v>
      </x:c>
      <x:c r="FQ31" s="755" t="b">
        <x:f t="shared" si="31"/>
        <x:v>1</x:v>
      </x:c>
      <x:c r="FX31" s="197"/>
      <x:c r="FZ31" s="2"/>
      <x:c r="GA31" s="1761">
        <x:v>56</x:v>
      </x:c>
      <x:c r="GB31" s="1762">
        <x:v>0</x:v>
      </x:c>
      <x:c r="GC31" s="1763">
        <x:v>-0.25</x:v>
      </x:c>
      <x:c r="GD31" s="1764">
        <x:v>-0.875</x:v>
      </x:c>
      <x:c r="GE31" s="1765">
        <x:f t="shared" si="60"/>
        <x:v>0</x:v>
      </x:c>
      <x:c r="GF31" s="582" t="str">
        <x:f t="shared" si="61"/>
        <x:v>G4</x:v>
      </x:c>
      <x:c r="GG31" s="692">
        <x:v>0</x:v>
      </x:c>
      <x:c r="GH31" s="1135">
        <x:v>0</x:v>
      </x:c>
      <x:c r="GI31" s="692"/>
      <x:c r="GJ31" s="1135"/>
      <x:c r="GK31" s="1640">
        <x:f t="shared" si="62"/>
        <x:v>670.875</x:v>
      </x:c>
      <x:c r="GL31" s="1640">
        <x:f t="shared" si="63"/>
        <x:v>670.875</x:v>
      </x:c>
      <x:c r="GM31" s="1641">
        <x:f>IF(ABS(GK31-GL31)&gt;='Job Info.'!$L$22,ABS(GK31-GL31),0)</x:f>
        <x:v>0</x:v>
      </x:c>
      <x:c r="GZ31" s="130"/>
      <x:c r="HA31" s="1241" t="s">
        <x:v>1404</x:v>
      </x:c>
      <x:c r="HB31" s="1242">
        <x:v>1</x:v>
      </x:c>
      <x:c r="HC31" s="1242" t="s">
        <x:v>1577</x:v>
      </x:c>
      <x:c r="HD31" s="1243">
        <x:v>55</x:v>
      </x:c>
      <x:c r="HE31" s="1244">
        <x:v>10.875</x:v>
      </x:c>
      <x:c r="HF31" s="1242">
        <x:v>11.125</x:v>
      </x:c>
      <x:c r="HG31" s="1242">
        <x:v>0</x:v>
      </x:c>
      <x:c r="HH31" s="1242">
        <x:v>1.75</x:v>
      </x:c>
      <x:c r="HI31" s="1242" t="s">
        <x:v>113</x:v>
      </x:c>
      <x:c r="HJ31" s="1242" t="s">
        <x:v>116</x:v>
      </x:c>
      <x:c r="HK31" s="1242" t="s">
        <x:v>116</x:v>
      </x:c>
      <x:c r="HL31" s="1242" t="s">
        <x:v>116</x:v>
      </x:c>
      <x:c r="HM31" s="1242">
        <x:v>7.5</x:v>
      </x:c>
      <x:c r="HN31" s="1242">
        <x:v>10</x:v>
      </x:c>
      <x:c r="HO31" s="1242">
        <x:v>0</x:v>
      </x:c>
      <x:c r="HP31" s="1242">
        <x:v>6.75</x:v>
      </x:c>
      <x:c r="HQ31" s="1242">
        <x:v>0</x:v>
      </x:c>
      <x:c r="HR31" s="1242">
        <x:v>6.125</x:v>
      </x:c>
      <x:c r="HS31" s="1242">
        <x:v>0</x:v>
      </x:c>
      <x:c r="HT31" s="1242">
        <x:v>6.25</x:v>
      </x:c>
      <x:c r="HU31" s="1242">
        <x:v>0</x:v>
      </x:c>
      <x:c r="HV31" s="1242">
        <x:v>2.125</x:v>
      </x:c>
      <x:c r="HW31" s="1242">
        <x:v>5</x:v>
      </x:c>
      <x:c r="HX31" s="1242" t="s">
        <x:v>116</x:v>
      </x:c>
      <x:c r="HY31" s="1248" t="s">
        <x:v>116</x:v>
      </x:c>
      <x:c r="HZ31" s="1248" t="s">
        <x:v>1624</x:v>
      </x:c>
      <x:c r="IA31" s="1248" t="s">
        <x:v>116</x:v>
      </x:c>
      <x:c r="IB31" s="1248"/>
      <x:c r="IC31" s="1248"/>
      <x:c r="ID31" s="1247"/>
      <x:c r="IE31" s="1241" t="s">
        <x:v>1416</x:v>
      </x:c>
      <x:c r="IF31" s="1242" t="s">
        <x:v>35</x:v>
      </x:c>
      <x:c r="IG31" s="1243">
        <x:v>6</x:v>
      </x:c>
      <x:c r="IH31" s="1244">
        <x:v>0.375</x:v>
      </x:c>
      <x:c r="II31" s="1242">
        <x:v>7</x:v>
      </x:c>
      <x:c r="IJ31" s="1243">
        <x:v>6</x:v>
      </x:c>
      <x:c r="IK31" s="1244">
        <x:v>2.75</x:v>
      </x:c>
      <x:c r="IL31" s="1242">
        <x:v>6</x:v>
      </x:c>
      <x:c r="IM31" s="1242">
        <x:v>0.375</x:v>
      </x:c>
      <x:c r="IN31" s="1242" t="s">
        <x:v>116</x:v>
      </x:c>
      <x:c r="IO31" s="1242" t="s">
        <x:v>35</x:v>
      </x:c>
      <x:c r="IP31" s="1242">
        <x:v>5</x:v>
      </x:c>
      <x:c r="IQ31" s="1242">
        <x:v>13</x:v>
      </x:c>
      <x:c r="IR31" s="1242">
        <x:v>4</x:v>
      </x:c>
      <x:c r="IS31" s="1243">
        <x:v>1.75</x:v>
      </x:c>
      <x:c r="IT31" s="1244">
        <x:v>1.75</x:v>
      </x:c>
      <x:c r="IU31" s="1242" t="s">
        <x:v>116</x:v>
      </x:c>
      <x:c r="IV31" s="1242" t="s">
        <x:v>116</x:v>
      </x:c>
      <x:c r="IW31" s="1243" t="s">
        <x:v>116</x:v>
      </x:c>
      <x:c r="IX31" s="1244" t="s">
        <x:v>116</x:v>
      </x:c>
      <x:c r="IY31" s="1242" t="s">
        <x:v>116</x:v>
      </x:c>
      <x:c r="IZ31" s="1242" t="s">
        <x:v>116</x:v>
      </x:c>
      <x:c r="JA31" s="1243" t="s">
        <x:v>116</x:v>
      </x:c>
      <x:c r="JB31" s="1244" t="s">
        <x:v>116</x:v>
      </x:c>
      <x:c r="JC31" s="1242" t="s">
        <x:v>116</x:v>
      </x:c>
      <x:c r="JD31" s="1242" t="s">
        <x:v>116</x:v>
      </x:c>
      <x:c r="JE31" s="1243" t="s">
        <x:v>116</x:v>
      </x:c>
      <x:c r="JF31" s="1244" t="s">
        <x:v>116</x:v>
      </x:c>
      <x:c r="JG31" s="1242" t="s">
        <x:v>116</x:v>
      </x:c>
      <x:c r="JH31" s="1242" t="s">
        <x:v>116</x:v>
      </x:c>
      <x:c r="JI31" s="1242" t="s">
        <x:v>116</x:v>
      </x:c>
      <x:c r="JJ31" s="1248" t="s">
        <x:v>116</x:v>
      </x:c>
      <x:c r="JK31" s="1242">
        <x:v>1</x:v>
      </x:c>
      <x:c r="JL31" s="1171">
        <x:f t="shared" ca="1" si="35"/>
        <x:v>1</x:v>
      </x:c>
    </x:row>
    <x:row r="32" spans="1:274" ht="12.6" customHeight="1" x14ac:dyDescent="0.25">
      <x:c r="A32" s="2764" t="s">
        <x:v>1405</x:v>
      </x:c>
      <x:c r="B32" s="2765">
        <x:v>1</x:v>
      </x:c>
      <x:c r="C32" s="2766" t="s">
        <x:v>1577</x:v>
      </x:c>
      <x:c r="D32" s="2767">
        <x:v>55</x:v>
      </x:c>
      <x:c r="E32" s="2768">
        <x:v>8.75</x:v>
      </x:c>
      <x:c r="F32" s="2769">
        <x:v>11.125</x:v>
      </x:c>
      <x:c r="G32" s="2770">
        <x:v>0</x:v>
      </x:c>
      <x:c r="H32" s="2771">
        <x:v>1.75</x:v>
      </x:c>
      <x:c r="I32" s="2772" t="s">
        <x:v>113</x:v>
      </x:c>
      <x:c r="J32" s="2767">
        <x:v>0</x:v>
      </x:c>
      <x:c r="K32" s="2771">
        <x:v>5</x:v>
      </x:c>
      <x:c r="L32" s="2773" t="s">
        <x:v>113</x:v>
      </x:c>
      <x:c r="M32" s="2774">
        <x:v>7.5</x:v>
      </x:c>
      <x:c r="N32" s="2775">
        <x:v>10</x:v>
      </x:c>
      <x:c r="O32" s="2770">
        <x:v>0</x:v>
      </x:c>
      <x:c r="P32" s="2771">
        <x:v>6.75</x:v>
      </x:c>
      <x:c r="Q32" s="2767">
        <x:v>0</x:v>
      </x:c>
      <x:c r="R32" s="2768">
        <x:v>4</x:v>
      </x:c>
      <x:c r="S32" s="2776">
        <x:v>0</x:v>
      </x:c>
      <x:c r="T32" s="2771">
        <x:v>6.25</x:v>
      </x:c>
      <x:c r="U32" s="2767">
        <x:v>0</x:v>
      </x:c>
      <x:c r="V32" s="2771">
        <x:v>4.625</x:v>
      </x:c>
      <x:c r="W32" s="2775">
        <x:v>5</x:v>
      </x:c>
      <x:c r="X32" s="2777" t="str">
        <x:f t="shared" si="48"/>
        <x:v/>
      </x:c>
      <x:c r="Y32" s="2778" t="str">
        <x:f t="shared" si="49"/>
        <x:v/>
      </x:c>
      <x:c r="Z32" s="2781" t="s">
        <x:v>1704</x:v>
      </x:c>
      <x:c r="AA32" s="2780" t="str">
        <x:f t="shared" si="50"/>
        <x:v/>
      </x:c>
      <x:c r="AB32" s="2764" t="str">
        <x:f t="shared" si="37"/>
        <x:v/>
      </x:c>
      <x:c r="AC32" s="2772" t="str">
        <x:f t="shared" si="38"/>
        <x:v/>
      </x:c>
      <x:c r="AD32" s="2767" t="str">
        <x:f t="shared" ca="1" si="39"/>
        <x:v/>
      </x:c>
      <x:c r="AE32" s="2771" t="str">
        <x:f t="shared" ca="1" si="40"/>
        <x:v/>
      </x:c>
      <x:c r="AF32" s="2772" t="str">
        <x:f t="shared" ca="1" si="41"/>
        <x:v/>
      </x:c>
      <x:c r="AG32" s="2767" t="str">
        <x:f t="shared" ca="1" si="42"/>
        <x:v/>
      </x:c>
      <x:c r="AH32" s="2771" t="str">
        <x:f t="shared" ca="1" si="43"/>
        <x:v/>
      </x:c>
      <x:c r="AI32" s="2767" t="str">
        <x:f t="shared" ca="1" si="44"/>
        <x:v/>
      </x:c>
      <x:c r="AJ32" s="2771" t="str">
        <x:f t="shared" ca="1" si="45"/>
        <x:v/>
      </x:c>
      <x:c r="AK32" s="2813" t="str">
        <x:f t="shared" si="12"/>
        <x:v/>
      </x:c>
      <x:c r="AL32" s="2814" t="str">
        <x:f t="shared" si="46"/>
        <x:v/>
      </x:c>
      <x:c r="AM32" s="2815" t="str">
        <x:f t="shared" ref="AM32:AO45" si="80">IF(ISBLANK(DQ32),"",DQ32)</x:f>
        <x:v/>
      </x:c>
      <x:c r="AN32" s="2772" t="str">
        <x:f t="shared" si="80"/>
        <x:v/>
      </x:c>
      <x:c r="AO32" s="2816" t="str">
        <x:f t="shared" si="80"/>
        <x:v/>
      </x:c>
      <x:c r="AP32" s="2774" t="str">
        <x:f t="shared" si="3"/>
        <x:v/>
      </x:c>
      <x:c r="AQ32" s="2817" t="str">
        <x:f t="shared" si="3"/>
        <x:v/>
      </x:c>
      <x:c r="AR32" s="2770" t="str">
        <x:f t="shared" si="13"/>
        <x:v/>
      </x:c>
      <x:c r="AS32" s="2771" t="str">
        <x:f t="shared" si="14"/>
        <x:v/>
      </x:c>
      <x:c r="AT32" s="2818" t="str">
        <x:f t="shared" si="15"/>
        <x:v/>
      </x:c>
      <x:c r="AU32" s="2819" t="str">
        <x:f t="shared" si="4"/>
        <x:v/>
      </x:c>
      <x:c r="AV32" s="2776" t="str">
        <x:f t="shared" si="16"/>
        <x:v/>
      </x:c>
      <x:c r="AW32" s="2771" t="str">
        <x:f t="shared" si="17"/>
        <x:v/>
      </x:c>
      <x:c r="AX32" s="2818" t="str">
        <x:f t="shared" si="18"/>
        <x:v/>
      </x:c>
      <x:c r="AY32" s="2819" t="str">
        <x:f t="shared" si="5"/>
        <x:v/>
      </x:c>
      <x:c r="AZ32" s="2776" t="str">
        <x:f t="shared" si="19"/>
        <x:v/>
      </x:c>
      <x:c r="BA32" s="2771" t="str">
        <x:f t="shared" si="20"/>
        <x:v/>
      </x:c>
      <x:c r="BB32" s="2818" t="str">
        <x:f t="shared" si="21"/>
        <x:v/>
      </x:c>
      <x:c r="BC32" s="2819" t="str">
        <x:f t="shared" si="6"/>
        <x:v/>
      </x:c>
      <x:c r="BD32" s="2776" t="str">
        <x:f t="shared" si="22"/>
        <x:v/>
      </x:c>
      <x:c r="BE32" s="2771" t="str">
        <x:f t="shared" si="23"/>
        <x:v/>
      </x:c>
      <x:c r="BF32" s="2818" t="str">
        <x:f t="shared" si="24"/>
        <x:v/>
      </x:c>
      <x:c r="BG32" s="2819" t="str">
        <x:f t="shared" si="7"/>
        <x:v/>
      </x:c>
      <x:c r="BH32" s="261"/>
      <x:c r="BJ32" s="1301" t="str">
        <x:f t="shared" si="75"/>
        <x:v>G5</x:v>
      </x:c>
      <x:c r="BK32" s="993" t="b">
        <x:f t="shared" si="79"/>
        <x:v>0</x:v>
      </x:c>
      <x:c r="BL32" s="1800" t="b">
        <x:v>0</x:v>
      </x:c>
      <x:c r="BM32" s="989">
        <x:f t="shared" si="64"/>
        <x:v>48</x:v>
      </x:c>
      <x:c r="BN32" s="989" t="str">
        <x:f t="shared" si="65"/>
        <x:v>VG</x:v>
      </x:c>
      <x:c r="BO32" s="989">
        <x:f t="shared" si="66"/>
        <x:v>9</x:v>
      </x:c>
      <x:c r="BP32" s="989">
        <x:f t="shared" si="51"/>
        <x:v>16.3</x:v>
      </x:c>
      <x:c r="BQ32" s="989">
        <x:f t="shared" si="67"/>
        <x:v>0</x:v>
      </x:c>
      <x:c r="BR32" s="989" t="b">
        <x:f t="shared" si="68"/>
        <x:v>1</x:v>
      </x:c>
      <x:c r="BS32" s="1302">
        <x:f t="shared" si="69"/>
        <x:v>7.75</x:v>
      </x:c>
      <x:c r="BT32" s="990" t="str">
        <x:f t="shared" si="70"/>
        <x:v>Yes</x:v>
      </x:c>
      <x:c r="BU32" s="1302">
        <x:f t="shared" si="71"/>
        <x:v>11</x:v>
      </x:c>
      <x:c r="BV32" s="990" t="str">
        <x:f t="shared" si="72"/>
        <x:v>Yes</x:v>
      </x:c>
      <x:c r="BW32" s="991">
        <x:f t="shared" ca="1" si="25"/>
        <x:v>0</x:v>
      </x:c>
      <x:c r="BX32" s="991" t="str">
        <x:f t="shared" ca="1" si="32"/>
        <x:v/>
      </x:c>
      <x:c r="BY32" s="991" t="b">
        <x:f t="shared" ca="1" si="26"/>
        <x:v>0</x:v>
      </x:c>
      <x:c r="BZ32" s="1303" t="b">
        <x:f t="shared" si="33"/>
        <x:v>0</x:v>
      </x:c>
      <x:c r="CB32" s="672"/>
      <x:c r="CC32" s="1684"/>
      <x:c r="CD32" s="699"/>
      <x:c r="CE32" s="700"/>
      <x:c r="CF32" s="1328"/>
      <x:c r="CG32" s="672"/>
      <x:c r="CH32" s="713"/>
      <x:c r="CI32" s="714"/>
      <x:c r="CJ32" s="713"/>
      <x:c r="CK32" s="714"/>
      <x:c r="CL32" s="715"/>
      <x:c r="CM32" s="743"/>
      <x:c r="CN32" s="738"/>
      <x:c r="CO32" s="1551"/>
      <x:c r="CP32" s="910"/>
      <x:c r="CQ32" s="672"/>
      <x:c r="CR32" s="713"/>
      <x:c r="CS32" s="714"/>
      <x:c r="CT32" s="713"/>
      <x:c r="CU32" s="714"/>
      <x:c r="CV32" s="715"/>
      <x:c r="CW32" s="743"/>
      <x:c r="CX32" s="738"/>
      <x:c r="CY32" s="1551"/>
      <x:c r="CZ32" s="910"/>
      <x:c r="DA32" s="717"/>
      <x:c r="DB32" s="702"/>
      <x:c r="DC32" s="703"/>
      <x:c r="DD32" s="1598"/>
      <x:c r="DE32" s="1599"/>
      <x:c r="DF32" s="141"/>
      <x:c r="DG32" s="141"/>
      <x:c r="DH32" s="746"/>
      <x:c r="DI32" s="673"/>
      <x:c r="DJ32" s="692"/>
      <x:c r="DK32" s="1331"/>
      <x:c r="DL32" s="674"/>
      <x:c r="DM32" s="693"/>
      <x:c r="DN32" s="1334"/>
      <x:c r="DO32" s="675"/>
      <x:c r="DP32" s="676"/>
      <x:c r="DQ32" s="1419"/>
      <x:c r="DR32" s="677"/>
      <x:c r="DS32" s="1611"/>
      <x:c r="DT32" s="1606"/>
      <x:c r="DU32" s="1607"/>
      <x:c r="DV32" s="678"/>
      <x:c r="DW32" s="1336"/>
      <x:c r="DX32" s="679"/>
      <x:c r="DY32" s="674"/>
      <x:c r="DZ32" s="678"/>
      <x:c r="EA32" s="1336"/>
      <x:c r="EB32" s="679"/>
      <x:c r="EC32" s="674"/>
      <x:c r="ED32" s="678"/>
      <x:c r="EE32" s="1336"/>
      <x:c r="EF32" s="679"/>
      <x:c r="EG32" s="674"/>
      <x:c r="EH32" s="678"/>
      <x:c r="EI32" s="1336"/>
      <x:c r="EJ32" s="679"/>
      <x:c r="EK32" s="680"/>
      <x:c r="EL32" s="141"/>
      <x:c r="EM32" s="1631" t="str">
        <x:f t="shared" si="73"/>
        <x:v/>
      </x:c>
      <x:c r="EN32" s="1632" t="str">
        <x:f t="shared" si="52"/>
        <x:v/>
      </x:c>
      <x:c r="EO32" s="648" t="str">
        <x:f t="shared" si="53"/>
        <x:v/>
      </x:c>
      <x:c r="EP32" s="649" t="str">
        <x:f t="shared" si="54"/>
        <x:v/>
      </x:c>
      <x:c r="EQ32" s="813" t="str">
        <x:f t="shared" si="55"/>
        <x:v/>
      </x:c>
      <x:c r="ER32" s="1586" t="str">
        <x:f t="shared" si="56"/>
        <x:v/>
      </x:c>
      <x:c r="ES32" s="1587" t="str">
        <x:f t="shared" si="57"/>
        <x:v/>
      </x:c>
      <x:c r="ET32" s="1588" t="str">
        <x:f t="shared" si="58"/>
        <x:v/>
      </x:c>
      <x:c r="EU32" s="1589" t="str">
        <x:f t="shared" si="59"/>
        <x:v/>
      </x:c>
      <x:c r="EX32" s="503" t="str">
        <x:f t="shared" ca="1" si="27"/>
        <x:v/>
      </x:c>
      <x:c r="EY32" s="940" t="str">
        <x:f t="shared" si="8"/>
        <x:v/>
      </x:c>
      <x:c r="EZ32" s="940" t="str">
        <x:f t="shared" si="28"/>
        <x:v/>
      </x:c>
      <x:c r="FA32" s="958" t="str">
        <x:f t="shared" ca="1" si="34"/>
        <x:v/>
      </x:c>
      <x:c r="FB32" s="134" t="str">
        <x:f t="shared" ca="1" si="29"/>
        <x:v/>
      </x:c>
      <x:c r="FC32" s="134">
        <x:f t="shared" ca="1" si="9"/>
        <x:v>0</x:v>
      </x:c>
      <x:c r="FD32" s="134">
        <x:f t="shared" ca="1" si="10"/>
        <x:v>0</x:v>
      </x:c>
      <x:c r="FE32" s="134">
        <x:f t="shared" ca="1" si="11"/>
        <x:v>0</x:v>
      </x:c>
      <x:c r="FF32" s="134">
        <x:f t="shared" ca="1" si="30"/>
        <x:v>0</x:v>
      </x:c>
      <x:c r="FN32" s="993" t="b">
        <x:v>0</x:v>
      </x:c>
      <x:c r="FO32" s="754" t="b">
        <x:f t="shared" si="74"/>
        <x:v>1</x:v>
      </x:c>
      <x:c r="FP32" s="754" t="b">
        <x:v>0</x:v>
      </x:c>
      <x:c r="FQ32" s="754" t="b">
        <x:f t="shared" si="31"/>
        <x:v>1</x:v>
      </x:c>
      <x:c r="FX32" s="197"/>
      <x:c r="FZ32" s="2"/>
      <x:c r="GA32" s="1761">
        <x:v>56</x:v>
      </x:c>
      <x:c r="GB32" s="1762">
        <x:v>0</x:v>
      </x:c>
      <x:c r="GC32" s="1763">
        <x:v>-0.25</x:v>
      </x:c>
      <x:c r="GD32" s="1764">
        <x:v>-3</x:v>
      </x:c>
      <x:c r="GE32" s="1765">
        <x:f t="shared" si="60"/>
        <x:v>0</x:v>
      </x:c>
      <x:c r="GF32" s="582" t="str">
        <x:f t="shared" si="61"/>
        <x:v>G5</x:v>
      </x:c>
      <x:c r="GG32" s="692">
        <x:v>0</x:v>
      </x:c>
      <x:c r="GH32" s="1135">
        <x:v>0</x:v>
      </x:c>
      <x:c r="GI32" s="692"/>
      <x:c r="GJ32" s="1135"/>
      <x:c r="GK32" s="1640">
        <x:f t="shared" si="62"/>
        <x:v>668.75</x:v>
      </x:c>
      <x:c r="GL32" s="1640">
        <x:f t="shared" si="63"/>
        <x:v>668.75</x:v>
      </x:c>
      <x:c r="GM32" s="1641">
        <x:f>IF(ABS(GK32-GL32)&gt;='Job Info.'!$L$22,ABS(GK32-GL32),0)</x:f>
        <x:v>0</x:v>
      </x:c>
      <x:c r="HA32" s="1241" t="s">
        <x:v>1405</x:v>
      </x:c>
      <x:c r="HB32" s="1242">
        <x:v>1</x:v>
      </x:c>
      <x:c r="HC32" s="1242" t="s">
        <x:v>1577</x:v>
      </x:c>
      <x:c r="HD32" s="1243">
        <x:v>55</x:v>
      </x:c>
      <x:c r="HE32" s="1244">
        <x:v>8.75</x:v>
      </x:c>
      <x:c r="HF32" s="1242">
        <x:v>11.125</x:v>
      </x:c>
      <x:c r="HG32" s="1242">
        <x:v>0</x:v>
      </x:c>
      <x:c r="HH32" s="1242">
        <x:v>1.75</x:v>
      </x:c>
      <x:c r="HI32" s="1242" t="s">
        <x:v>113</x:v>
      </x:c>
      <x:c r="HJ32" s="1242">
        <x:v>0</x:v>
      </x:c>
      <x:c r="HK32" s="1242">
        <x:v>5</x:v>
      </x:c>
      <x:c r="HL32" s="1242" t="s">
        <x:v>113</x:v>
      </x:c>
      <x:c r="HM32" s="1242">
        <x:v>7.5</x:v>
      </x:c>
      <x:c r="HN32" s="1242">
        <x:v>10</x:v>
      </x:c>
      <x:c r="HO32" s="1242">
        <x:v>0</x:v>
      </x:c>
      <x:c r="HP32" s="1242">
        <x:v>6.75</x:v>
      </x:c>
      <x:c r="HQ32" s="1242">
        <x:v>0</x:v>
      </x:c>
      <x:c r="HR32" s="1242">
        <x:v>4</x:v>
      </x:c>
      <x:c r="HS32" s="1242">
        <x:v>0</x:v>
      </x:c>
      <x:c r="HT32" s="1242">
        <x:v>6.25</x:v>
      </x:c>
      <x:c r="HU32" s="1242">
        <x:v>0</x:v>
      </x:c>
      <x:c r="HV32" s="1242">
        <x:v>4.625</x:v>
      </x:c>
      <x:c r="HW32" s="1242">
        <x:v>5</x:v>
      </x:c>
      <x:c r="HX32" s="1242" t="s">
        <x:v>116</x:v>
      </x:c>
      <x:c r="HY32" s="1246" t="s">
        <x:v>116</x:v>
      </x:c>
      <x:c r="HZ32" s="1246" t="s">
        <x:v>1625</x:v>
      </x:c>
      <x:c r="IA32" s="1246" t="s">
        <x:v>116</x:v>
      </x:c>
      <x:c r="IB32" s="1246"/>
      <x:c r="IC32" s="1246"/>
      <x:c r="ID32" s="1247"/>
      <x:c r="IE32" s="1241"/>
      <x:c r="IF32" s="1242"/>
      <x:c r="IG32" s="1243"/>
      <x:c r="IH32" s="1244"/>
      <x:c r="II32" s="1242"/>
      <x:c r="IJ32" s="1243"/>
      <x:c r="IK32" s="1244"/>
      <x:c r="IL32" s="1242"/>
      <x:c r="IM32" s="1242"/>
      <x:c r="IN32" s="1242"/>
      <x:c r="IO32" s="1242"/>
      <x:c r="IP32" s="1242"/>
      <x:c r="IQ32" s="1242"/>
      <x:c r="IR32" s="1242"/>
      <x:c r="IS32" s="1243"/>
      <x:c r="IT32" s="1244"/>
      <x:c r="IU32" s="1242"/>
      <x:c r="IV32" s="1242"/>
      <x:c r="IW32" s="1243"/>
      <x:c r="IX32" s="1244"/>
      <x:c r="IY32" s="1242"/>
      <x:c r="IZ32" s="1242"/>
      <x:c r="JA32" s="1243"/>
      <x:c r="JB32" s="1244"/>
      <x:c r="JC32" s="1242"/>
      <x:c r="JD32" s="1242"/>
      <x:c r="JE32" s="1243"/>
      <x:c r="JF32" s="1244"/>
      <x:c r="JG32" s="1242"/>
      <x:c r="JH32" s="1242"/>
      <x:c r="JI32" s="1242"/>
      <x:c r="JJ32" s="1245"/>
      <x:c r="JK32" s="1242"/>
      <x:c r="JL32" s="1171">
        <x:f t="shared" ca="1" si="35"/>
        <x:v>0</x:v>
      </x:c>
    </x:row>
    <x:row r="33" spans="1:272" ht="12.6" customHeight="1" x14ac:dyDescent="0.25">
      <x:c r="A33" s="2764" t="s">
        <x:v>1406</x:v>
      </x:c>
      <x:c r="B33" s="2765">
        <x:v>1</x:v>
      </x:c>
      <x:c r="C33" s="2766" t="s">
        <x:v>1577</x:v>
      </x:c>
      <x:c r="D33" s="2767">
        <x:v>55</x:v>
      </x:c>
      <x:c r="E33" s="2768">
        <x:v>11.5</x:v>
      </x:c>
      <x:c r="F33" s="2769">
        <x:v>11.125</x:v>
      </x:c>
      <x:c r="G33" s="2770">
        <x:v>0</x:v>
      </x:c>
      <x:c r="H33" s="2771">
        <x:v>1.75</x:v>
      </x:c>
      <x:c r="I33" s="2772" t="s">
        <x:v>113</x:v>
      </x:c>
      <x:c r="J33" s="2767">
        <x:v>0</x:v>
      </x:c>
      <x:c r="K33" s="2771">
        <x:v>1.75</x:v>
      </x:c>
      <x:c r="L33" s="2773" t="s">
        <x:v>113</x:v>
      </x:c>
      <x:c r="M33" s="2774">
        <x:v>7.5</x:v>
      </x:c>
      <x:c r="N33" s="2775">
        <x:v>7.5</x:v>
      </x:c>
      <x:c r="O33" s="2770">
        <x:v>0</x:v>
      </x:c>
      <x:c r="P33" s="2771">
        <x:v>6.75</x:v>
      </x:c>
      <x:c r="Q33" s="2767">
        <x:v>0</x:v>
      </x:c>
      <x:c r="R33" s="2768">
        <x:v>6.75</x:v>
      </x:c>
      <x:c r="S33" s="2776">
        <x:v>0</x:v>
      </x:c>
      <x:c r="T33" s="2771">
        <x:v>6.25</x:v>
      </x:c>
      <x:c r="U33" s="2767">
        <x:v>0</x:v>
      </x:c>
      <x:c r="V33" s="2771">
        <x:v>6.25</x:v>
      </x:c>
      <x:c r="W33" s="2775">
        <x:v>5</x:v>
      </x:c>
      <x:c r="X33" s="2777" t="str">
        <x:f t="shared" si="48"/>
        <x:v/>
      </x:c>
      <x:c r="Y33" s="2778" t="str">
        <x:f t="shared" si="49"/>
        <x:v/>
      </x:c>
      <x:c r="Z33" s="2779" t="s">
        <x:v>1623</x:v>
      </x:c>
      <x:c r="AA33" s="2780" t="str">
        <x:f t="shared" si="50"/>
        <x:v/>
      </x:c>
      <x:c r="AB33" s="2764" t="str">
        <x:f t="shared" si="37"/>
        <x:v/>
      </x:c>
      <x:c r="AC33" s="2772" t="str">
        <x:f t="shared" si="38"/>
        <x:v/>
      </x:c>
      <x:c r="AD33" s="2767" t="str">
        <x:f t="shared" ca="1" si="39"/>
        <x:v/>
      </x:c>
      <x:c r="AE33" s="2771" t="str">
        <x:f t="shared" ca="1" si="40"/>
        <x:v/>
      </x:c>
      <x:c r="AF33" s="2772" t="str">
        <x:f t="shared" ca="1" si="41"/>
        <x:v/>
      </x:c>
      <x:c r="AG33" s="2767" t="str">
        <x:f t="shared" ca="1" si="42"/>
        <x:v/>
      </x:c>
      <x:c r="AH33" s="2771" t="str">
        <x:f t="shared" ca="1" si="43"/>
        <x:v/>
      </x:c>
      <x:c r="AI33" s="2767" t="str">
        <x:f t="shared" ca="1" si="44"/>
        <x:v/>
      </x:c>
      <x:c r="AJ33" s="2771" t="str">
        <x:f t="shared" ca="1" si="45"/>
        <x:v/>
      </x:c>
      <x:c r="AK33" s="2813" t="str">
        <x:f t="shared" si="12"/>
        <x:v/>
      </x:c>
      <x:c r="AL33" s="2814" t="str">
        <x:f t="shared" si="46"/>
        <x:v/>
      </x:c>
      <x:c r="AM33" s="2815" t="str">
        <x:f t="shared" si="80"/>
        <x:v/>
      </x:c>
      <x:c r="AN33" s="2772" t="str">
        <x:f t="shared" si="80"/>
        <x:v/>
      </x:c>
      <x:c r="AO33" s="2816" t="str">
        <x:f t="shared" si="80"/>
        <x:v/>
      </x:c>
      <x:c r="AP33" s="2774" t="str">
        <x:f t="shared" si="3"/>
        <x:v/>
      </x:c>
      <x:c r="AQ33" s="2817" t="str">
        <x:f t="shared" si="3"/>
        <x:v/>
      </x:c>
      <x:c r="AR33" s="2770" t="str">
        <x:f t="shared" si="13"/>
        <x:v/>
      </x:c>
      <x:c r="AS33" s="2771" t="str">
        <x:f t="shared" si="14"/>
        <x:v/>
      </x:c>
      <x:c r="AT33" s="2818" t="str">
        <x:f t="shared" si="15"/>
        <x:v/>
      </x:c>
      <x:c r="AU33" s="2819" t="str">
        <x:f t="shared" si="4"/>
        <x:v/>
      </x:c>
      <x:c r="AV33" s="2776" t="str">
        <x:f t="shared" si="16"/>
        <x:v/>
      </x:c>
      <x:c r="AW33" s="2771" t="str">
        <x:f t="shared" si="17"/>
        <x:v/>
      </x:c>
      <x:c r="AX33" s="2818" t="str">
        <x:f t="shared" si="18"/>
        <x:v/>
      </x:c>
      <x:c r="AY33" s="2819" t="str">
        <x:f t="shared" si="5"/>
        <x:v/>
      </x:c>
      <x:c r="AZ33" s="2776" t="str">
        <x:f t="shared" si="19"/>
        <x:v/>
      </x:c>
      <x:c r="BA33" s="2771" t="str">
        <x:f t="shared" si="20"/>
        <x:v/>
      </x:c>
      <x:c r="BB33" s="2818" t="str">
        <x:f t="shared" si="21"/>
        <x:v/>
      </x:c>
      <x:c r="BC33" s="2819" t="str">
        <x:f t="shared" si="6"/>
        <x:v/>
      </x:c>
      <x:c r="BD33" s="2776" t="str">
        <x:f t="shared" si="22"/>
        <x:v/>
      </x:c>
      <x:c r="BE33" s="2771" t="str">
        <x:f t="shared" si="23"/>
        <x:v/>
      </x:c>
      <x:c r="BF33" s="2818" t="str">
        <x:f t="shared" si="24"/>
        <x:v/>
      </x:c>
      <x:c r="BG33" s="2819" t="str">
        <x:f t="shared" si="7"/>
        <x:v/>
      </x:c>
      <x:c r="BH33" s="261"/>
      <x:c r="BJ33" s="1301" t="str">
        <x:f t="shared" si="75"/>
        <x:v>G6</x:v>
      </x:c>
      <x:c r="BK33" s="993" t="b">
        <x:f t="shared" si="79"/>
        <x:v>0</x:v>
      </x:c>
      <x:c r="BL33" s="1800" t="b">
        <x:v>0</x:v>
      </x:c>
      <x:c r="BM33" s="989">
        <x:f t="shared" si="64"/>
        <x:v>48</x:v>
      </x:c>
      <x:c r="BN33" s="989" t="str">
        <x:f t="shared" si="65"/>
        <x:v>VG</x:v>
      </x:c>
      <x:c r="BO33" s="989">
        <x:f t="shared" si="66"/>
        <x:v>9</x:v>
      </x:c>
      <x:c r="BP33" s="989">
        <x:f t="shared" si="51"/>
        <x:v>16.3</x:v>
      </x:c>
      <x:c r="BQ33" s="989">
        <x:f t="shared" si="67"/>
        <x:v>0</x:v>
      </x:c>
      <x:c r="BR33" s="989" t="b">
        <x:f t="shared" si="68"/>
        <x:v>1</x:v>
      </x:c>
      <x:c r="BS33" s="1302">
        <x:f t="shared" si="69"/>
        <x:v>7.75</x:v>
      </x:c>
      <x:c r="BT33" s="990" t="str">
        <x:f t="shared" si="70"/>
        <x:v>Yes</x:v>
      </x:c>
      <x:c r="BU33" s="1302">
        <x:f t="shared" si="71"/>
        <x:v>7.75</x:v>
      </x:c>
      <x:c r="BV33" s="990" t="str">
        <x:f t="shared" si="72"/>
        <x:v>Yes</x:v>
      </x:c>
      <x:c r="BW33" s="991">
        <x:f t="shared" ca="1" si="25"/>
        <x:v>0</x:v>
      </x:c>
      <x:c r="BX33" s="991" t="str">
        <x:f t="shared" ca="1" si="32"/>
        <x:v/>
      </x:c>
      <x:c r="BY33" s="991" t="b">
        <x:f t="shared" ca="1" si="26"/>
        <x:v>0</x:v>
      </x:c>
      <x:c r="BZ33" s="1303" t="b">
        <x:f t="shared" si="33"/>
        <x:v>0</x:v>
      </x:c>
      <x:c r="CB33" s="672"/>
      <x:c r="CC33" s="1684"/>
      <x:c r="CD33" s="699"/>
      <x:c r="CE33" s="700"/>
      <x:c r="CF33" s="1328"/>
      <x:c r="CG33" s="672"/>
      <x:c r="CH33" s="713"/>
      <x:c r="CI33" s="714"/>
      <x:c r="CJ33" s="713"/>
      <x:c r="CK33" s="714"/>
      <x:c r="CL33" s="715"/>
      <x:c r="CM33" s="743"/>
      <x:c r="CN33" s="738"/>
      <x:c r="CO33" s="1551"/>
      <x:c r="CP33" s="910"/>
      <x:c r="CQ33" s="672"/>
      <x:c r="CR33" s="713"/>
      <x:c r="CS33" s="714"/>
      <x:c r="CT33" s="713"/>
      <x:c r="CU33" s="714"/>
      <x:c r="CV33" s="715"/>
      <x:c r="CW33" s="743"/>
      <x:c r="CX33" s="738"/>
      <x:c r="CY33" s="1551"/>
      <x:c r="CZ33" s="910"/>
      <x:c r="DA33" s="717"/>
      <x:c r="DB33" s="702"/>
      <x:c r="DC33" s="703"/>
      <x:c r="DD33" s="1598"/>
      <x:c r="DE33" s="1599"/>
      <x:c r="DF33" s="141"/>
      <x:c r="DG33" s="141"/>
      <x:c r="DH33" s="672"/>
      <x:c r="DI33" s="673"/>
      <x:c r="DJ33" s="692"/>
      <x:c r="DK33" s="1331"/>
      <x:c r="DL33" s="674"/>
      <x:c r="DM33" s="693"/>
      <x:c r="DN33" s="1334"/>
      <x:c r="DO33" s="675"/>
      <x:c r="DP33" s="676"/>
      <x:c r="DQ33" s="1419"/>
      <x:c r="DR33" s="677"/>
      <x:c r="DS33" s="1611"/>
      <x:c r="DT33" s="1606"/>
      <x:c r="DU33" s="1607"/>
      <x:c r="DV33" s="678"/>
      <x:c r="DW33" s="1336"/>
      <x:c r="DX33" s="679"/>
      <x:c r="DY33" s="674"/>
      <x:c r="DZ33" s="678"/>
      <x:c r="EA33" s="1336"/>
      <x:c r="EB33" s="679"/>
      <x:c r="EC33" s="674"/>
      <x:c r="ED33" s="678"/>
      <x:c r="EE33" s="1336"/>
      <x:c r="EF33" s="679"/>
      <x:c r="EG33" s="674"/>
      <x:c r="EH33" s="678"/>
      <x:c r="EI33" s="1336"/>
      <x:c r="EJ33" s="679"/>
      <x:c r="EK33" s="680"/>
      <x:c r="EL33" s="141"/>
      <x:c r="EM33" s="1631" t="str">
        <x:f t="shared" si="73"/>
        <x:v/>
      </x:c>
      <x:c r="EN33" s="1632" t="str">
        <x:f t="shared" si="52"/>
        <x:v/>
      </x:c>
      <x:c r="EO33" s="648" t="str">
        <x:f t="shared" si="53"/>
        <x:v/>
      </x:c>
      <x:c r="EP33" s="649" t="str">
        <x:f t="shared" si="54"/>
        <x:v/>
      </x:c>
      <x:c r="EQ33" s="813" t="str">
        <x:f t="shared" si="55"/>
        <x:v/>
      </x:c>
      <x:c r="ER33" s="1586" t="str">
        <x:f t="shared" si="56"/>
        <x:v/>
      </x:c>
      <x:c r="ES33" s="1587" t="str">
        <x:f t="shared" si="57"/>
        <x:v/>
      </x:c>
      <x:c r="ET33" s="1588" t="str">
        <x:f t="shared" si="58"/>
        <x:v/>
      </x:c>
      <x:c r="EU33" s="1589" t="str">
        <x:f t="shared" si="59"/>
        <x:v/>
      </x:c>
      <x:c r="EX33" s="503" t="str">
        <x:f t="shared" ca="1" si="27"/>
        <x:v/>
      </x:c>
      <x:c r="EY33" s="940" t="str">
        <x:f t="shared" si="8"/>
        <x:v/>
      </x:c>
      <x:c r="EZ33" s="940" t="str">
        <x:f t="shared" si="28"/>
        <x:v/>
      </x:c>
      <x:c r="FA33" s="958" t="str">
        <x:f t="shared" ca="1" si="34"/>
        <x:v/>
      </x:c>
      <x:c r="FB33" s="134" t="str">
        <x:f t="shared" ca="1" si="29"/>
        <x:v/>
      </x:c>
      <x:c r="FC33" s="134">
        <x:f t="shared" ca="1" si="9"/>
        <x:v>0</x:v>
      </x:c>
      <x:c r="FD33" s="134">
        <x:f t="shared" ca="1" si="10"/>
        <x:v>0</x:v>
      </x:c>
      <x:c r="FE33" s="134">
        <x:f t="shared" ca="1" si="11"/>
        <x:v>0</x:v>
      </x:c>
      <x:c r="FF33" s="134">
        <x:f t="shared" ca="1" si="30"/>
        <x:v>0</x:v>
      </x:c>
      <x:c r="FN33" s="993" t="b">
        <x:v>0</x:v>
      </x:c>
      <x:c r="FO33" s="754" t="b">
        <x:f t="shared" si="74"/>
        <x:v>1</x:v>
      </x:c>
      <x:c r="FP33" s="754" t="b">
        <x:v>0</x:v>
      </x:c>
      <x:c r="FQ33" s="754" t="b">
        <x:f t="shared" si="31"/>
        <x:v>1</x:v>
      </x:c>
      <x:c r="FX33" s="197"/>
      <x:c r="FZ33" s="2"/>
      <x:c r="GA33" s="1761">
        <x:v>56</x:v>
      </x:c>
      <x:c r="GB33" s="1762">
        <x:v>0</x:v>
      </x:c>
      <x:c r="GC33" s="1763">
        <x:v>-0.25</x:v>
      </x:c>
      <x:c r="GD33" s="1764">
        <x:v>-0.25</x:v>
      </x:c>
      <x:c r="GE33" s="1765">
        <x:f t="shared" si="60"/>
        <x:v>0</x:v>
      </x:c>
      <x:c r="GF33" s="582" t="str">
        <x:f t="shared" si="61"/>
        <x:v>G6</x:v>
      </x:c>
      <x:c r="GG33" s="692">
        <x:v>0</x:v>
      </x:c>
      <x:c r="GH33" s="1135">
        <x:v>0</x:v>
      </x:c>
      <x:c r="GI33" s="692"/>
      <x:c r="GJ33" s="1135"/>
      <x:c r="GK33" s="1640">
        <x:f t="shared" si="62"/>
        <x:v>671.5</x:v>
      </x:c>
      <x:c r="GL33" s="1640">
        <x:f t="shared" si="63"/>
        <x:v>671.5</x:v>
      </x:c>
      <x:c r="GM33" s="1641">
        <x:f>IF(ABS(GK33-GL33)&gt;='Job Info.'!$L$22,ABS(GK33-GL33),0)</x:f>
        <x:v>0</x:v>
      </x:c>
      <x:c r="HA33" s="1241" t="s">
        <x:v>1406</x:v>
      </x:c>
      <x:c r="HB33" s="1242">
        <x:v>1</x:v>
      </x:c>
      <x:c r="HC33" s="1242" t="s">
        <x:v>1577</x:v>
      </x:c>
      <x:c r="HD33" s="1243">
        <x:v>55</x:v>
      </x:c>
      <x:c r="HE33" s="1244">
        <x:v>11.5</x:v>
      </x:c>
      <x:c r="HF33" s="1242">
        <x:v>11.125</x:v>
      </x:c>
      <x:c r="HG33" s="1242">
        <x:v>0</x:v>
      </x:c>
      <x:c r="HH33" s="1242">
        <x:v>1.75</x:v>
      </x:c>
      <x:c r="HI33" s="1242" t="s">
        <x:v>113</x:v>
      </x:c>
      <x:c r="HJ33" s="1242">
        <x:v>0</x:v>
      </x:c>
      <x:c r="HK33" s="1242">
        <x:v>1.75</x:v>
      </x:c>
      <x:c r="HL33" s="1242" t="s">
        <x:v>113</x:v>
      </x:c>
      <x:c r="HM33" s="1242">
        <x:v>7.5</x:v>
      </x:c>
      <x:c r="HN33" s="1242">
        <x:v>7.5</x:v>
      </x:c>
      <x:c r="HO33" s="1242">
        <x:v>0</x:v>
      </x:c>
      <x:c r="HP33" s="1242">
        <x:v>6.75</x:v>
      </x:c>
      <x:c r="HQ33" s="1242">
        <x:v>0</x:v>
      </x:c>
      <x:c r="HR33" s="1242">
        <x:v>6.75</x:v>
      </x:c>
      <x:c r="HS33" s="1242">
        <x:v>0</x:v>
      </x:c>
      <x:c r="HT33" s="1242">
        <x:v>6.25</x:v>
      </x:c>
      <x:c r="HU33" s="1242">
        <x:v>0</x:v>
      </x:c>
      <x:c r="HV33" s="1242">
        <x:v>6.25</x:v>
      </x:c>
      <x:c r="HW33" s="1242">
        <x:v>5</x:v>
      </x:c>
      <x:c r="HX33" s="1242" t="s">
        <x:v>116</x:v>
      </x:c>
      <x:c r="HY33" s="1246" t="s">
        <x:v>116</x:v>
      </x:c>
      <x:c r="HZ33" s="1246" t="s">
        <x:v>1623</x:v>
      </x:c>
      <x:c r="IA33" s="1246" t="s">
        <x:v>116</x:v>
      </x:c>
      <x:c r="IB33" s="1246"/>
      <x:c r="IC33" s="1246"/>
      <x:c r="ID33" s="1247"/>
      <x:c r="IE33" s="1241"/>
      <x:c r="IF33" s="1242"/>
      <x:c r="IG33" s="1243"/>
      <x:c r="IH33" s="1244"/>
      <x:c r="II33" s="1242"/>
      <x:c r="IJ33" s="1243"/>
      <x:c r="IK33" s="1244"/>
      <x:c r="IL33" s="1242"/>
      <x:c r="IM33" s="1242"/>
      <x:c r="IN33" s="1242"/>
      <x:c r="IO33" s="1242"/>
      <x:c r="IP33" s="1242"/>
      <x:c r="IQ33" s="1242"/>
      <x:c r="IR33" s="1242"/>
      <x:c r="IS33" s="1243"/>
      <x:c r="IT33" s="1244"/>
      <x:c r="IU33" s="1242"/>
      <x:c r="IV33" s="1242"/>
      <x:c r="IW33" s="1243"/>
      <x:c r="IX33" s="1244"/>
      <x:c r="IY33" s="1242"/>
      <x:c r="IZ33" s="1242"/>
      <x:c r="JA33" s="1243"/>
      <x:c r="JB33" s="1244"/>
      <x:c r="JC33" s="1242"/>
      <x:c r="JD33" s="1242"/>
      <x:c r="JE33" s="1243"/>
      <x:c r="JF33" s="1244"/>
      <x:c r="JG33" s="1242"/>
      <x:c r="JH33" s="1242"/>
      <x:c r="JI33" s="1242"/>
      <x:c r="JJ33" s="1245"/>
      <x:c r="JK33" s="1242"/>
      <x:c r="JL33" s="1171">
        <x:f t="shared" ca="1" si="35"/>
        <x:v>0</x:v>
      </x:c>
    </x:row>
    <x:row r="34" spans="1:272" ht="12.6" customHeight="1" x14ac:dyDescent="0.25">
      <x:c r="A34" s="2764" t="s">
        <x:v>1407</x:v>
      </x:c>
      <x:c r="B34" s="2765">
        <x:v>2</x:v>
      </x:c>
      <x:c r="C34" s="2766" t="s">
        <x:v>1585</x:v>
      </x:c>
      <x:c r="D34" s="2767">
        <x:v>55</x:v>
      </x:c>
      <x:c r="E34" s="2768">
        <x:v>6.25</x:v>
      </x:c>
      <x:c r="F34" s="2769">
        <x:v>11.125</x:v>
      </x:c>
      <x:c r="G34" s="2770">
        <x:v>0</x:v>
      </x:c>
      <x:c r="H34" s="2771">
        <x:v>1.75</x:v>
      </x:c>
      <x:c r="I34" s="2772" t="s">
        <x:v>113</x:v>
      </x:c>
      <x:c r="J34" s="2767">
        <x:v>0</x:v>
      </x:c>
      <x:c r="K34" s="2771">
        <x:v>0.5</x:v>
      </x:c>
      <x:c r="L34" s="2773" t="s">
        <x:v>113</x:v>
      </x:c>
      <x:c r="M34" s="2774">
        <x:v>7.5</x:v>
      </x:c>
      <x:c r="N34" s="2775">
        <x:v>7.5</x:v>
      </x:c>
      <x:c r="O34" s="2770">
        <x:v>0</x:v>
      </x:c>
      <x:c r="P34" s="2771">
        <x:v>6.75</x:v>
      </x:c>
      <x:c r="Q34" s="2767">
        <x:v>0</x:v>
      </x:c>
      <x:c r="R34" s="2768">
        <x:v>5.5</x:v>
      </x:c>
      <x:c r="S34" s="2776">
        <x:v>0</x:v>
      </x:c>
      <x:c r="T34" s="2771">
        <x:v>6.25</x:v>
      </x:c>
      <x:c r="U34" s="2767">
        <x:v>0</x:v>
      </x:c>
      <x:c r="V34" s="2771">
        <x:v>5</x:v>
      </x:c>
      <x:c r="W34" s="2775">
        <x:v>5</x:v>
      </x:c>
      <x:c r="X34" s="2777" t="str">
        <x:f t="shared" si="48"/>
        <x:v/>
      </x:c>
      <x:c r="Y34" s="2778" t="str">
        <x:f t="shared" si="49"/>
        <x:v/>
      </x:c>
      <x:c r="Z34" s="2779" t="s">
        <x:v>1626</x:v>
      </x:c>
      <x:c r="AA34" s="2780" t="str">
        <x:f t="shared" si="50"/>
        <x:v/>
      </x:c>
      <x:c r="AB34" s="2764" t="str">
        <x:f t="shared" si="37"/>
        <x:v/>
      </x:c>
      <x:c r="AC34" s="2772" t="str">
        <x:f t="shared" si="38"/>
        <x:v/>
      </x:c>
      <x:c r="AD34" s="2767" t="str">
        <x:f t="shared" ca="1" si="39"/>
        <x:v/>
      </x:c>
      <x:c r="AE34" s="2771" t="str">
        <x:f t="shared" ca="1" si="40"/>
        <x:v/>
      </x:c>
      <x:c r="AF34" s="2772" t="str">
        <x:f t="shared" ca="1" si="41"/>
        <x:v/>
      </x:c>
      <x:c r="AG34" s="2767" t="str">
        <x:f t="shared" ca="1" si="42"/>
        <x:v/>
      </x:c>
      <x:c r="AH34" s="2771" t="str">
        <x:f t="shared" ca="1" si="43"/>
        <x:v/>
      </x:c>
      <x:c r="AI34" s="2767" t="str">
        <x:f t="shared" ca="1" si="44"/>
        <x:v/>
      </x:c>
      <x:c r="AJ34" s="2771" t="str">
        <x:f t="shared" ca="1" si="45"/>
        <x:v/>
      </x:c>
      <x:c r="AK34" s="2813" t="str">
        <x:f t="shared" si="12"/>
        <x:v/>
      </x:c>
      <x:c r="AL34" s="2814" t="str">
        <x:f t="shared" si="46"/>
        <x:v/>
      </x:c>
      <x:c r="AM34" s="2815" t="str">
        <x:f t="shared" si="80"/>
        <x:v/>
      </x:c>
      <x:c r="AN34" s="2772" t="str">
        <x:f t="shared" si="80"/>
        <x:v/>
      </x:c>
      <x:c r="AO34" s="2816" t="str">
        <x:f t="shared" si="80"/>
        <x:v/>
      </x:c>
      <x:c r="AP34" s="2774" t="str">
        <x:f t="shared" si="3"/>
        <x:v/>
      </x:c>
      <x:c r="AQ34" s="2817" t="str">
        <x:f t="shared" si="3"/>
        <x:v/>
      </x:c>
      <x:c r="AR34" s="2770" t="str">
        <x:f t="shared" si="13"/>
        <x:v/>
      </x:c>
      <x:c r="AS34" s="2771" t="str">
        <x:f t="shared" si="14"/>
        <x:v/>
      </x:c>
      <x:c r="AT34" s="2818" t="str">
        <x:f t="shared" si="15"/>
        <x:v/>
      </x:c>
      <x:c r="AU34" s="2819" t="str">
        <x:f t="shared" si="4"/>
        <x:v/>
      </x:c>
      <x:c r="AV34" s="2776" t="str">
        <x:f t="shared" si="16"/>
        <x:v/>
      </x:c>
      <x:c r="AW34" s="2771" t="str">
        <x:f t="shared" si="17"/>
        <x:v/>
      </x:c>
      <x:c r="AX34" s="2818" t="str">
        <x:f t="shared" si="18"/>
        <x:v/>
      </x:c>
      <x:c r="AY34" s="2819" t="str">
        <x:f t="shared" si="5"/>
        <x:v/>
      </x:c>
      <x:c r="AZ34" s="2776" t="str">
        <x:f t="shared" si="19"/>
        <x:v/>
      </x:c>
      <x:c r="BA34" s="2771" t="str">
        <x:f t="shared" si="20"/>
        <x:v/>
      </x:c>
      <x:c r="BB34" s="2818" t="str">
        <x:f t="shared" si="21"/>
        <x:v/>
      </x:c>
      <x:c r="BC34" s="2819" t="str">
        <x:f t="shared" si="6"/>
        <x:v/>
      </x:c>
      <x:c r="BD34" s="2776" t="str">
        <x:f t="shared" si="22"/>
        <x:v/>
      </x:c>
      <x:c r="BE34" s="2771" t="str">
        <x:f t="shared" si="23"/>
        <x:v/>
      </x:c>
      <x:c r="BF34" s="2818" t="str">
        <x:f t="shared" si="24"/>
        <x:v/>
      </x:c>
      <x:c r="BG34" s="2819" t="str">
        <x:f t="shared" si="7"/>
        <x:v/>
      </x:c>
      <x:c r="BH34" s="261"/>
      <x:c r="BJ34" s="1301" t="str">
        <x:f t="shared" si="75"/>
        <x:v>G7</x:v>
      </x:c>
      <x:c r="BK34" s="993" t="b">
        <x:f t="shared" si="79"/>
        <x:v>0</x:v>
      </x:c>
      <x:c r="BL34" s="1800" t="b">
        <x:v>0</x:v>
      </x:c>
      <x:c r="BM34" s="989">
        <x:f t="shared" si="64"/>
        <x:v>52</x:v>
      </x:c>
      <x:c r="BN34" s="989" t="str">
        <x:f t="shared" si="65"/>
        <x:v>VG</x:v>
      </x:c>
      <x:c r="BO34" s="989">
        <x:f t="shared" si="66"/>
        <x:v>9</x:v>
      </x:c>
      <x:c r="BP34" s="989">
        <x:f t="shared" si="51"/>
        <x:v>15.3</x:v>
      </x:c>
      <x:c r="BQ34" s="989">
        <x:f t="shared" si="67"/>
        <x:v>0</x:v>
      </x:c>
      <x:c r="BR34" s="989" t="b">
        <x:f t="shared" si="68"/>
        <x:v>1</x:v>
      </x:c>
      <x:c r="BS34" s="1302">
        <x:f t="shared" si="69"/>
        <x:v>7.75</x:v>
      </x:c>
      <x:c r="BT34" s="990" t="str">
        <x:f t="shared" si="70"/>
        <x:v>Yes</x:v>
      </x:c>
      <x:c r="BU34" s="1302">
        <x:f t="shared" si="71"/>
        <x:v>6.5</x:v>
      </x:c>
      <x:c r="BV34" s="990" t="str">
        <x:f t="shared" si="72"/>
        <x:v>Yes</x:v>
      </x:c>
      <x:c r="BW34" s="991">
        <x:f t="shared" ca="1" si="25"/>
        <x:v>0</x:v>
      </x:c>
      <x:c r="BX34" s="991" t="str">
        <x:f t="shared" ca="1" si="32"/>
        <x:v/>
      </x:c>
      <x:c r="BY34" s="991" t="b">
        <x:f t="shared" ca="1" si="26"/>
        <x:v>0</x:v>
      </x:c>
      <x:c r="BZ34" s="1303" t="b">
        <x:f t="shared" si="33"/>
        <x:v>0</x:v>
      </x:c>
      <x:c r="CB34" s="672"/>
      <x:c r="CC34" s="1684"/>
      <x:c r="CD34" s="699"/>
      <x:c r="CE34" s="700"/>
      <x:c r="CF34" s="1328"/>
      <x:c r="CG34" s="672"/>
      <x:c r="CH34" s="713"/>
      <x:c r="CI34" s="714"/>
      <x:c r="CJ34" s="713"/>
      <x:c r="CK34" s="714"/>
      <x:c r="CL34" s="715"/>
      <x:c r="CM34" s="743"/>
      <x:c r="CN34" s="738"/>
      <x:c r="CO34" s="1551"/>
      <x:c r="CP34" s="910"/>
      <x:c r="CQ34" s="672"/>
      <x:c r="CR34" s="713"/>
      <x:c r="CS34" s="714"/>
      <x:c r="CT34" s="713"/>
      <x:c r="CU34" s="714"/>
      <x:c r="CV34" s="715"/>
      <x:c r="CW34" s="743"/>
      <x:c r="CX34" s="738"/>
      <x:c r="CY34" s="1551"/>
      <x:c r="CZ34" s="910"/>
      <x:c r="DA34" s="717"/>
      <x:c r="DB34" s="702"/>
      <x:c r="DC34" s="703"/>
      <x:c r="DD34" s="1598"/>
      <x:c r="DE34" s="1599"/>
      <x:c r="DF34" s="141"/>
      <x:c r="DG34" s="141"/>
      <x:c r="DH34" s="672"/>
      <x:c r="DI34" s="673"/>
      <x:c r="DJ34" s="692"/>
      <x:c r="DK34" s="1331"/>
      <x:c r="DL34" s="674"/>
      <x:c r="DM34" s="693"/>
      <x:c r="DN34" s="1334"/>
      <x:c r="DO34" s="675"/>
      <x:c r="DP34" s="676"/>
      <x:c r="DQ34" s="1419"/>
      <x:c r="DR34" s="677"/>
      <x:c r="DS34" s="1611"/>
      <x:c r="DT34" s="1606"/>
      <x:c r="DU34" s="1607"/>
      <x:c r="DV34" s="678"/>
      <x:c r="DW34" s="1336"/>
      <x:c r="DX34" s="679"/>
      <x:c r="DY34" s="674"/>
      <x:c r="DZ34" s="678"/>
      <x:c r="EA34" s="1336"/>
      <x:c r="EB34" s="679"/>
      <x:c r="EC34" s="674"/>
      <x:c r="ED34" s="678"/>
      <x:c r="EE34" s="1336"/>
      <x:c r="EF34" s="679"/>
      <x:c r="EG34" s="674"/>
      <x:c r="EH34" s="678"/>
      <x:c r="EI34" s="1336"/>
      <x:c r="EJ34" s="679"/>
      <x:c r="EK34" s="680"/>
      <x:c r="EL34" s="141"/>
      <x:c r="EM34" s="1631" t="str">
        <x:f t="shared" si="73"/>
        <x:v/>
      </x:c>
      <x:c r="EN34" s="1632" t="str">
        <x:f t="shared" si="52"/>
        <x:v/>
      </x:c>
      <x:c r="EO34" s="648" t="str">
        <x:f t="shared" si="53"/>
        <x:v/>
      </x:c>
      <x:c r="EP34" s="649" t="str">
        <x:f t="shared" si="54"/>
        <x:v/>
      </x:c>
      <x:c r="EQ34" s="813" t="str">
        <x:f t="shared" si="55"/>
        <x:v/>
      </x:c>
      <x:c r="ER34" s="1586" t="str">
        <x:f t="shared" si="56"/>
        <x:v/>
      </x:c>
      <x:c r="ES34" s="1587" t="str">
        <x:f t="shared" si="57"/>
        <x:v/>
      </x:c>
      <x:c r="ET34" s="1588" t="str">
        <x:f t="shared" si="58"/>
        <x:v/>
      </x:c>
      <x:c r="EU34" s="1589" t="str">
        <x:f t="shared" si="59"/>
        <x:v/>
      </x:c>
      <x:c r="EX34" s="503" t="str">
        <x:f t="shared" ca="1" si="27"/>
        <x:v/>
      </x:c>
      <x:c r="EY34" s="940" t="str">
        <x:f t="shared" si="8"/>
        <x:v/>
      </x:c>
      <x:c r="EZ34" s="940" t="str">
        <x:f t="shared" si="28"/>
        <x:v/>
      </x:c>
      <x:c r="FA34" s="958" t="str">
        <x:f t="shared" ca="1" si="34"/>
        <x:v/>
      </x:c>
      <x:c r="FB34" s="134" t="str">
        <x:f t="shared" ca="1" si="29"/>
        <x:v/>
      </x:c>
      <x:c r="FC34" s="134">
        <x:f t="shared" ca="1" si="9"/>
        <x:v>0</x:v>
      </x:c>
      <x:c r="FD34" s="134">
        <x:f t="shared" ca="1" si="10"/>
        <x:v>0</x:v>
      </x:c>
      <x:c r="FE34" s="134">
        <x:f t="shared" ca="1" si="11"/>
        <x:v>0</x:v>
      </x:c>
      <x:c r="FF34" s="134">
        <x:f t="shared" ca="1" si="30"/>
        <x:v>0</x:v>
      </x:c>
      <x:c r="FN34" s="993" t="b">
        <x:v>0</x:v>
      </x:c>
      <x:c r="FO34" s="754" t="b">
        <x:f t="shared" si="74"/>
        <x:v>1</x:v>
      </x:c>
      <x:c r="FP34" s="754" t="b">
        <x:v>0</x:v>
      </x:c>
      <x:c r="FQ34" s="754" t="b">
        <x:f t="shared" si="31"/>
        <x:v>1</x:v>
      </x:c>
      <x:c r="FX34" s="197"/>
      <x:c r="FZ34" s="2"/>
      <x:c r="GA34" s="1761">
        <x:v>55</x:v>
      </x:c>
      <x:c r="GB34" s="1762">
        <x:v>3</x:v>
      </x:c>
      <x:c r="GC34" s="1763">
        <x:v>-0.25</x:v>
      </x:c>
      <x:c r="GD34" s="1764">
        <x:v>3.5</x:v>
      </x:c>
      <x:c r="GE34" s="1765">
        <x:f t="shared" si="60"/>
        <x:v>0</x:v>
      </x:c>
      <x:c r="GF34" s="582" t="str">
        <x:f t="shared" si="61"/>
        <x:v>G7</x:v>
      </x:c>
      <x:c r="GG34" s="692">
        <x:v>0</x:v>
      </x:c>
      <x:c r="GH34" s="1135">
        <x:v>0</x:v>
      </x:c>
      <x:c r="GI34" s="692"/>
      <x:c r="GJ34" s="1135"/>
      <x:c r="GK34" s="1640">
        <x:f t="shared" si="62"/>
        <x:v>666.25</x:v>
      </x:c>
      <x:c r="GL34" s="1640">
        <x:f t="shared" si="63"/>
        <x:v>666.25</x:v>
      </x:c>
      <x:c r="GM34" s="1641">
        <x:f>IF(ABS(GK34-GL34)&gt;='Job Info.'!$L$22,ABS(GK34-GL34),0)</x:f>
        <x:v>0</x:v>
      </x:c>
      <x:c r="HA34" s="1241" t="s">
        <x:v>1407</x:v>
      </x:c>
      <x:c r="HB34" s="1242">
        <x:v>2</x:v>
      </x:c>
      <x:c r="HC34" s="1242" t="s">
        <x:v>1585</x:v>
      </x:c>
      <x:c r="HD34" s="1243">
        <x:v>55</x:v>
      </x:c>
      <x:c r="HE34" s="1244">
        <x:v>6.25</x:v>
      </x:c>
      <x:c r="HF34" s="1242">
        <x:v>11.125</x:v>
      </x:c>
      <x:c r="HG34" s="1242">
        <x:v>0</x:v>
      </x:c>
      <x:c r="HH34" s="1242">
        <x:v>1.75</x:v>
      </x:c>
      <x:c r="HI34" s="1242" t="s">
        <x:v>113</x:v>
      </x:c>
      <x:c r="HJ34" s="1242">
        <x:v>0</x:v>
      </x:c>
      <x:c r="HK34" s="1242">
        <x:v>0.5</x:v>
      </x:c>
      <x:c r="HL34" s="1242" t="s">
        <x:v>113</x:v>
      </x:c>
      <x:c r="HM34" s="1242">
        <x:v>7.5</x:v>
      </x:c>
      <x:c r="HN34" s="1242">
        <x:v>7.5</x:v>
      </x:c>
      <x:c r="HO34" s="1242">
        <x:v>0</x:v>
      </x:c>
      <x:c r="HP34" s="1242">
        <x:v>6.75</x:v>
      </x:c>
      <x:c r="HQ34" s="1242">
        <x:v>0</x:v>
      </x:c>
      <x:c r="HR34" s="1242">
        <x:v>5.5</x:v>
      </x:c>
      <x:c r="HS34" s="1242">
        <x:v>0</x:v>
      </x:c>
      <x:c r="HT34" s="1242">
        <x:v>6.25</x:v>
      </x:c>
      <x:c r="HU34" s="1242">
        <x:v>0</x:v>
      </x:c>
      <x:c r="HV34" s="1242">
        <x:v>5</x:v>
      </x:c>
      <x:c r="HW34" s="1242">
        <x:v>5</x:v>
      </x:c>
      <x:c r="HX34" s="1242" t="s">
        <x:v>116</x:v>
      </x:c>
      <x:c r="HY34" s="1246" t="s">
        <x:v>116</x:v>
      </x:c>
      <x:c r="HZ34" s="1246" t="s">
        <x:v>1626</x:v>
      </x:c>
      <x:c r="IA34" s="1246" t="s">
        <x:v>116</x:v>
      </x:c>
      <x:c r="IB34" s="1246"/>
      <x:c r="IC34" s="1246"/>
      <x:c r="ID34" s="1247"/>
      <x:c r="IE34" s="1241"/>
      <x:c r="IF34" s="1242"/>
      <x:c r="IG34" s="1243"/>
      <x:c r="IH34" s="1244"/>
      <x:c r="II34" s="1242"/>
      <x:c r="IJ34" s="1243"/>
      <x:c r="IK34" s="1244"/>
      <x:c r="IL34" s="1242"/>
      <x:c r="IM34" s="1242"/>
      <x:c r="IN34" s="1242"/>
      <x:c r="IO34" s="1242"/>
      <x:c r="IP34" s="1242"/>
      <x:c r="IQ34" s="1242"/>
      <x:c r="IR34" s="1242"/>
      <x:c r="IS34" s="1243"/>
      <x:c r="IT34" s="1244"/>
      <x:c r="IU34" s="1242"/>
      <x:c r="IV34" s="1242"/>
      <x:c r="IW34" s="1243"/>
      <x:c r="IX34" s="1244"/>
      <x:c r="IY34" s="1242"/>
      <x:c r="IZ34" s="1242"/>
      <x:c r="JA34" s="1243"/>
      <x:c r="JB34" s="1244"/>
      <x:c r="JC34" s="1242"/>
      <x:c r="JD34" s="1242"/>
      <x:c r="JE34" s="1243"/>
      <x:c r="JF34" s="1244"/>
      <x:c r="JG34" s="1242"/>
      <x:c r="JH34" s="1242"/>
      <x:c r="JI34" s="1242"/>
      <x:c r="JJ34" s="1245"/>
      <x:c r="JK34" s="1242"/>
      <x:c r="JL34" s="1171">
        <x:f t="shared" ca="1" si="35"/>
        <x:v>0</x:v>
      </x:c>
    </x:row>
    <x:row r="35" spans="1:272" ht="12.6" customHeight="1" x14ac:dyDescent="0.25">
      <x:c r="A35" s="2764" t="s">
        <x:v>1408</x:v>
      </x:c>
      <x:c r="B35" s="2765">
        <x:v>5</x:v>
      </x:c>
      <x:c r="C35" s="2766" t="s">
        <x:v>1585</x:v>
      </x:c>
      <x:c r="D35" s="2767">
        <x:v>55</x:v>
      </x:c>
      <x:c r="E35" s="2768">
        <x:v>11.5</x:v>
      </x:c>
      <x:c r="F35" s="2769">
        <x:v>11.125</x:v>
      </x:c>
      <x:c r="G35" s="2770">
        <x:v>0</x:v>
      </x:c>
      <x:c r="H35" s="2771">
        <x:v>1.75</x:v>
      </x:c>
      <x:c r="I35" s="2772" t="s">
        <x:v>113</x:v>
      </x:c>
      <x:c r="J35" s="2767">
        <x:v>0</x:v>
      </x:c>
      <x:c r="K35" s="2771">
        <x:v>1.75</x:v>
      </x:c>
      <x:c r="L35" s="2773" t="s">
        <x:v>113</x:v>
      </x:c>
      <x:c r="M35" s="2774">
        <x:v>7.5</x:v>
      </x:c>
      <x:c r="N35" s="2775">
        <x:v>7.5</x:v>
      </x:c>
      <x:c r="O35" s="2770">
        <x:v>0</x:v>
      </x:c>
      <x:c r="P35" s="2771">
        <x:v>6.75</x:v>
      </x:c>
      <x:c r="Q35" s="2767">
        <x:v>0</x:v>
      </x:c>
      <x:c r="R35" s="2768">
        <x:v>6.75</x:v>
      </x:c>
      <x:c r="S35" s="2776">
        <x:v>0</x:v>
      </x:c>
      <x:c r="T35" s="2771">
        <x:v>6.25</x:v>
      </x:c>
      <x:c r="U35" s="2767">
        <x:v>0</x:v>
      </x:c>
      <x:c r="V35" s="2771">
        <x:v>6.25</x:v>
      </x:c>
      <x:c r="W35" s="2775">
        <x:v>5</x:v>
      </x:c>
      <x:c r="X35" s="2777" t="str">
        <x:f t="shared" si="48"/>
        <x:v/>
      </x:c>
      <x:c r="Y35" s="2778" t="str">
        <x:f t="shared" si="49"/>
        <x:v/>
      </x:c>
      <x:c r="Z35" s="2779" t="s">
        <x:v>1627</x:v>
      </x:c>
      <x:c r="AA35" s="2780" t="str">
        <x:f t="shared" si="50"/>
        <x:v/>
      </x:c>
      <x:c r="AB35" s="2764" t="str">
        <x:f t="shared" si="37"/>
        <x:v/>
      </x:c>
      <x:c r="AC35" s="2772" t="str">
        <x:f t="shared" si="38"/>
        <x:v/>
      </x:c>
      <x:c r="AD35" s="2767" t="str">
        <x:f t="shared" ca="1" si="39"/>
        <x:v/>
      </x:c>
      <x:c r="AE35" s="2771" t="str">
        <x:f t="shared" ca="1" si="40"/>
        <x:v/>
      </x:c>
      <x:c r="AF35" s="2772" t="str">
        <x:f t="shared" ca="1" si="41"/>
        <x:v/>
      </x:c>
      <x:c r="AG35" s="2767" t="str">
        <x:f t="shared" ca="1" si="42"/>
        <x:v/>
      </x:c>
      <x:c r="AH35" s="2771" t="str">
        <x:f t="shared" ca="1" si="43"/>
        <x:v/>
      </x:c>
      <x:c r="AI35" s="2767" t="str">
        <x:f t="shared" ca="1" si="44"/>
        <x:v/>
      </x:c>
      <x:c r="AJ35" s="2771" t="str">
        <x:f t="shared" ca="1" si="45"/>
        <x:v/>
      </x:c>
      <x:c r="AK35" s="2813" t="str">
        <x:f t="shared" si="12"/>
        <x:v/>
      </x:c>
      <x:c r="AL35" s="2814" t="str">
        <x:f t="shared" si="46"/>
        <x:v/>
      </x:c>
      <x:c r="AM35" s="2815" t="str">
        <x:f t="shared" si="80"/>
        <x:v/>
      </x:c>
      <x:c r="AN35" s="2772" t="str">
        <x:f t="shared" si="80"/>
        <x:v/>
      </x:c>
      <x:c r="AO35" s="2816" t="str">
        <x:f t="shared" si="80"/>
        <x:v/>
      </x:c>
      <x:c r="AP35" s="2774" t="str">
        <x:f t="shared" si="3"/>
        <x:v/>
      </x:c>
      <x:c r="AQ35" s="2817" t="str">
        <x:f t="shared" si="3"/>
        <x:v/>
      </x:c>
      <x:c r="AR35" s="2770" t="str">
        <x:f t="shared" si="13"/>
        <x:v/>
      </x:c>
      <x:c r="AS35" s="2771" t="str">
        <x:f t="shared" si="14"/>
        <x:v/>
      </x:c>
      <x:c r="AT35" s="2818" t="str">
        <x:f t="shared" si="15"/>
        <x:v/>
      </x:c>
      <x:c r="AU35" s="2819" t="str">
        <x:f t="shared" si="4"/>
        <x:v/>
      </x:c>
      <x:c r="AV35" s="2776" t="str">
        <x:f t="shared" si="16"/>
        <x:v/>
      </x:c>
      <x:c r="AW35" s="2771" t="str">
        <x:f t="shared" si="17"/>
        <x:v/>
      </x:c>
      <x:c r="AX35" s="2818" t="str">
        <x:f t="shared" si="18"/>
        <x:v/>
      </x:c>
      <x:c r="AY35" s="2819" t="str">
        <x:f t="shared" si="5"/>
        <x:v/>
      </x:c>
      <x:c r="AZ35" s="2776" t="str">
        <x:f t="shared" si="19"/>
        <x:v/>
      </x:c>
      <x:c r="BA35" s="2771" t="str">
        <x:f t="shared" si="20"/>
        <x:v/>
      </x:c>
      <x:c r="BB35" s="2818" t="str">
        <x:f t="shared" si="21"/>
        <x:v/>
      </x:c>
      <x:c r="BC35" s="2819" t="str">
        <x:f t="shared" si="6"/>
        <x:v/>
      </x:c>
      <x:c r="BD35" s="2776" t="str">
        <x:f t="shared" si="22"/>
        <x:v/>
      </x:c>
      <x:c r="BE35" s="2771" t="str">
        <x:f t="shared" si="23"/>
        <x:v/>
      </x:c>
      <x:c r="BF35" s="2818" t="str">
        <x:f t="shared" si="24"/>
        <x:v/>
      </x:c>
      <x:c r="BG35" s="2819" t="str">
        <x:f t="shared" si="7"/>
        <x:v/>
      </x:c>
      <x:c r="BH35" s="261"/>
      <x:c r="BJ35" s="1301" t="str">
        <x:f t="shared" si="75"/>
        <x:v>G8</x:v>
      </x:c>
      <x:c r="BK35" s="993" t="b">
        <x:f t="shared" si="79"/>
        <x:v>0</x:v>
      </x:c>
      <x:c r="BL35" s="1800" t="b">
        <x:v>0</x:v>
      </x:c>
      <x:c r="BM35" s="989">
        <x:f t="shared" si="64"/>
        <x:v>52</x:v>
      </x:c>
      <x:c r="BN35" s="989" t="str">
        <x:f t="shared" si="65"/>
        <x:v>VG</x:v>
      </x:c>
      <x:c r="BO35" s="989">
        <x:f t="shared" si="66"/>
        <x:v>9</x:v>
      </x:c>
      <x:c r="BP35" s="989">
        <x:f t="shared" si="51"/>
        <x:v>15.3</x:v>
      </x:c>
      <x:c r="BQ35" s="989">
        <x:f t="shared" si="67"/>
        <x:v>0</x:v>
      </x:c>
      <x:c r="BR35" s="989" t="b">
        <x:f t="shared" si="68"/>
        <x:v>1</x:v>
      </x:c>
      <x:c r="BS35" s="1302">
        <x:f t="shared" si="69"/>
        <x:v>7.75</x:v>
      </x:c>
      <x:c r="BT35" s="990" t="str">
        <x:f t="shared" si="70"/>
        <x:v>Yes</x:v>
      </x:c>
      <x:c r="BU35" s="1302">
        <x:f t="shared" si="71"/>
        <x:v>7.75</x:v>
      </x:c>
      <x:c r="BV35" s="990" t="str">
        <x:f t="shared" si="72"/>
        <x:v>Yes</x:v>
      </x:c>
      <x:c r="BW35" s="991">
        <x:f t="shared" ca="1" si="25"/>
        <x:v>0</x:v>
      </x:c>
      <x:c r="BX35" s="991" t="str">
        <x:f t="shared" ca="1" si="32"/>
        <x:v/>
      </x:c>
      <x:c r="BY35" s="991" t="b">
        <x:f t="shared" ca="1" si="26"/>
        <x:v>0</x:v>
      </x:c>
      <x:c r="BZ35" s="1303" t="b">
        <x:f t="shared" si="33"/>
        <x:v>0</x:v>
      </x:c>
      <x:c r="CB35" s="672"/>
      <x:c r="CC35" s="1684"/>
      <x:c r="CD35" s="699"/>
      <x:c r="CE35" s="700"/>
      <x:c r="CF35" s="1328"/>
      <x:c r="CG35" s="672"/>
      <x:c r="CH35" s="713"/>
      <x:c r="CI35" s="714"/>
      <x:c r="CJ35" s="713"/>
      <x:c r="CK35" s="714"/>
      <x:c r="CL35" s="715"/>
      <x:c r="CM35" s="743"/>
      <x:c r="CN35" s="738"/>
      <x:c r="CO35" s="1551"/>
      <x:c r="CP35" s="910"/>
      <x:c r="CQ35" s="672"/>
      <x:c r="CR35" s="713"/>
      <x:c r="CS35" s="714"/>
      <x:c r="CT35" s="713"/>
      <x:c r="CU35" s="714"/>
      <x:c r="CV35" s="715"/>
      <x:c r="CW35" s="743"/>
      <x:c r="CX35" s="738"/>
      <x:c r="CY35" s="1551"/>
      <x:c r="CZ35" s="910"/>
      <x:c r="DA35" s="717"/>
      <x:c r="DB35" s="702"/>
      <x:c r="DC35" s="703"/>
      <x:c r="DD35" s="1598"/>
      <x:c r="DE35" s="1599"/>
      <x:c r="DF35" s="141"/>
      <x:c r="DG35" s="141"/>
      <x:c r="DH35" s="672"/>
      <x:c r="DI35" s="673"/>
      <x:c r="DJ35" s="692"/>
      <x:c r="DK35" s="1331"/>
      <x:c r="DL35" s="674"/>
      <x:c r="DM35" s="693"/>
      <x:c r="DN35" s="1334"/>
      <x:c r="DO35" s="675"/>
      <x:c r="DP35" s="676"/>
      <x:c r="DQ35" s="1419"/>
      <x:c r="DR35" s="677"/>
      <x:c r="DS35" s="1611"/>
      <x:c r="DT35" s="1606"/>
      <x:c r="DU35" s="1607"/>
      <x:c r="DV35" s="678"/>
      <x:c r="DW35" s="1336"/>
      <x:c r="DX35" s="679"/>
      <x:c r="DY35" s="674"/>
      <x:c r="DZ35" s="678"/>
      <x:c r="EA35" s="1336"/>
      <x:c r="EB35" s="679"/>
      <x:c r="EC35" s="674"/>
      <x:c r="ED35" s="678"/>
      <x:c r="EE35" s="1336"/>
      <x:c r="EF35" s="679"/>
      <x:c r="EG35" s="674"/>
      <x:c r="EH35" s="678"/>
      <x:c r="EI35" s="1336"/>
      <x:c r="EJ35" s="679"/>
      <x:c r="EK35" s="680"/>
      <x:c r="EL35" s="141"/>
      <x:c r="EM35" s="1631" t="str">
        <x:f t="shared" si="73"/>
        <x:v/>
      </x:c>
      <x:c r="EN35" s="1632" t="str">
        <x:f t="shared" si="52"/>
        <x:v/>
      </x:c>
      <x:c r="EO35" s="648" t="str">
        <x:f t="shared" si="53"/>
        <x:v/>
      </x:c>
      <x:c r="EP35" s="649" t="str">
        <x:f t="shared" si="54"/>
        <x:v/>
      </x:c>
      <x:c r="EQ35" s="813" t="str">
        <x:f t="shared" si="55"/>
        <x:v/>
      </x:c>
      <x:c r="ER35" s="1586" t="str">
        <x:f t="shared" si="56"/>
        <x:v/>
      </x:c>
      <x:c r="ES35" s="1587" t="str">
        <x:f t="shared" si="57"/>
        <x:v/>
      </x:c>
      <x:c r="ET35" s="1588" t="str">
        <x:f t="shared" si="58"/>
        <x:v/>
      </x:c>
      <x:c r="EU35" s="1589" t="str">
        <x:f t="shared" si="59"/>
        <x:v/>
      </x:c>
      <x:c r="EX35" s="503" t="str">
        <x:f t="shared" ca="1" si="27"/>
        <x:v/>
      </x:c>
      <x:c r="EY35" s="940" t="str">
        <x:f t="shared" si="8"/>
        <x:v/>
      </x:c>
      <x:c r="EZ35" s="940" t="str">
        <x:f t="shared" si="28"/>
        <x:v/>
      </x:c>
      <x:c r="FA35" s="958" t="str">
        <x:f t="shared" ca="1" si="34"/>
        <x:v/>
      </x:c>
      <x:c r="FB35" s="134" t="str">
        <x:f t="shared" ca="1" si="29"/>
        <x:v/>
      </x:c>
      <x:c r="FC35" s="134">
        <x:f t="shared" ca="1" si="9"/>
        <x:v>0</x:v>
      </x:c>
      <x:c r="FD35" s="134">
        <x:f t="shared" ca="1" si="10"/>
        <x:v>0</x:v>
      </x:c>
      <x:c r="FE35" s="134">
        <x:f t="shared" ca="1" si="11"/>
        <x:v>0</x:v>
      </x:c>
      <x:c r="FF35" s="134">
        <x:f t="shared" ca="1" si="30"/>
        <x:v>0</x:v>
      </x:c>
      <x:c r="FN35" s="993" t="b">
        <x:v>0</x:v>
      </x:c>
      <x:c r="FO35" s="754" t="b">
        <x:f t="shared" si="74"/>
        <x:v>1</x:v>
      </x:c>
      <x:c r="FP35" s="754" t="b">
        <x:v>0</x:v>
      </x:c>
      <x:c r="FQ35" s="754" t="b">
        <x:f t="shared" si="31"/>
        <x:v>1</x:v>
      </x:c>
      <x:c r="FX35" s="197"/>
      <x:c r="FZ35" s="2"/>
      <x:c r="GA35" s="1761">
        <x:v>56</x:v>
      </x:c>
      <x:c r="GB35" s="1762">
        <x:v>0</x:v>
      </x:c>
      <x:c r="GC35" s="1763">
        <x:v>-0.25</x:v>
      </x:c>
      <x:c r="GD35" s="1764">
        <x:v>-0.25</x:v>
      </x:c>
      <x:c r="GE35" s="1765">
        <x:f t="shared" si="60"/>
        <x:v>0</x:v>
      </x:c>
      <x:c r="GF35" s="582" t="str">
        <x:f t="shared" si="61"/>
        <x:v>G8</x:v>
      </x:c>
      <x:c r="GG35" s="692">
        <x:v>0</x:v>
      </x:c>
      <x:c r="GH35" s="1135">
        <x:v>0</x:v>
      </x:c>
      <x:c r="GI35" s="692"/>
      <x:c r="GJ35" s="1135"/>
      <x:c r="GK35" s="1640">
        <x:f t="shared" si="62"/>
        <x:v>671.5</x:v>
      </x:c>
      <x:c r="GL35" s="1640">
        <x:f t="shared" si="63"/>
        <x:v>671.5</x:v>
      </x:c>
      <x:c r="GM35" s="1641">
        <x:f>IF(ABS(GK35-GL35)&gt;='Job Info.'!$L$22,ABS(GK35-GL35),0)</x:f>
        <x:v>0</x:v>
      </x:c>
      <x:c r="HA35" s="1241" t="s">
        <x:v>1408</x:v>
      </x:c>
      <x:c r="HB35" s="1242">
        <x:v>5</x:v>
      </x:c>
      <x:c r="HC35" s="1242" t="s">
        <x:v>1585</x:v>
      </x:c>
      <x:c r="HD35" s="1243">
        <x:v>55</x:v>
      </x:c>
      <x:c r="HE35" s="1244">
        <x:v>11.5</x:v>
      </x:c>
      <x:c r="HF35" s="1242">
        <x:v>11.125</x:v>
      </x:c>
      <x:c r="HG35" s="1242">
        <x:v>0</x:v>
      </x:c>
      <x:c r="HH35" s="1242">
        <x:v>1.75</x:v>
      </x:c>
      <x:c r="HI35" s="1242" t="s">
        <x:v>113</x:v>
      </x:c>
      <x:c r="HJ35" s="1242">
        <x:v>0</x:v>
      </x:c>
      <x:c r="HK35" s="1242">
        <x:v>1.75</x:v>
      </x:c>
      <x:c r="HL35" s="1242" t="s">
        <x:v>113</x:v>
      </x:c>
      <x:c r="HM35" s="1242">
        <x:v>7.5</x:v>
      </x:c>
      <x:c r="HN35" s="1242">
        <x:v>7.5</x:v>
      </x:c>
      <x:c r="HO35" s="1242">
        <x:v>0</x:v>
      </x:c>
      <x:c r="HP35" s="1242">
        <x:v>6.75</x:v>
      </x:c>
      <x:c r="HQ35" s="1242">
        <x:v>0</x:v>
      </x:c>
      <x:c r="HR35" s="1242">
        <x:v>6.75</x:v>
      </x:c>
      <x:c r="HS35" s="1242">
        <x:v>0</x:v>
      </x:c>
      <x:c r="HT35" s="1242">
        <x:v>6.25</x:v>
      </x:c>
      <x:c r="HU35" s="1242">
        <x:v>0</x:v>
      </x:c>
      <x:c r="HV35" s="1242">
        <x:v>6.25</x:v>
      </x:c>
      <x:c r="HW35" s="1242">
        <x:v>5</x:v>
      </x:c>
      <x:c r="HX35" s="1242" t="s">
        <x:v>116</x:v>
      </x:c>
      <x:c r="HY35" s="1246" t="s">
        <x:v>116</x:v>
      </x:c>
      <x:c r="HZ35" s="1246" t="s">
        <x:v>1627</x:v>
      </x:c>
      <x:c r="IA35" s="1246" t="s">
        <x:v>116</x:v>
      </x:c>
      <x:c r="IB35" s="1246"/>
      <x:c r="IC35" s="1246"/>
      <x:c r="ID35" s="1247"/>
      <x:c r="IE35" s="1241"/>
      <x:c r="IF35" s="1242"/>
      <x:c r="IG35" s="1243"/>
      <x:c r="IH35" s="1244"/>
      <x:c r="II35" s="1242"/>
      <x:c r="IJ35" s="1243"/>
      <x:c r="IK35" s="1244"/>
      <x:c r="IL35" s="1242"/>
      <x:c r="IM35" s="1242"/>
      <x:c r="IN35" s="1242"/>
      <x:c r="IO35" s="1242"/>
      <x:c r="IP35" s="1242"/>
      <x:c r="IQ35" s="1242"/>
      <x:c r="IR35" s="1242"/>
      <x:c r="IS35" s="1243"/>
      <x:c r="IT35" s="1244"/>
      <x:c r="IU35" s="1242"/>
      <x:c r="IV35" s="1242"/>
      <x:c r="IW35" s="1243"/>
      <x:c r="IX35" s="1244"/>
      <x:c r="IY35" s="1242"/>
      <x:c r="IZ35" s="1242"/>
      <x:c r="JA35" s="1243"/>
      <x:c r="JB35" s="1244"/>
      <x:c r="JC35" s="1242"/>
      <x:c r="JD35" s="1242"/>
      <x:c r="JE35" s="1243"/>
      <x:c r="JF35" s="1244"/>
      <x:c r="JG35" s="1242"/>
      <x:c r="JH35" s="1242"/>
      <x:c r="JI35" s="1242"/>
      <x:c r="JJ35" s="1245"/>
      <x:c r="JK35" s="1242"/>
      <x:c r="JL35" s="1171">
        <x:f t="shared" ca="1" si="35"/>
        <x:v>0</x:v>
      </x:c>
    </x:row>
    <x:row r="36" spans="1:272" ht="12.6" customHeight="1" x14ac:dyDescent="0.25">
      <x:c r="A36" s="2764" t="s">
        <x:v>1409</x:v>
      </x:c>
      <x:c r="B36" s="2765">
        <x:v>1</x:v>
      </x:c>
      <x:c r="C36" s="2766" t="s">
        <x:v>1585</x:v>
      </x:c>
      <x:c r="D36" s="2767">
        <x:v>55</x:v>
      </x:c>
      <x:c r="E36" s="2768">
        <x:v>10.875</x:v>
      </x:c>
      <x:c r="F36" s="2769">
        <x:v>11.125</x:v>
      </x:c>
      <x:c r="G36" s="2770">
        <x:v>0</x:v>
      </x:c>
      <x:c r="H36" s="2771">
        <x:v>1.75</x:v>
      </x:c>
      <x:c r="I36" s="2772" t="s">
        <x:v>113</x:v>
      </x:c>
      <x:c r="J36" s="2767" t="str">
        <x:f t="shared" si="76"/>
        <x:v/>
      </x:c>
      <x:c r="K36" s="2771" t="str">
        <x:f t="shared" si="77"/>
        <x:v/>
      </x:c>
      <x:c r="L36" s="2773" t="str">
        <x:f t="shared" si="78"/>
        <x:v/>
      </x:c>
      <x:c r="M36" s="2774">
        <x:v>7.5</x:v>
      </x:c>
      <x:c r="N36" s="2775">
        <x:v>10</x:v>
      </x:c>
      <x:c r="O36" s="2770">
        <x:v>0</x:v>
      </x:c>
      <x:c r="P36" s="2771">
        <x:v>6.75</x:v>
      </x:c>
      <x:c r="Q36" s="2767">
        <x:v>0</x:v>
      </x:c>
      <x:c r="R36" s="2768">
        <x:v>7.125</x:v>
      </x:c>
      <x:c r="S36" s="2776">
        <x:v>0</x:v>
      </x:c>
      <x:c r="T36" s="2771">
        <x:v>6.25</x:v>
      </x:c>
      <x:c r="U36" s="2767">
        <x:v>0</x:v>
      </x:c>
      <x:c r="V36" s="2771">
        <x:v>2.125</x:v>
      </x:c>
      <x:c r="W36" s="2775">
        <x:v>5</x:v>
      </x:c>
      <x:c r="X36" s="2777" t="str">
        <x:f t="shared" si="48"/>
        <x:v/>
      </x:c>
      <x:c r="Y36" s="2778" t="str">
        <x:f t="shared" si="49"/>
        <x:v/>
      </x:c>
      <x:c r="Z36" s="2779" t="s">
        <x:v>1628</x:v>
      </x:c>
      <x:c r="AA36" s="2780" t="str">
        <x:f t="shared" si="50"/>
        <x:v/>
      </x:c>
      <x:c r="AB36" s="2764" t="str">
        <x:f t="shared" si="37"/>
        <x:v/>
      </x:c>
      <x:c r="AC36" s="2772" t="str">
        <x:f t="shared" si="38"/>
        <x:v/>
      </x:c>
      <x:c r="AD36" s="2767" t="str">
        <x:f t="shared" ca="1" si="39"/>
        <x:v/>
      </x:c>
      <x:c r="AE36" s="2771" t="str">
        <x:f t="shared" ca="1" si="40"/>
        <x:v/>
      </x:c>
      <x:c r="AF36" s="2772" t="str">
        <x:f t="shared" ca="1" si="41"/>
        <x:v/>
      </x:c>
      <x:c r="AG36" s="2767" t="str">
        <x:f t="shared" ca="1" si="42"/>
        <x:v/>
      </x:c>
      <x:c r="AH36" s="2771" t="str">
        <x:f t="shared" ca="1" si="43"/>
        <x:v/>
      </x:c>
      <x:c r="AI36" s="2767" t="str">
        <x:f t="shared" ca="1" si="44"/>
        <x:v/>
      </x:c>
      <x:c r="AJ36" s="2771" t="str">
        <x:f t="shared" ca="1" si="45"/>
        <x:v/>
      </x:c>
      <x:c r="AK36" s="2813" t="str">
        <x:f t="shared" si="12"/>
        <x:v/>
      </x:c>
      <x:c r="AL36" s="2814" t="str">
        <x:f t="shared" si="46"/>
        <x:v/>
      </x:c>
      <x:c r="AM36" s="2815" t="str">
        <x:f t="shared" si="80"/>
        <x:v/>
      </x:c>
      <x:c r="AN36" s="2772" t="str">
        <x:f t="shared" si="80"/>
        <x:v/>
      </x:c>
      <x:c r="AO36" s="2816" t="str">
        <x:f t="shared" si="80"/>
        <x:v/>
      </x:c>
      <x:c r="AP36" s="2774" t="str">
        <x:f t="shared" si="3"/>
        <x:v/>
      </x:c>
      <x:c r="AQ36" s="2817" t="str">
        <x:f t="shared" si="3"/>
        <x:v/>
      </x:c>
      <x:c r="AR36" s="2770" t="str">
        <x:f t="shared" si="13"/>
        <x:v/>
      </x:c>
      <x:c r="AS36" s="2771" t="str">
        <x:f t="shared" si="14"/>
        <x:v/>
      </x:c>
      <x:c r="AT36" s="2818" t="str">
        <x:f t="shared" si="15"/>
        <x:v/>
      </x:c>
      <x:c r="AU36" s="2819" t="str">
        <x:f t="shared" si="4"/>
        <x:v/>
      </x:c>
      <x:c r="AV36" s="2776" t="str">
        <x:f t="shared" si="16"/>
        <x:v/>
      </x:c>
      <x:c r="AW36" s="2771" t="str">
        <x:f t="shared" si="17"/>
        <x:v/>
      </x:c>
      <x:c r="AX36" s="2818" t="str">
        <x:f t="shared" si="18"/>
        <x:v/>
      </x:c>
      <x:c r="AY36" s="2819" t="str">
        <x:f t="shared" si="5"/>
        <x:v/>
      </x:c>
      <x:c r="AZ36" s="2776" t="str">
        <x:f t="shared" si="19"/>
        <x:v/>
      </x:c>
      <x:c r="BA36" s="2771" t="str">
        <x:f t="shared" si="20"/>
        <x:v/>
      </x:c>
      <x:c r="BB36" s="2818" t="str">
        <x:f t="shared" si="21"/>
        <x:v/>
      </x:c>
      <x:c r="BC36" s="2819" t="str">
        <x:f t="shared" si="6"/>
        <x:v/>
      </x:c>
      <x:c r="BD36" s="2776" t="str">
        <x:f t="shared" si="22"/>
        <x:v/>
      </x:c>
      <x:c r="BE36" s="2771" t="str">
        <x:f t="shared" si="23"/>
        <x:v/>
      </x:c>
      <x:c r="BF36" s="2818" t="str">
        <x:f t="shared" si="24"/>
        <x:v/>
      </x:c>
      <x:c r="BG36" s="2819" t="str">
        <x:f t="shared" si="7"/>
        <x:v/>
      </x:c>
      <x:c r="BH36" s="261"/>
      <x:c r="BJ36" s="1301" t="str">
        <x:f t="shared" si="75"/>
        <x:v>G9</x:v>
      </x:c>
      <x:c r="BK36" s="993" t="b">
        <x:f t="shared" si="79"/>
        <x:v>0</x:v>
      </x:c>
      <x:c r="BL36" s="1800" t="b">
        <x:v>0</x:v>
      </x:c>
      <x:c r="BM36" s="989">
        <x:f t="shared" si="64"/>
        <x:v>52</x:v>
      </x:c>
      <x:c r="BN36" s="989" t="str">
        <x:f t="shared" si="65"/>
        <x:v>VG</x:v>
      </x:c>
      <x:c r="BO36" s="989">
        <x:f t="shared" si="66"/>
        <x:v>9</x:v>
      </x:c>
      <x:c r="BP36" s="989">
        <x:f t="shared" si="51"/>
        <x:v>15.3</x:v>
      </x:c>
      <x:c r="BQ36" s="989">
        <x:f t="shared" si="67"/>
        <x:v>0</x:v>
      </x:c>
      <x:c r="BR36" s="989" t="b">
        <x:f t="shared" si="68"/>
        <x:v>1</x:v>
      </x:c>
      <x:c r="BS36" s="1302">
        <x:f t="shared" si="69"/>
        <x:v>7.75</x:v>
      </x:c>
      <x:c r="BT36" s="990" t="str">
        <x:f t="shared" si="70"/>
        <x:v>Yes</x:v>
      </x:c>
      <x:c r="BU36" s="1302">
        <x:f t="shared" si="71"/>
        <x:v>6</x:v>
      </x:c>
      <x:c r="BV36" s="990" t="str">
        <x:f t="shared" si="72"/>
        <x:v>Yes</x:v>
      </x:c>
      <x:c r="BW36" s="991">
        <x:f t="shared" ca="1" si="25"/>
        <x:v>0</x:v>
      </x:c>
      <x:c r="BX36" s="991" t="str">
        <x:f t="shared" ca="1" si="32"/>
        <x:v/>
      </x:c>
      <x:c r="BY36" s="991" t="b">
        <x:f t="shared" ca="1" si="26"/>
        <x:v>0</x:v>
      </x:c>
      <x:c r="BZ36" s="1303" t="b">
        <x:f t="shared" si="33"/>
        <x:v>0</x:v>
      </x:c>
      <x:c r="CB36" s="672"/>
      <x:c r="CC36" s="1684"/>
      <x:c r="CD36" s="699"/>
      <x:c r="CE36" s="700"/>
      <x:c r="CF36" s="1328"/>
      <x:c r="CG36" s="672"/>
      <x:c r="CH36" s="713"/>
      <x:c r="CI36" s="714"/>
      <x:c r="CJ36" s="713"/>
      <x:c r="CK36" s="714"/>
      <x:c r="CL36" s="715"/>
      <x:c r="CM36" s="743"/>
      <x:c r="CN36" s="738"/>
      <x:c r="CO36" s="1551"/>
      <x:c r="CP36" s="910"/>
      <x:c r="CQ36" s="672"/>
      <x:c r="CR36" s="713"/>
      <x:c r="CS36" s="714"/>
      <x:c r="CT36" s="713"/>
      <x:c r="CU36" s="714"/>
      <x:c r="CV36" s="715"/>
      <x:c r="CW36" s="743"/>
      <x:c r="CX36" s="738"/>
      <x:c r="CY36" s="1551"/>
      <x:c r="CZ36" s="910"/>
      <x:c r="DA36" s="717"/>
      <x:c r="DB36" s="702"/>
      <x:c r="DC36" s="703"/>
      <x:c r="DD36" s="1598"/>
      <x:c r="DE36" s="1599"/>
      <x:c r="DF36" s="141"/>
      <x:c r="DG36" s="141"/>
      <x:c r="DH36" s="672"/>
      <x:c r="DI36" s="673"/>
      <x:c r="DJ36" s="692"/>
      <x:c r="DK36" s="1331"/>
      <x:c r="DL36" s="674"/>
      <x:c r="DM36" s="693"/>
      <x:c r="DN36" s="1334"/>
      <x:c r="DO36" s="675"/>
      <x:c r="DP36" s="676"/>
      <x:c r="DQ36" s="1419"/>
      <x:c r="DR36" s="677"/>
      <x:c r="DS36" s="1611"/>
      <x:c r="DT36" s="1606"/>
      <x:c r="DU36" s="1607"/>
      <x:c r="DV36" s="678"/>
      <x:c r="DW36" s="1336"/>
      <x:c r="DX36" s="679"/>
      <x:c r="DY36" s="674"/>
      <x:c r="DZ36" s="678"/>
      <x:c r="EA36" s="1336"/>
      <x:c r="EB36" s="679"/>
      <x:c r="EC36" s="674"/>
      <x:c r="ED36" s="678"/>
      <x:c r="EE36" s="1336"/>
      <x:c r="EF36" s="679"/>
      <x:c r="EG36" s="674"/>
      <x:c r="EH36" s="678"/>
      <x:c r="EI36" s="1336"/>
      <x:c r="EJ36" s="679"/>
      <x:c r="EK36" s="680"/>
      <x:c r="EL36" s="141"/>
      <x:c r="EM36" s="1631" t="str">
        <x:f t="shared" si="73"/>
        <x:v/>
      </x:c>
      <x:c r="EN36" s="1632" t="str">
        <x:f t="shared" si="52"/>
        <x:v/>
      </x:c>
      <x:c r="EO36" s="648" t="str">
        <x:f t="shared" si="53"/>
        <x:v/>
      </x:c>
      <x:c r="EP36" s="649" t="str">
        <x:f t="shared" si="54"/>
        <x:v/>
      </x:c>
      <x:c r="EQ36" s="813" t="str">
        <x:f t="shared" si="55"/>
        <x:v/>
      </x:c>
      <x:c r="ER36" s="1586" t="str">
        <x:f t="shared" si="56"/>
        <x:v/>
      </x:c>
      <x:c r="ES36" s="1587" t="str">
        <x:f t="shared" si="57"/>
        <x:v/>
      </x:c>
      <x:c r="ET36" s="1588" t="str">
        <x:f t="shared" si="58"/>
        <x:v/>
      </x:c>
      <x:c r="EU36" s="1589" t="str">
        <x:f t="shared" si="59"/>
        <x:v/>
      </x:c>
      <x:c r="EX36" s="503" t="str">
        <x:f t="shared" ca="1" si="27"/>
        <x:v/>
      </x:c>
      <x:c r="EY36" s="940" t="str">
        <x:f t="shared" si="8"/>
        <x:v/>
      </x:c>
      <x:c r="EZ36" s="940" t="str">
        <x:f t="shared" si="28"/>
        <x:v/>
      </x:c>
      <x:c r="FA36" s="958" t="str">
        <x:f t="shared" ca="1" si="34"/>
        <x:v/>
      </x:c>
      <x:c r="FB36" s="134" t="str">
        <x:f t="shared" ca="1" si="29"/>
        <x:v/>
      </x:c>
      <x:c r="FC36" s="134">
        <x:f t="shared" ca="1" si="9"/>
        <x:v>0</x:v>
      </x:c>
      <x:c r="FD36" s="134">
        <x:f t="shared" ca="1" si="10"/>
        <x:v>0</x:v>
      </x:c>
      <x:c r="FE36" s="134">
        <x:f t="shared" ca="1" si="11"/>
        <x:v>0</x:v>
      </x:c>
      <x:c r="FF36" s="134">
        <x:f t="shared" ca="1" si="30"/>
        <x:v>0</x:v>
      </x:c>
      <x:c r="FN36" s="993" t="b">
        <x:v>0</x:v>
      </x:c>
      <x:c r="FO36" s="754" t="b">
        <x:f t="shared" si="74"/>
        <x:v>1</x:v>
      </x:c>
      <x:c r="FP36" s="754" t="b">
        <x:v>0</x:v>
      </x:c>
      <x:c r="FQ36" s="754" t="b">
        <x:f t="shared" si="31"/>
        <x:v>1</x:v>
      </x:c>
      <x:c r="FX36" s="197"/>
      <x:c r="FZ36" s="2"/>
      <x:c r="GA36" s="1761">
        <x:v>56</x:v>
      </x:c>
      <x:c r="GB36" s="1762">
        <x:v>0</x:v>
      </x:c>
      <x:c r="GC36" s="1763">
        <x:v>-0.25</x:v>
      </x:c>
      <x:c r="GD36" s="1764">
        <x:v>-0.875</x:v>
      </x:c>
      <x:c r="GE36" s="1765">
        <x:f t="shared" si="60"/>
        <x:v>0</x:v>
      </x:c>
      <x:c r="GF36" s="582" t="str">
        <x:f t="shared" si="61"/>
        <x:v>G9</x:v>
      </x:c>
      <x:c r="GG36" s="692">
        <x:v>0</x:v>
      </x:c>
      <x:c r="GH36" s="1135">
        <x:v>0</x:v>
      </x:c>
      <x:c r="GI36" s="692"/>
      <x:c r="GJ36" s="1135"/>
      <x:c r="GK36" s="1640">
        <x:f t="shared" si="62"/>
        <x:v>670.875</x:v>
      </x:c>
      <x:c r="GL36" s="1640">
        <x:f t="shared" si="63"/>
        <x:v>670.875</x:v>
      </x:c>
      <x:c r="GM36" s="1641">
        <x:f>IF(ABS(GK36-GL36)&gt;='Job Info.'!$L$22,ABS(GK36-GL36),0)</x:f>
        <x:v>0</x:v>
      </x:c>
      <x:c r="HA36" s="1241" t="s">
        <x:v>1409</x:v>
      </x:c>
      <x:c r="HB36" s="1242">
        <x:v>1</x:v>
      </x:c>
      <x:c r="HC36" s="1242" t="s">
        <x:v>1585</x:v>
      </x:c>
      <x:c r="HD36" s="1243">
        <x:v>55</x:v>
      </x:c>
      <x:c r="HE36" s="1244">
        <x:v>10.875</x:v>
      </x:c>
      <x:c r="HF36" s="1242">
        <x:v>11.125</x:v>
      </x:c>
      <x:c r="HG36" s="1242">
        <x:v>0</x:v>
      </x:c>
      <x:c r="HH36" s="1242">
        <x:v>1.75</x:v>
      </x:c>
      <x:c r="HI36" s="1242" t="s">
        <x:v>113</x:v>
      </x:c>
      <x:c r="HJ36" s="1242" t="s">
        <x:v>116</x:v>
      </x:c>
      <x:c r="HK36" s="1242" t="s">
        <x:v>116</x:v>
      </x:c>
      <x:c r="HL36" s="1242" t="s">
        <x:v>116</x:v>
      </x:c>
      <x:c r="HM36" s="1242">
        <x:v>7.5</x:v>
      </x:c>
      <x:c r="HN36" s="1242">
        <x:v>10</x:v>
      </x:c>
      <x:c r="HO36" s="1242">
        <x:v>0</x:v>
      </x:c>
      <x:c r="HP36" s="1242">
        <x:v>6.75</x:v>
      </x:c>
      <x:c r="HQ36" s="1242">
        <x:v>0</x:v>
      </x:c>
      <x:c r="HR36" s="1242">
        <x:v>7.125</x:v>
      </x:c>
      <x:c r="HS36" s="1242">
        <x:v>0</x:v>
      </x:c>
      <x:c r="HT36" s="1242">
        <x:v>6.25</x:v>
      </x:c>
      <x:c r="HU36" s="1242">
        <x:v>0</x:v>
      </x:c>
      <x:c r="HV36" s="1242">
        <x:v>2.125</x:v>
      </x:c>
      <x:c r="HW36" s="1242">
        <x:v>5</x:v>
      </x:c>
      <x:c r="HX36" s="1242" t="s">
        <x:v>116</x:v>
      </x:c>
      <x:c r="HY36" s="1246" t="s">
        <x:v>116</x:v>
      </x:c>
      <x:c r="HZ36" s="1246" t="s">
        <x:v>1628</x:v>
      </x:c>
      <x:c r="IA36" s="1246" t="s">
        <x:v>116</x:v>
      </x:c>
      <x:c r="IB36" s="1246"/>
      <x:c r="IC36" s="1246"/>
      <x:c r="ID36" s="1247"/>
      <x:c r="IE36" s="1241"/>
      <x:c r="IF36" s="1242"/>
      <x:c r="IG36" s="1243"/>
      <x:c r="IH36" s="1244"/>
      <x:c r="II36" s="1242"/>
      <x:c r="IJ36" s="1243"/>
      <x:c r="IK36" s="1244"/>
      <x:c r="IL36" s="1242"/>
      <x:c r="IM36" s="1242"/>
      <x:c r="IN36" s="1242"/>
      <x:c r="IO36" s="1242"/>
      <x:c r="IP36" s="1242"/>
      <x:c r="IQ36" s="1242"/>
      <x:c r="IR36" s="1242"/>
      <x:c r="IS36" s="1243"/>
      <x:c r="IT36" s="1244"/>
      <x:c r="IU36" s="1242"/>
      <x:c r="IV36" s="1242"/>
      <x:c r="IW36" s="1243"/>
      <x:c r="IX36" s="1244"/>
      <x:c r="IY36" s="1242"/>
      <x:c r="IZ36" s="1242"/>
      <x:c r="JA36" s="1243"/>
      <x:c r="JB36" s="1244"/>
      <x:c r="JC36" s="1242"/>
      <x:c r="JD36" s="1242"/>
      <x:c r="JE36" s="1243"/>
      <x:c r="JF36" s="1244"/>
      <x:c r="JG36" s="1242"/>
      <x:c r="JH36" s="1242"/>
      <x:c r="JI36" s="1242"/>
      <x:c r="JJ36" s="1245"/>
      <x:c r="JK36" s="1242"/>
      <x:c r="JL36" s="1171">
        <x:f t="shared" ca="1" si="35"/>
        <x:v>0</x:v>
      </x:c>
    </x:row>
    <x:row r="37" spans="1:272" ht="12.6" customHeight="1" x14ac:dyDescent="0.25">
      <x:c r="A37" s="2764" t="s">
        <x:v>1410</x:v>
      </x:c>
      <x:c r="B37" s="2765">
        <x:v>1</x:v>
      </x:c>
      <x:c r="C37" s="2766" t="s">
        <x:v>1585</x:v>
      </x:c>
      <x:c r="D37" s="2767">
        <x:v>55</x:v>
      </x:c>
      <x:c r="E37" s="2768">
        <x:v>8.375</x:v>
      </x:c>
      <x:c r="F37" s="2769">
        <x:v>11.125</x:v>
      </x:c>
      <x:c r="G37" s="2770">
        <x:v>0</x:v>
      </x:c>
      <x:c r="H37" s="2771">
        <x:v>1.75</x:v>
      </x:c>
      <x:c r="I37" s="2772" t="s">
        <x:v>113</x:v>
      </x:c>
      <x:c r="J37" s="2767">
        <x:v>0</x:v>
      </x:c>
      <x:c r="K37" s="2771">
        <x:v>5</x:v>
      </x:c>
      <x:c r="L37" s="2773" t="s">
        <x:v>158</x:v>
      </x:c>
      <x:c r="M37" s="2774">
        <x:v>7.5</x:v>
      </x:c>
      <x:c r="N37" s="2775">
        <x:v>10</x:v>
      </x:c>
      <x:c r="O37" s="2770">
        <x:v>0</x:v>
      </x:c>
      <x:c r="P37" s="2771">
        <x:v>6.75</x:v>
      </x:c>
      <x:c r="Q37" s="2767">
        <x:v>0</x:v>
      </x:c>
      <x:c r="R37" s="2768">
        <x:v>4.625</x:v>
      </x:c>
      <x:c r="S37" s="2776">
        <x:v>0</x:v>
      </x:c>
      <x:c r="T37" s="2771">
        <x:v>6.25</x:v>
      </x:c>
      <x:c r="U37" s="2767">
        <x:v>0</x:v>
      </x:c>
      <x:c r="V37" s="2771">
        <x:v>4.25</x:v>
      </x:c>
      <x:c r="W37" s="2775">
        <x:v>5</x:v>
      </x:c>
      <x:c r="X37" s="2777" t="str">
        <x:f t="shared" si="48"/>
        <x:v/>
      </x:c>
      <x:c r="Y37" s="2778" t="str">
        <x:f t="shared" si="49"/>
        <x:v/>
      </x:c>
      <x:c r="Z37" s="2781" t="s">
        <x:v>1709</x:v>
      </x:c>
      <x:c r="AA37" s="2780" t="str">
        <x:f t="shared" si="50"/>
        <x:v/>
      </x:c>
      <x:c r="AB37" s="2764" t="str">
        <x:f t="shared" si="37"/>
        <x:v/>
      </x:c>
      <x:c r="AC37" s="2772" t="str">
        <x:f t="shared" si="38"/>
        <x:v/>
      </x:c>
      <x:c r="AD37" s="2767" t="str">
        <x:f t="shared" ca="1" si="39"/>
        <x:v/>
      </x:c>
      <x:c r="AE37" s="2771" t="str">
        <x:f t="shared" ca="1" si="40"/>
        <x:v/>
      </x:c>
      <x:c r="AF37" s="2772" t="str">
        <x:f t="shared" ca="1" si="41"/>
        <x:v/>
      </x:c>
      <x:c r="AG37" s="2767" t="str">
        <x:f t="shared" ca="1" si="42"/>
        <x:v/>
      </x:c>
      <x:c r="AH37" s="2771" t="str">
        <x:f t="shared" ca="1" si="43"/>
        <x:v/>
      </x:c>
      <x:c r="AI37" s="2767" t="str">
        <x:f t="shared" ca="1" si="44"/>
        <x:v/>
      </x:c>
      <x:c r="AJ37" s="2771" t="str">
        <x:f t="shared" ca="1" si="45"/>
        <x:v/>
      </x:c>
      <x:c r="AK37" s="2813" t="str">
        <x:f t="shared" si="12"/>
        <x:v/>
      </x:c>
      <x:c r="AL37" s="2814" t="str">
        <x:f t="shared" si="46"/>
        <x:v/>
      </x:c>
      <x:c r="AM37" s="2815" t="str">
        <x:f t="shared" si="80"/>
        <x:v/>
      </x:c>
      <x:c r="AN37" s="2772" t="str">
        <x:f t="shared" si="80"/>
        <x:v/>
      </x:c>
      <x:c r="AO37" s="2816" t="str">
        <x:f t="shared" si="80"/>
        <x:v/>
      </x:c>
      <x:c r="AP37" s="2774" t="str">
        <x:f t="shared" si="3"/>
        <x:v/>
      </x:c>
      <x:c r="AQ37" s="2817" t="str">
        <x:f t="shared" si="3"/>
        <x:v/>
      </x:c>
      <x:c r="AR37" s="2770" t="str">
        <x:f t="shared" si="13"/>
        <x:v/>
      </x:c>
      <x:c r="AS37" s="2771" t="str">
        <x:f t="shared" si="14"/>
        <x:v/>
      </x:c>
      <x:c r="AT37" s="2818" t="str">
        <x:f t="shared" si="15"/>
        <x:v/>
      </x:c>
      <x:c r="AU37" s="2819" t="str">
        <x:f t="shared" si="4"/>
        <x:v/>
      </x:c>
      <x:c r="AV37" s="2776" t="str">
        <x:f t="shared" si="16"/>
        <x:v/>
      </x:c>
      <x:c r="AW37" s="2771" t="str">
        <x:f t="shared" si="17"/>
        <x:v/>
      </x:c>
      <x:c r="AX37" s="2818" t="str">
        <x:f t="shared" si="18"/>
        <x:v/>
      </x:c>
      <x:c r="AY37" s="2819" t="str">
        <x:f t="shared" si="5"/>
        <x:v/>
      </x:c>
      <x:c r="AZ37" s="2776" t="str">
        <x:f t="shared" si="19"/>
        <x:v/>
      </x:c>
      <x:c r="BA37" s="2771" t="str">
        <x:f t="shared" si="20"/>
        <x:v/>
      </x:c>
      <x:c r="BB37" s="2818" t="str">
        <x:f t="shared" si="21"/>
        <x:v/>
      </x:c>
      <x:c r="BC37" s="2819" t="str">
        <x:f t="shared" si="6"/>
        <x:v/>
      </x:c>
      <x:c r="BD37" s="2776" t="str">
        <x:f t="shared" si="22"/>
        <x:v/>
      </x:c>
      <x:c r="BE37" s="2771" t="str">
        <x:f t="shared" si="23"/>
        <x:v/>
      </x:c>
      <x:c r="BF37" s="2818" t="str">
        <x:f t="shared" si="24"/>
        <x:v/>
      </x:c>
      <x:c r="BG37" s="2819" t="str">
        <x:f t="shared" si="7"/>
        <x:v/>
      </x:c>
      <x:c r="BH37" s="261"/>
      <x:c r="BJ37" s="1301" t="str">
        <x:f t="shared" si="75"/>
        <x:v>G10</x:v>
      </x:c>
      <x:c r="BK37" s="993" t="b">
        <x:f t="shared" si="79"/>
        <x:v>0</x:v>
      </x:c>
      <x:c r="BL37" s="1800" t="b">
        <x:v>0</x:v>
      </x:c>
      <x:c r="BM37" s="989">
        <x:f t="shared" si="64"/>
        <x:v>52</x:v>
      </x:c>
      <x:c r="BN37" s="989" t="str">
        <x:f t="shared" si="65"/>
        <x:v>VG</x:v>
      </x:c>
      <x:c r="BO37" s="989">
        <x:f t="shared" si="66"/>
        <x:v>9</x:v>
      </x:c>
      <x:c r="BP37" s="989">
        <x:f t="shared" si="51"/>
        <x:v>15.3</x:v>
      </x:c>
      <x:c r="BQ37" s="989">
        <x:f t="shared" si="67"/>
        <x:v>0</x:v>
      </x:c>
      <x:c r="BR37" s="989" t="b">
        <x:f t="shared" si="68"/>
        <x:v>1</x:v>
      </x:c>
      <x:c r="BS37" s="1302">
        <x:f t="shared" si="69"/>
        <x:v>7.75</x:v>
      </x:c>
      <x:c r="BT37" s="990" t="str">
        <x:f t="shared" si="70"/>
        <x:v>Yes</x:v>
      </x:c>
      <x:c r="BU37" s="1302">
        <x:f t="shared" si="71"/>
        <x:v>6</x:v>
      </x:c>
      <x:c r="BV37" s="990" t="str">
        <x:f t="shared" si="72"/>
        <x:v>Yes</x:v>
      </x:c>
      <x:c r="BW37" s="991">
        <x:f t="shared" ca="1" si="25"/>
        <x:v>0</x:v>
      </x:c>
      <x:c r="BX37" s="991" t="str">
        <x:f t="shared" ca="1" si="32"/>
        <x:v/>
      </x:c>
      <x:c r="BY37" s="991" t="b">
        <x:f t="shared" ca="1" si="26"/>
        <x:v>0</x:v>
      </x:c>
      <x:c r="BZ37" s="1303" t="b">
        <x:f t="shared" si="33"/>
        <x:v>0</x:v>
      </x:c>
      <x:c r="CB37" s="672"/>
      <x:c r="CC37" s="1684"/>
      <x:c r="CD37" s="699"/>
      <x:c r="CE37" s="700"/>
      <x:c r="CF37" s="1328"/>
      <x:c r="CG37" s="672"/>
      <x:c r="CH37" s="713"/>
      <x:c r="CI37" s="714"/>
      <x:c r="CJ37" s="713"/>
      <x:c r="CK37" s="714"/>
      <x:c r="CL37" s="715"/>
      <x:c r="CM37" s="743"/>
      <x:c r="CN37" s="738"/>
      <x:c r="CO37" s="1551"/>
      <x:c r="CP37" s="910"/>
      <x:c r="CQ37" s="672"/>
      <x:c r="CR37" s="713"/>
      <x:c r="CS37" s="714"/>
      <x:c r="CT37" s="713"/>
      <x:c r="CU37" s="714"/>
      <x:c r="CV37" s="715"/>
      <x:c r="CW37" s="743"/>
      <x:c r="CX37" s="738"/>
      <x:c r="CY37" s="1551"/>
      <x:c r="CZ37" s="910"/>
      <x:c r="DA37" s="717"/>
      <x:c r="DB37" s="702"/>
      <x:c r="DC37" s="703"/>
      <x:c r="DD37" s="1598"/>
      <x:c r="DE37" s="1599"/>
      <x:c r="DF37" s="141"/>
      <x:c r="DG37" s="141"/>
      <x:c r="DH37" s="672"/>
      <x:c r="DI37" s="673"/>
      <x:c r="DJ37" s="692"/>
      <x:c r="DK37" s="1331"/>
      <x:c r="DL37" s="674"/>
      <x:c r="DM37" s="693"/>
      <x:c r="DN37" s="1334"/>
      <x:c r="DO37" s="675"/>
      <x:c r="DP37" s="676"/>
      <x:c r="DQ37" s="1419"/>
      <x:c r="DR37" s="677"/>
      <x:c r="DS37" s="1611"/>
      <x:c r="DT37" s="1606"/>
      <x:c r="DU37" s="1607"/>
      <x:c r="DV37" s="678"/>
      <x:c r="DW37" s="1336"/>
      <x:c r="DX37" s="679"/>
      <x:c r="DY37" s="674"/>
      <x:c r="DZ37" s="678"/>
      <x:c r="EA37" s="1336"/>
      <x:c r="EB37" s="679"/>
      <x:c r="EC37" s="674"/>
      <x:c r="ED37" s="678"/>
      <x:c r="EE37" s="1336"/>
      <x:c r="EF37" s="679"/>
      <x:c r="EG37" s="674"/>
      <x:c r="EH37" s="678"/>
      <x:c r="EI37" s="1336"/>
      <x:c r="EJ37" s="679"/>
      <x:c r="EK37" s="680"/>
      <x:c r="EL37" s="141"/>
      <x:c r="EM37" s="1631" t="str">
        <x:f t="shared" si="73"/>
        <x:v/>
      </x:c>
      <x:c r="EN37" s="1632" t="str">
        <x:f t="shared" si="52"/>
        <x:v/>
      </x:c>
      <x:c r="EO37" s="648" t="str">
        <x:f t="shared" si="53"/>
        <x:v/>
      </x:c>
      <x:c r="EP37" s="649" t="str">
        <x:f t="shared" si="54"/>
        <x:v/>
      </x:c>
      <x:c r="EQ37" s="813" t="str">
        <x:f t="shared" si="55"/>
        <x:v/>
      </x:c>
      <x:c r="ER37" s="1586" t="str">
        <x:f t="shared" si="56"/>
        <x:v/>
      </x:c>
      <x:c r="ES37" s="1587" t="str">
        <x:f t="shared" si="57"/>
        <x:v/>
      </x:c>
      <x:c r="ET37" s="1588" t="str">
        <x:f t="shared" si="58"/>
        <x:v/>
      </x:c>
      <x:c r="EU37" s="1589" t="str">
        <x:f t="shared" si="59"/>
        <x:v/>
      </x:c>
      <x:c r="EX37" s="503" t="str">
        <x:f t="shared" ca="1" si="27"/>
        <x:v/>
      </x:c>
      <x:c r="EY37" s="940" t="str">
        <x:f t="shared" si="8"/>
        <x:v/>
      </x:c>
      <x:c r="EZ37" s="940" t="str">
        <x:f t="shared" si="28"/>
        <x:v/>
      </x:c>
      <x:c r="FA37" s="958" t="str">
        <x:f t="shared" ca="1" si="34"/>
        <x:v/>
      </x:c>
      <x:c r="FB37" s="134" t="str">
        <x:f t="shared" ca="1" si="29"/>
        <x:v/>
      </x:c>
      <x:c r="FC37" s="134">
        <x:f t="shared" ca="1" si="9"/>
        <x:v>0</x:v>
      </x:c>
      <x:c r="FD37" s="134">
        <x:f t="shared" ca="1" si="10"/>
        <x:v>0</x:v>
      </x:c>
      <x:c r="FE37" s="134">
        <x:f t="shared" ca="1" si="11"/>
        <x:v>0</x:v>
      </x:c>
      <x:c r="FF37" s="134">
        <x:f t="shared" ca="1" si="30"/>
        <x:v>0</x:v>
      </x:c>
      <x:c r="FN37" s="993" t="b">
        <x:v>0</x:v>
      </x:c>
      <x:c r="FO37" s="754" t="b">
        <x:f t="shared" si="74"/>
        <x:v>1</x:v>
      </x:c>
      <x:c r="FP37" s="754" t="b">
        <x:v>0</x:v>
      </x:c>
      <x:c r="FQ37" s="754" t="b">
        <x:f t="shared" si="31"/>
        <x:v>1</x:v>
      </x:c>
      <x:c r="FX37" s="197"/>
      <x:c r="FZ37" s="2"/>
      <x:c r="GA37" s="1761">
        <x:v>56</x:v>
      </x:c>
      <x:c r="GB37" s="1762">
        <x:v>0</x:v>
      </x:c>
      <x:c r="GC37" s="1763">
        <x:v>-0.25</x:v>
      </x:c>
      <x:c r="GD37" s="1764">
        <x:v>-3.375</x:v>
      </x:c>
      <x:c r="GE37" s="1765">
        <x:f t="shared" si="60"/>
        <x:v>0</x:v>
      </x:c>
      <x:c r="GF37" s="582" t="str">
        <x:f t="shared" si="61"/>
        <x:v>G10</x:v>
      </x:c>
      <x:c r="GG37" s="692">
        <x:v>0</x:v>
      </x:c>
      <x:c r="GH37" s="1135">
        <x:v>0</x:v>
      </x:c>
      <x:c r="GI37" s="692"/>
      <x:c r="GJ37" s="1135"/>
      <x:c r="GK37" s="1640">
        <x:f t="shared" si="62"/>
        <x:v>668.375</x:v>
      </x:c>
      <x:c r="GL37" s="1640">
        <x:f t="shared" si="63"/>
        <x:v>668.375</x:v>
      </x:c>
      <x:c r="GM37" s="1641">
        <x:f>IF(ABS(GK37-GL37)&gt;='Job Info.'!$L$22,ABS(GK37-GL37),0)</x:f>
        <x:v>0</x:v>
      </x:c>
      <x:c r="HA37" s="1241" t="s">
        <x:v>1410</x:v>
      </x:c>
      <x:c r="HB37" s="1242">
        <x:v>1</x:v>
      </x:c>
      <x:c r="HC37" s="1242" t="s">
        <x:v>1585</x:v>
      </x:c>
      <x:c r="HD37" s="1243">
        <x:v>55</x:v>
      </x:c>
      <x:c r="HE37" s="1244">
        <x:v>8.375</x:v>
      </x:c>
      <x:c r="HF37" s="1242">
        <x:v>11.125</x:v>
      </x:c>
      <x:c r="HG37" s="1242">
        <x:v>0</x:v>
      </x:c>
      <x:c r="HH37" s="1242">
        <x:v>1.75</x:v>
      </x:c>
      <x:c r="HI37" s="1242" t="s">
        <x:v>113</x:v>
      </x:c>
      <x:c r="HJ37" s="1242">
        <x:v>0</x:v>
      </x:c>
      <x:c r="HK37" s="1242">
        <x:v>5</x:v>
      </x:c>
      <x:c r="HL37" s="1242" t="s">
        <x:v>158</x:v>
      </x:c>
      <x:c r="HM37" s="1242">
        <x:v>7.5</x:v>
      </x:c>
      <x:c r="HN37" s="1242">
        <x:v>10</x:v>
      </x:c>
      <x:c r="HO37" s="1242">
        <x:v>0</x:v>
      </x:c>
      <x:c r="HP37" s="1242">
        <x:v>6.75</x:v>
      </x:c>
      <x:c r="HQ37" s="1242">
        <x:v>0</x:v>
      </x:c>
      <x:c r="HR37" s="1242">
        <x:v>4.625</x:v>
      </x:c>
      <x:c r="HS37" s="1242">
        <x:v>0</x:v>
      </x:c>
      <x:c r="HT37" s="1242">
        <x:v>6.25</x:v>
      </x:c>
      <x:c r="HU37" s="1242">
        <x:v>0</x:v>
      </x:c>
      <x:c r="HV37" s="1242">
        <x:v>4.25</x:v>
      </x:c>
      <x:c r="HW37" s="1242">
        <x:v>5</x:v>
      </x:c>
      <x:c r="HX37" s="1242" t="s">
        <x:v>116</x:v>
      </x:c>
      <x:c r="HY37" s="1246" t="s">
        <x:v>116</x:v>
      </x:c>
      <x:c r="HZ37" s="1246" t="s">
        <x:v>1629</x:v>
      </x:c>
      <x:c r="IA37" s="1246" t="s">
        <x:v>116</x:v>
      </x:c>
      <x:c r="IB37" s="1246"/>
      <x:c r="IC37" s="1246"/>
      <x:c r="ID37" s="1247"/>
      <x:c r="IE37" s="1241"/>
      <x:c r="IF37" s="1242"/>
      <x:c r="IG37" s="1243"/>
      <x:c r="IH37" s="1244"/>
      <x:c r="II37" s="1242"/>
      <x:c r="IJ37" s="1243"/>
      <x:c r="IK37" s="1244"/>
      <x:c r="IL37" s="1242"/>
      <x:c r="IM37" s="1242"/>
      <x:c r="IN37" s="1242"/>
      <x:c r="IO37" s="1242"/>
      <x:c r="IP37" s="1242"/>
      <x:c r="IQ37" s="1242"/>
      <x:c r="IR37" s="1242"/>
      <x:c r="IS37" s="1243"/>
      <x:c r="IT37" s="1244"/>
      <x:c r="IU37" s="1242"/>
      <x:c r="IV37" s="1242"/>
      <x:c r="IW37" s="1243"/>
      <x:c r="IX37" s="1244"/>
      <x:c r="IY37" s="1242"/>
      <x:c r="IZ37" s="1242"/>
      <x:c r="JA37" s="1243"/>
      <x:c r="JB37" s="1244"/>
      <x:c r="JC37" s="1242"/>
      <x:c r="JD37" s="1242"/>
      <x:c r="JE37" s="1243"/>
      <x:c r="JF37" s="1244"/>
      <x:c r="JG37" s="1242"/>
      <x:c r="JH37" s="1242"/>
      <x:c r="JI37" s="1242"/>
      <x:c r="JJ37" s="1245"/>
      <x:c r="JK37" s="1242"/>
      <x:c r="JL37" s="1171">
        <x:f t="shared" ca="1" si="35"/>
        <x:v>0</x:v>
      </x:c>
    </x:row>
    <x:row r="38" spans="1:272" ht="12.6" customHeight="1" x14ac:dyDescent="0.25">
      <x:c r="A38" s="2764" t="s">
        <x:v>1411</x:v>
      </x:c>
      <x:c r="B38" s="2765">
        <x:v>1</x:v>
      </x:c>
      <x:c r="C38" s="2766" t="s">
        <x:v>1585</x:v>
      </x:c>
      <x:c r="D38" s="2767">
        <x:v>55</x:v>
      </x:c>
      <x:c r="E38" s="2768">
        <x:v>11.5</x:v>
      </x:c>
      <x:c r="F38" s="2769">
        <x:v>11.125</x:v>
      </x:c>
      <x:c r="G38" s="2770">
        <x:v>0</x:v>
      </x:c>
      <x:c r="H38" s="2771">
        <x:v>1.75</x:v>
      </x:c>
      <x:c r="I38" s="2772" t="s">
        <x:v>113</x:v>
      </x:c>
      <x:c r="J38" s="2767">
        <x:v>0</x:v>
      </x:c>
      <x:c r="K38" s="2771">
        <x:v>1.75</x:v>
      </x:c>
      <x:c r="L38" s="2773" t="s">
        <x:v>113</x:v>
      </x:c>
      <x:c r="M38" s="2774">
        <x:v>7.5</x:v>
      </x:c>
      <x:c r="N38" s="2775">
        <x:v>7.5</x:v>
      </x:c>
      <x:c r="O38" s="2770">
        <x:v>0</x:v>
      </x:c>
      <x:c r="P38" s="2771">
        <x:v>6.75</x:v>
      </x:c>
      <x:c r="Q38" s="2767">
        <x:v>0</x:v>
      </x:c>
      <x:c r="R38" s="2768">
        <x:v>6.75</x:v>
      </x:c>
      <x:c r="S38" s="2776">
        <x:v>0</x:v>
      </x:c>
      <x:c r="T38" s="2771">
        <x:v>6.25</x:v>
      </x:c>
      <x:c r="U38" s="2767">
        <x:v>0</x:v>
      </x:c>
      <x:c r="V38" s="2771">
        <x:v>6.25</x:v>
      </x:c>
      <x:c r="W38" s="2775">
        <x:v>5</x:v>
      </x:c>
      <x:c r="X38" s="2777" t="str">
        <x:f t="shared" si="48"/>
        <x:v/>
      </x:c>
      <x:c r="Y38" s="2778" t="str">
        <x:f t="shared" si="49"/>
        <x:v/>
      </x:c>
      <x:c r="Z38" s="2779" t="s">
        <x:v>116</x:v>
      </x:c>
      <x:c r="AA38" s="2780" t="str">
        <x:f t="shared" si="50"/>
        <x:v/>
      </x:c>
      <x:c r="AB38" s="2764" t="str">
        <x:f t="shared" si="37"/>
        <x:v/>
      </x:c>
      <x:c r="AC38" s="2772" t="str">
        <x:f t="shared" si="38"/>
        <x:v/>
      </x:c>
      <x:c r="AD38" s="2767" t="str">
        <x:f t="shared" ca="1" si="39"/>
        <x:v/>
      </x:c>
      <x:c r="AE38" s="2771" t="str">
        <x:f t="shared" ca="1" si="40"/>
        <x:v/>
      </x:c>
      <x:c r="AF38" s="2772" t="str">
        <x:f t="shared" ca="1" si="41"/>
        <x:v/>
      </x:c>
      <x:c r="AG38" s="2767" t="str">
        <x:f t="shared" ca="1" si="42"/>
        <x:v/>
      </x:c>
      <x:c r="AH38" s="2771" t="str">
        <x:f t="shared" ca="1" si="43"/>
        <x:v/>
      </x:c>
      <x:c r="AI38" s="2767" t="str">
        <x:f t="shared" ca="1" si="44"/>
        <x:v/>
      </x:c>
      <x:c r="AJ38" s="2771" t="str">
        <x:f t="shared" ca="1" si="45"/>
        <x:v/>
      </x:c>
      <x:c r="AK38" s="2813" t="str">
        <x:f t="shared" si="12"/>
        <x:v/>
      </x:c>
      <x:c r="AL38" s="2814" t="str">
        <x:f t="shared" si="46"/>
        <x:v/>
      </x:c>
      <x:c r="AM38" s="2815" t="str">
        <x:f t="shared" si="80"/>
        <x:v/>
      </x:c>
      <x:c r="AN38" s="2772" t="str">
        <x:f t="shared" si="80"/>
        <x:v/>
      </x:c>
      <x:c r="AO38" s="2816" t="str">
        <x:f t="shared" si="80"/>
        <x:v/>
      </x:c>
      <x:c r="AP38" s="2774" t="str">
        <x:f t="shared" si="3"/>
        <x:v/>
      </x:c>
      <x:c r="AQ38" s="2817" t="str">
        <x:f t="shared" si="3"/>
        <x:v/>
      </x:c>
      <x:c r="AR38" s="2770" t="str">
        <x:f t="shared" si="13"/>
        <x:v/>
      </x:c>
      <x:c r="AS38" s="2771" t="str">
        <x:f t="shared" si="14"/>
        <x:v/>
      </x:c>
      <x:c r="AT38" s="2818" t="str">
        <x:f t="shared" si="15"/>
        <x:v/>
      </x:c>
      <x:c r="AU38" s="2819" t="str">
        <x:f t="shared" si="4"/>
        <x:v/>
      </x:c>
      <x:c r="AV38" s="2776" t="str">
        <x:f t="shared" si="16"/>
        <x:v/>
      </x:c>
      <x:c r="AW38" s="2771" t="str">
        <x:f t="shared" si="17"/>
        <x:v/>
      </x:c>
      <x:c r="AX38" s="2818" t="str">
        <x:f t="shared" si="18"/>
        <x:v/>
      </x:c>
      <x:c r="AY38" s="2819" t="str">
        <x:f t="shared" si="5"/>
        <x:v/>
      </x:c>
      <x:c r="AZ38" s="2776" t="str">
        <x:f t="shared" si="19"/>
        <x:v/>
      </x:c>
      <x:c r="BA38" s="2771" t="str">
        <x:f t="shared" si="20"/>
        <x:v/>
      </x:c>
      <x:c r="BB38" s="2818" t="str">
        <x:f t="shared" si="21"/>
        <x:v/>
      </x:c>
      <x:c r="BC38" s="2819" t="str">
        <x:f t="shared" si="6"/>
        <x:v/>
      </x:c>
      <x:c r="BD38" s="2776" t="str">
        <x:f t="shared" si="22"/>
        <x:v/>
      </x:c>
      <x:c r="BE38" s="2771" t="str">
        <x:f t="shared" si="23"/>
        <x:v/>
      </x:c>
      <x:c r="BF38" s="2818" t="str">
        <x:f t="shared" si="24"/>
        <x:v/>
      </x:c>
      <x:c r="BG38" s="2819" t="str">
        <x:f t="shared" si="7"/>
        <x:v/>
      </x:c>
      <x:c r="BH38" s="261"/>
      <x:c r="BJ38" s="1301" t="str">
        <x:f t="shared" si="75"/>
        <x:v>G11</x:v>
      </x:c>
      <x:c r="BK38" s="993" t="b">
        <x:f t="shared" si="79"/>
        <x:v>0</x:v>
      </x:c>
      <x:c r="BL38" s="1800" t="b">
        <x:v>0</x:v>
      </x:c>
      <x:c r="BM38" s="989">
        <x:f t="shared" si="64"/>
        <x:v>52</x:v>
      </x:c>
      <x:c r="BN38" s="989" t="str">
        <x:f t="shared" si="65"/>
        <x:v>VG</x:v>
      </x:c>
      <x:c r="BO38" s="989">
        <x:f t="shared" si="66"/>
        <x:v>9</x:v>
      </x:c>
      <x:c r="BP38" s="989">
        <x:f t="shared" si="51"/>
        <x:v>15.3</x:v>
      </x:c>
      <x:c r="BQ38" s="989">
        <x:f t="shared" si="67"/>
        <x:v>0</x:v>
      </x:c>
      <x:c r="BR38" s="989" t="b">
        <x:f t="shared" si="68"/>
        <x:v>1</x:v>
      </x:c>
      <x:c r="BS38" s="1302">
        <x:f t="shared" si="69"/>
        <x:v>7.75</x:v>
      </x:c>
      <x:c r="BT38" s="990" t="str">
        <x:f t="shared" si="70"/>
        <x:v>Yes</x:v>
      </x:c>
      <x:c r="BU38" s="1302">
        <x:f t="shared" si="71"/>
        <x:v>7.75</x:v>
      </x:c>
      <x:c r="BV38" s="990" t="str">
        <x:f t="shared" si="72"/>
        <x:v>Yes</x:v>
      </x:c>
      <x:c r="BW38" s="991">
        <x:f t="shared" ca="1" si="25"/>
        <x:v>0</x:v>
      </x:c>
      <x:c r="BX38" s="991" t="str">
        <x:f t="shared" ca="1" si="32"/>
        <x:v/>
      </x:c>
      <x:c r="BY38" s="991" t="b">
        <x:f t="shared" ca="1" si="26"/>
        <x:v>0</x:v>
      </x:c>
      <x:c r="BZ38" s="1303" t="b">
        <x:f t="shared" si="33"/>
        <x:v>0</x:v>
      </x:c>
      <x:c r="CB38" s="672"/>
      <x:c r="CC38" s="1684"/>
      <x:c r="CD38" s="699"/>
      <x:c r="CE38" s="700"/>
      <x:c r="CF38" s="1328"/>
      <x:c r="CG38" s="672"/>
      <x:c r="CH38" s="713"/>
      <x:c r="CI38" s="714"/>
      <x:c r="CJ38" s="713"/>
      <x:c r="CK38" s="714"/>
      <x:c r="CL38" s="715"/>
      <x:c r="CM38" s="743"/>
      <x:c r="CN38" s="738"/>
      <x:c r="CO38" s="1551"/>
      <x:c r="CP38" s="910"/>
      <x:c r="CQ38" s="672"/>
      <x:c r="CR38" s="713"/>
      <x:c r="CS38" s="714"/>
      <x:c r="CT38" s="713"/>
      <x:c r="CU38" s="714"/>
      <x:c r="CV38" s="715"/>
      <x:c r="CW38" s="743"/>
      <x:c r="CX38" s="738"/>
      <x:c r="CY38" s="1551"/>
      <x:c r="CZ38" s="910"/>
      <x:c r="DA38" s="717"/>
      <x:c r="DB38" s="702"/>
      <x:c r="DC38" s="703"/>
      <x:c r="DD38" s="1598"/>
      <x:c r="DE38" s="1599"/>
      <x:c r="DF38" s="141"/>
      <x:c r="DG38" s="141"/>
      <x:c r="DH38" s="672"/>
      <x:c r="DI38" s="673"/>
      <x:c r="DJ38" s="692"/>
      <x:c r="DK38" s="1331"/>
      <x:c r="DL38" s="674"/>
      <x:c r="DM38" s="693"/>
      <x:c r="DN38" s="1334"/>
      <x:c r="DO38" s="675"/>
      <x:c r="DP38" s="676"/>
      <x:c r="DQ38" s="1419"/>
      <x:c r="DR38" s="677"/>
      <x:c r="DS38" s="1611"/>
      <x:c r="DT38" s="1606"/>
      <x:c r="DU38" s="1607"/>
      <x:c r="DV38" s="678"/>
      <x:c r="DW38" s="1336"/>
      <x:c r="DX38" s="679"/>
      <x:c r="DY38" s="674"/>
      <x:c r="DZ38" s="678"/>
      <x:c r="EA38" s="1336"/>
      <x:c r="EB38" s="679"/>
      <x:c r="EC38" s="674"/>
      <x:c r="ED38" s="678"/>
      <x:c r="EE38" s="1336"/>
      <x:c r="EF38" s="679"/>
      <x:c r="EG38" s="674"/>
      <x:c r="EH38" s="678"/>
      <x:c r="EI38" s="1336"/>
      <x:c r="EJ38" s="679"/>
      <x:c r="EK38" s="680"/>
      <x:c r="EL38" s="141"/>
      <x:c r="EM38" s="1631" t="str">
        <x:f t="shared" si="73"/>
        <x:v/>
      </x:c>
      <x:c r="EN38" s="1632" t="str">
        <x:f t="shared" si="52"/>
        <x:v/>
      </x:c>
      <x:c r="EO38" s="648" t="str">
        <x:f t="shared" si="53"/>
        <x:v/>
      </x:c>
      <x:c r="EP38" s="649" t="str">
        <x:f t="shared" si="54"/>
        <x:v/>
      </x:c>
      <x:c r="EQ38" s="813" t="str">
        <x:f t="shared" si="55"/>
        <x:v/>
      </x:c>
      <x:c r="ER38" s="1586" t="str">
        <x:f t="shared" si="56"/>
        <x:v/>
      </x:c>
      <x:c r="ES38" s="1587" t="str">
        <x:f t="shared" si="57"/>
        <x:v/>
      </x:c>
      <x:c r="ET38" s="1588" t="str">
        <x:f t="shared" si="58"/>
        <x:v/>
      </x:c>
      <x:c r="EU38" s="1589" t="str">
        <x:f t="shared" si="59"/>
        <x:v/>
      </x:c>
      <x:c r="EX38" s="503" t="str">
        <x:f t="shared" ca="1" si="27"/>
        <x:v/>
      </x:c>
      <x:c r="EY38" s="940" t="str">
        <x:f t="shared" si="8"/>
        <x:v/>
      </x:c>
      <x:c r="EZ38" s="940" t="str">
        <x:f t="shared" si="28"/>
        <x:v/>
      </x:c>
      <x:c r="FA38" s="958" t="str">
        <x:f t="shared" ca="1" si="34"/>
        <x:v/>
      </x:c>
      <x:c r="FB38" s="134" t="str">
        <x:f t="shared" ca="1" si="29"/>
        <x:v/>
      </x:c>
      <x:c r="FC38" s="134">
        <x:f t="shared" ca="1" si="9"/>
        <x:v>0</x:v>
      </x:c>
      <x:c r="FD38" s="134">
        <x:f t="shared" ca="1" si="10"/>
        <x:v>0</x:v>
      </x:c>
      <x:c r="FE38" s="134">
        <x:f t="shared" ca="1" si="11"/>
        <x:v>0</x:v>
      </x:c>
      <x:c r="FF38" s="134">
        <x:f t="shared" ca="1" si="30"/>
        <x:v>0</x:v>
      </x:c>
      <x:c r="FN38" s="993" t="b">
        <x:v>0</x:v>
      </x:c>
      <x:c r="FO38" s="754" t="b">
        <x:f t="shared" si="74"/>
        <x:v>1</x:v>
      </x:c>
      <x:c r="FP38" s="754" t="b">
        <x:v>0</x:v>
      </x:c>
      <x:c r="FQ38" s="754" t="b">
        <x:f t="shared" si="31"/>
        <x:v>1</x:v>
      </x:c>
      <x:c r="FX38" s="197"/>
      <x:c r="FZ38" s="2"/>
      <x:c r="GA38" s="1761">
        <x:v>56</x:v>
      </x:c>
      <x:c r="GB38" s="1762">
        <x:v>0</x:v>
      </x:c>
      <x:c r="GC38" s="1763">
        <x:v>-0.25</x:v>
      </x:c>
      <x:c r="GD38" s="1764">
        <x:v>-0.25</x:v>
      </x:c>
      <x:c r="GE38" s="1765">
        <x:f t="shared" si="60"/>
        <x:v>0</x:v>
      </x:c>
      <x:c r="GF38" s="582" t="str">
        <x:f t="shared" si="61"/>
        <x:v>G11</x:v>
      </x:c>
      <x:c r="GG38" s="692">
        <x:v>0</x:v>
      </x:c>
      <x:c r="GH38" s="1135">
        <x:v>0</x:v>
      </x:c>
      <x:c r="GI38" s="692"/>
      <x:c r="GJ38" s="1135"/>
      <x:c r="GK38" s="1640">
        <x:f t="shared" si="62"/>
        <x:v>671.5</x:v>
      </x:c>
      <x:c r="GL38" s="1640">
        <x:f t="shared" si="63"/>
        <x:v>671.5</x:v>
      </x:c>
      <x:c r="GM38" s="1641">
        <x:f>IF(ABS(GK38-GL38)&gt;='Job Info.'!$L$22,ABS(GK38-GL38),0)</x:f>
        <x:v>0</x:v>
      </x:c>
      <x:c r="HA38" s="1241" t="s">
        <x:v>1411</x:v>
      </x:c>
      <x:c r="HB38" s="1242">
        <x:v>1</x:v>
      </x:c>
      <x:c r="HC38" s="1242" t="s">
        <x:v>1585</x:v>
      </x:c>
      <x:c r="HD38" s="1243">
        <x:v>55</x:v>
      </x:c>
      <x:c r="HE38" s="1244">
        <x:v>11.5</x:v>
      </x:c>
      <x:c r="HF38" s="1242">
        <x:v>11.125</x:v>
      </x:c>
      <x:c r="HG38" s="1242">
        <x:v>0</x:v>
      </x:c>
      <x:c r="HH38" s="1242">
        <x:v>1.75</x:v>
      </x:c>
      <x:c r="HI38" s="1242" t="s">
        <x:v>113</x:v>
      </x:c>
      <x:c r="HJ38" s="1242">
        <x:v>0</x:v>
      </x:c>
      <x:c r="HK38" s="1242">
        <x:v>1.75</x:v>
      </x:c>
      <x:c r="HL38" s="1242" t="s">
        <x:v>113</x:v>
      </x:c>
      <x:c r="HM38" s="1242">
        <x:v>7.5</x:v>
      </x:c>
      <x:c r="HN38" s="1242">
        <x:v>7.5</x:v>
      </x:c>
      <x:c r="HO38" s="1242">
        <x:v>0</x:v>
      </x:c>
      <x:c r="HP38" s="1242">
        <x:v>6.75</x:v>
      </x:c>
      <x:c r="HQ38" s="1242">
        <x:v>0</x:v>
      </x:c>
      <x:c r="HR38" s="1242">
        <x:v>6.75</x:v>
      </x:c>
      <x:c r="HS38" s="1242">
        <x:v>0</x:v>
      </x:c>
      <x:c r="HT38" s="1242">
        <x:v>6.25</x:v>
      </x:c>
      <x:c r="HU38" s="1242">
        <x:v>0</x:v>
      </x:c>
      <x:c r="HV38" s="1242">
        <x:v>6.25</x:v>
      </x:c>
      <x:c r="HW38" s="1242">
        <x:v>5</x:v>
      </x:c>
      <x:c r="HX38" s="1242" t="s">
        <x:v>116</x:v>
      </x:c>
      <x:c r="HY38" s="1246" t="s">
        <x:v>116</x:v>
      </x:c>
      <x:c r="HZ38" s="1246" t="s">
        <x:v>116</x:v>
      </x:c>
      <x:c r="IA38" s="1246" t="s">
        <x:v>116</x:v>
      </x:c>
      <x:c r="IB38" s="1246"/>
      <x:c r="IC38" s="1246"/>
      <x:c r="ID38" s="1247"/>
      <x:c r="IE38" s="1241"/>
      <x:c r="IF38" s="1242"/>
      <x:c r="IG38" s="1243"/>
      <x:c r="IH38" s="1244"/>
      <x:c r="II38" s="1242"/>
      <x:c r="IJ38" s="1243"/>
      <x:c r="IK38" s="1244"/>
      <x:c r="IL38" s="1242"/>
      <x:c r="IM38" s="1242"/>
      <x:c r="IN38" s="1242"/>
      <x:c r="IO38" s="1242"/>
      <x:c r="IP38" s="1242"/>
      <x:c r="IQ38" s="1242"/>
      <x:c r="IR38" s="1242"/>
      <x:c r="IS38" s="1243"/>
      <x:c r="IT38" s="1244"/>
      <x:c r="IU38" s="1242"/>
      <x:c r="IV38" s="1242"/>
      <x:c r="IW38" s="1243"/>
      <x:c r="IX38" s="1244"/>
      <x:c r="IY38" s="1242"/>
      <x:c r="IZ38" s="1242"/>
      <x:c r="JA38" s="1243"/>
      <x:c r="JB38" s="1244"/>
      <x:c r="JC38" s="1242"/>
      <x:c r="JD38" s="1242"/>
      <x:c r="JE38" s="1243"/>
      <x:c r="JF38" s="1244"/>
      <x:c r="JG38" s="1242"/>
      <x:c r="JH38" s="1242"/>
      <x:c r="JI38" s="1242"/>
      <x:c r="JJ38" s="1245"/>
      <x:c r="JK38" s="1242"/>
      <x:c r="JL38" s="1171">
        <x:f t="shared" ca="1" si="35"/>
        <x:v>0</x:v>
      </x:c>
    </x:row>
    <x:row r="39" spans="1:272" ht="12.6" customHeight="1" x14ac:dyDescent="0.25">
      <x:c r="A39" s="2764" t="s">
        <x:v>1412</x:v>
      </x:c>
      <x:c r="B39" s="2765">
        <x:v>2</x:v>
      </x:c>
      <x:c r="C39" s="2766" t="s">
        <x:v>1586</x:v>
      </x:c>
      <x:c r="D39" s="2767">
        <x:v>55</x:v>
      </x:c>
      <x:c r="E39" s="2768">
        <x:v>6.25</x:v>
      </x:c>
      <x:c r="F39" s="2769">
        <x:v>11.125</x:v>
      </x:c>
      <x:c r="G39" s="2770">
        <x:v>0</x:v>
      </x:c>
      <x:c r="H39" s="2771">
        <x:v>1.75</x:v>
      </x:c>
      <x:c r="I39" s="2772" t="s">
        <x:v>113</x:v>
      </x:c>
      <x:c r="J39" s="2767">
        <x:v>0</x:v>
      </x:c>
      <x:c r="K39" s="2771">
        <x:v>0.5</x:v>
      </x:c>
      <x:c r="L39" s="2773" t="s">
        <x:v>113</x:v>
      </x:c>
      <x:c r="M39" s="2774">
        <x:v>7.5</x:v>
      </x:c>
      <x:c r="N39" s="2775">
        <x:v>7.5</x:v>
      </x:c>
      <x:c r="O39" s="2770">
        <x:v>0</x:v>
      </x:c>
      <x:c r="P39" s="2771">
        <x:v>6.75</x:v>
      </x:c>
      <x:c r="Q39" s="2767">
        <x:v>0</x:v>
      </x:c>
      <x:c r="R39" s="2768">
        <x:v>5.5</x:v>
      </x:c>
      <x:c r="S39" s="2776">
        <x:v>0</x:v>
      </x:c>
      <x:c r="T39" s="2771">
        <x:v>6.25</x:v>
      </x:c>
      <x:c r="U39" s="2767">
        <x:v>0</x:v>
      </x:c>
      <x:c r="V39" s="2771">
        <x:v>5</x:v>
      </x:c>
      <x:c r="W39" s="2775">
        <x:v>5</x:v>
      </x:c>
      <x:c r="X39" s="2777" t="str">
        <x:f t="shared" si="48"/>
        <x:v/>
      </x:c>
      <x:c r="Y39" s="2778" t="str">
        <x:f t="shared" si="49"/>
        <x:v/>
      </x:c>
      <x:c r="Z39" s="2779" t="s">
        <x:v>1626</x:v>
      </x:c>
      <x:c r="AA39" s="2780" t="str">
        <x:f t="shared" si="50"/>
        <x:v/>
      </x:c>
      <x:c r="AB39" s="2764" t="str">
        <x:f t="shared" si="37"/>
        <x:v/>
      </x:c>
      <x:c r="AC39" s="2772" t="str">
        <x:f t="shared" si="38"/>
        <x:v/>
      </x:c>
      <x:c r="AD39" s="2767" t="str">
        <x:f t="shared" ca="1" si="39"/>
        <x:v/>
      </x:c>
      <x:c r="AE39" s="2771" t="str">
        <x:f t="shared" ca="1" si="40"/>
        <x:v/>
      </x:c>
      <x:c r="AF39" s="2772" t="str">
        <x:f t="shared" ca="1" si="41"/>
        <x:v/>
      </x:c>
      <x:c r="AG39" s="2767" t="str">
        <x:f t="shared" ca="1" si="42"/>
        <x:v/>
      </x:c>
      <x:c r="AH39" s="2771" t="str">
        <x:f t="shared" ca="1" si="43"/>
        <x:v/>
      </x:c>
      <x:c r="AI39" s="2767" t="str">
        <x:f t="shared" ca="1" si="44"/>
        <x:v/>
      </x:c>
      <x:c r="AJ39" s="2771" t="str">
        <x:f t="shared" ca="1" si="45"/>
        <x:v/>
      </x:c>
      <x:c r="AK39" s="2813" t="str">
        <x:f t="shared" si="12"/>
        <x:v/>
      </x:c>
      <x:c r="AL39" s="2814" t="str">
        <x:f t="shared" si="46"/>
        <x:v/>
      </x:c>
      <x:c r="AM39" s="2815" t="str">
        <x:f t="shared" si="80"/>
        <x:v/>
      </x:c>
      <x:c r="AN39" s="2772" t="str">
        <x:f t="shared" si="80"/>
        <x:v/>
      </x:c>
      <x:c r="AO39" s="2816" t="str">
        <x:f t="shared" si="80"/>
        <x:v/>
      </x:c>
      <x:c r="AP39" s="2774" t="str">
        <x:f t="shared" si="3"/>
        <x:v/>
      </x:c>
      <x:c r="AQ39" s="2817" t="str">
        <x:f t="shared" si="3"/>
        <x:v/>
      </x:c>
      <x:c r="AR39" s="2770" t="str">
        <x:f t="shared" si="13"/>
        <x:v/>
      </x:c>
      <x:c r="AS39" s="2771" t="str">
        <x:f t="shared" si="14"/>
        <x:v/>
      </x:c>
      <x:c r="AT39" s="2818" t="str">
        <x:f t="shared" si="15"/>
        <x:v/>
      </x:c>
      <x:c r="AU39" s="2819" t="str">
        <x:f t="shared" si="4"/>
        <x:v/>
      </x:c>
      <x:c r="AV39" s="2776" t="str">
        <x:f t="shared" si="16"/>
        <x:v/>
      </x:c>
      <x:c r="AW39" s="2771" t="str">
        <x:f t="shared" si="17"/>
        <x:v/>
      </x:c>
      <x:c r="AX39" s="2818" t="str">
        <x:f t="shared" si="18"/>
        <x:v/>
      </x:c>
      <x:c r="AY39" s="2819" t="str">
        <x:f t="shared" si="5"/>
        <x:v/>
      </x:c>
      <x:c r="AZ39" s="2776" t="str">
        <x:f t="shared" si="19"/>
        <x:v/>
      </x:c>
      <x:c r="BA39" s="2771" t="str">
        <x:f t="shared" si="20"/>
        <x:v/>
      </x:c>
      <x:c r="BB39" s="2818" t="str">
        <x:f t="shared" si="21"/>
        <x:v/>
      </x:c>
      <x:c r="BC39" s="2819" t="str">
        <x:f t="shared" si="6"/>
        <x:v/>
      </x:c>
      <x:c r="BD39" s="2776" t="str">
        <x:f t="shared" si="22"/>
        <x:v/>
      </x:c>
      <x:c r="BE39" s="2771" t="str">
        <x:f t="shared" si="23"/>
        <x:v/>
      </x:c>
      <x:c r="BF39" s="2818" t="str">
        <x:f t="shared" si="24"/>
        <x:v/>
      </x:c>
      <x:c r="BG39" s="2819" t="str">
        <x:f t="shared" si="7"/>
        <x:v/>
      </x:c>
      <x:c r="BH39" s="261"/>
      <x:c r="BJ39" s="1301" t="str">
        <x:f t="shared" si="75"/>
        <x:v>G12</x:v>
      </x:c>
      <x:c r="BK39" s="993" t="b">
        <x:f t="shared" si="79"/>
        <x:v>0</x:v>
      </x:c>
      <x:c r="BL39" s="1800" t="b">
        <x:v>0</x:v>
      </x:c>
      <x:c r="BM39" s="989">
        <x:f t="shared" si="64"/>
        <x:v>48</x:v>
      </x:c>
      <x:c r="BN39" s="989" t="str">
        <x:f t="shared" si="65"/>
        <x:v>VG</x:v>
      </x:c>
      <x:c r="BO39" s="989">
        <x:f t="shared" si="66"/>
        <x:v>9</x:v>
      </x:c>
      <x:c r="BP39" s="989">
        <x:f t="shared" si="51"/>
        <x:v>13.8</x:v>
      </x:c>
      <x:c r="BQ39" s="989">
        <x:f t="shared" si="67"/>
        <x:v>0</x:v>
      </x:c>
      <x:c r="BR39" s="989" t="b">
        <x:f t="shared" si="68"/>
        <x:v>1</x:v>
      </x:c>
      <x:c r="BS39" s="1302">
        <x:f t="shared" si="69"/>
        <x:v>7.75</x:v>
      </x:c>
      <x:c r="BT39" s="990" t="str">
        <x:f t="shared" si="70"/>
        <x:v>Yes</x:v>
      </x:c>
      <x:c r="BU39" s="1302">
        <x:f t="shared" si="71"/>
        <x:v>6.5</x:v>
      </x:c>
      <x:c r="BV39" s="990" t="str">
        <x:f t="shared" si="72"/>
        <x:v>Yes</x:v>
      </x:c>
      <x:c r="BW39" s="991">
        <x:f t="shared" ca="1" si="25"/>
        <x:v>0</x:v>
      </x:c>
      <x:c r="BX39" s="991" t="str">
        <x:f t="shared" ca="1" si="32"/>
        <x:v/>
      </x:c>
      <x:c r="BY39" s="991" t="b">
        <x:f t="shared" ca="1" si="26"/>
        <x:v>0</x:v>
      </x:c>
      <x:c r="BZ39" s="1303" t="b">
        <x:f t="shared" si="33"/>
        <x:v>0</x:v>
      </x:c>
      <x:c r="CB39" s="672"/>
      <x:c r="CC39" s="1684"/>
      <x:c r="CD39" s="699"/>
      <x:c r="CE39" s="700"/>
      <x:c r="CF39" s="1328"/>
      <x:c r="CG39" s="672"/>
      <x:c r="CH39" s="713"/>
      <x:c r="CI39" s="714"/>
      <x:c r="CJ39" s="713"/>
      <x:c r="CK39" s="714"/>
      <x:c r="CL39" s="715"/>
      <x:c r="CM39" s="743"/>
      <x:c r="CN39" s="738"/>
      <x:c r="CO39" s="1551"/>
      <x:c r="CP39" s="910"/>
      <x:c r="CQ39" s="672"/>
      <x:c r="CR39" s="713"/>
      <x:c r="CS39" s="714"/>
      <x:c r="CT39" s="713"/>
      <x:c r="CU39" s="714"/>
      <x:c r="CV39" s="715"/>
      <x:c r="CW39" s="743"/>
      <x:c r="CX39" s="738"/>
      <x:c r="CY39" s="1551"/>
      <x:c r="CZ39" s="910"/>
      <x:c r="DA39" s="717"/>
      <x:c r="DB39" s="702"/>
      <x:c r="DC39" s="703"/>
      <x:c r="DD39" s="1598"/>
      <x:c r="DE39" s="1599"/>
      <x:c r="DF39" s="141"/>
      <x:c r="DG39" s="141"/>
      <x:c r="DH39" s="672"/>
      <x:c r="DI39" s="673"/>
      <x:c r="DJ39" s="692"/>
      <x:c r="DK39" s="1331"/>
      <x:c r="DL39" s="674"/>
      <x:c r="DM39" s="693"/>
      <x:c r="DN39" s="1334"/>
      <x:c r="DO39" s="675"/>
      <x:c r="DP39" s="676"/>
      <x:c r="DQ39" s="1419"/>
      <x:c r="DR39" s="677"/>
      <x:c r="DS39" s="1611"/>
      <x:c r="DT39" s="1606"/>
      <x:c r="DU39" s="1607"/>
      <x:c r="DV39" s="678"/>
      <x:c r="DW39" s="1336"/>
      <x:c r="DX39" s="679"/>
      <x:c r="DY39" s="674"/>
      <x:c r="DZ39" s="678"/>
      <x:c r="EA39" s="1336"/>
      <x:c r="EB39" s="679"/>
      <x:c r="EC39" s="674"/>
      <x:c r="ED39" s="678"/>
      <x:c r="EE39" s="1336"/>
      <x:c r="EF39" s="679"/>
      <x:c r="EG39" s="674"/>
      <x:c r="EH39" s="678"/>
      <x:c r="EI39" s="1336"/>
      <x:c r="EJ39" s="679"/>
      <x:c r="EK39" s="680"/>
      <x:c r="EL39" s="141"/>
      <x:c r="EM39" s="1631" t="str">
        <x:f t="shared" si="73"/>
        <x:v/>
      </x:c>
      <x:c r="EN39" s="1632" t="str">
        <x:f t="shared" si="52"/>
        <x:v/>
      </x:c>
      <x:c r="EO39" s="648" t="str">
        <x:f t="shared" si="53"/>
        <x:v/>
      </x:c>
      <x:c r="EP39" s="649" t="str">
        <x:f t="shared" si="54"/>
        <x:v/>
      </x:c>
      <x:c r="EQ39" s="813" t="str">
        <x:f t="shared" si="55"/>
        <x:v/>
      </x:c>
      <x:c r="ER39" s="1586" t="str">
        <x:f t="shared" si="56"/>
        <x:v/>
      </x:c>
      <x:c r="ES39" s="1587" t="str">
        <x:f t="shared" si="57"/>
        <x:v/>
      </x:c>
      <x:c r="ET39" s="1588" t="str">
        <x:f t="shared" si="58"/>
        <x:v/>
      </x:c>
      <x:c r="EU39" s="1589" t="str">
        <x:f t="shared" si="59"/>
        <x:v/>
      </x:c>
      <x:c r="EX39" s="503" t="str">
        <x:f t="shared" ca="1" si="27"/>
        <x:v/>
      </x:c>
      <x:c r="EY39" s="940" t="str">
        <x:f t="shared" si="8"/>
        <x:v/>
      </x:c>
      <x:c r="EZ39" s="940" t="str">
        <x:f t="shared" si="28"/>
        <x:v/>
      </x:c>
      <x:c r="FA39" s="958" t="str">
        <x:f t="shared" ca="1" si="34"/>
        <x:v/>
      </x:c>
      <x:c r="FB39" s="134" t="str">
        <x:f t="shared" ca="1" si="29"/>
        <x:v/>
      </x:c>
      <x:c r="FC39" s="134">
        <x:f t="shared" ca="1" si="9"/>
        <x:v>0</x:v>
      </x:c>
      <x:c r="FD39" s="134">
        <x:f t="shared" ca="1" si="10"/>
        <x:v>0</x:v>
      </x:c>
      <x:c r="FE39" s="134">
        <x:f t="shared" ca="1" si="11"/>
        <x:v>0</x:v>
      </x:c>
      <x:c r="FF39" s="134">
        <x:f t="shared" ca="1" si="30"/>
        <x:v>0</x:v>
      </x:c>
      <x:c r="FN39" s="993" t="b">
        <x:v>0</x:v>
      </x:c>
      <x:c r="FO39" s="754" t="b">
        <x:f t="shared" si="74"/>
        <x:v>1</x:v>
      </x:c>
      <x:c r="FP39" s="754" t="b">
        <x:v>0</x:v>
      </x:c>
      <x:c r="FQ39" s="754" t="b">
        <x:f t="shared" si="31"/>
        <x:v>1</x:v>
      </x:c>
      <x:c r="FX39" s="197"/>
      <x:c r="FZ39" s="2"/>
      <x:c r="GA39" s="1761">
        <x:v>55</x:v>
      </x:c>
      <x:c r="GB39" s="1762">
        <x:v>3</x:v>
      </x:c>
      <x:c r="GC39" s="1763">
        <x:v>-0.25</x:v>
      </x:c>
      <x:c r="GD39" s="1764">
        <x:v>3.5</x:v>
      </x:c>
      <x:c r="GE39" s="1765">
        <x:f t="shared" si="60"/>
        <x:v>0</x:v>
      </x:c>
      <x:c r="GF39" s="582" t="str">
        <x:f t="shared" si="61"/>
        <x:v>G12</x:v>
      </x:c>
      <x:c r="GG39" s="692">
        <x:v>0</x:v>
      </x:c>
      <x:c r="GH39" s="1135">
        <x:v>0</x:v>
      </x:c>
      <x:c r="GI39" s="692"/>
      <x:c r="GJ39" s="1135"/>
      <x:c r="GK39" s="1640">
        <x:f t="shared" si="62"/>
        <x:v>666.25</x:v>
      </x:c>
      <x:c r="GL39" s="1640">
        <x:f t="shared" si="63"/>
        <x:v>666.25</x:v>
      </x:c>
      <x:c r="GM39" s="1641">
        <x:f>IF(ABS(GK39-GL39)&gt;='Job Info.'!$L$22,ABS(GK39-GL39),0)</x:f>
        <x:v>0</x:v>
      </x:c>
      <x:c r="HA39" s="1241" t="s">
        <x:v>1412</x:v>
      </x:c>
      <x:c r="HB39" s="1242">
        <x:v>2</x:v>
      </x:c>
      <x:c r="HC39" s="1242" t="s">
        <x:v>1586</x:v>
      </x:c>
      <x:c r="HD39" s="1243">
        <x:v>55</x:v>
      </x:c>
      <x:c r="HE39" s="1244">
        <x:v>6.25</x:v>
      </x:c>
      <x:c r="HF39" s="1242">
        <x:v>11.125</x:v>
      </x:c>
      <x:c r="HG39" s="1242">
        <x:v>0</x:v>
      </x:c>
      <x:c r="HH39" s="1242">
        <x:v>1.75</x:v>
      </x:c>
      <x:c r="HI39" s="1242" t="s">
        <x:v>113</x:v>
      </x:c>
      <x:c r="HJ39" s="1242">
        <x:v>0</x:v>
      </x:c>
      <x:c r="HK39" s="1242">
        <x:v>0.5</x:v>
      </x:c>
      <x:c r="HL39" s="1242" t="s">
        <x:v>113</x:v>
      </x:c>
      <x:c r="HM39" s="1242">
        <x:v>7.5</x:v>
      </x:c>
      <x:c r="HN39" s="1242">
        <x:v>7.5</x:v>
      </x:c>
      <x:c r="HO39" s="1242">
        <x:v>0</x:v>
      </x:c>
      <x:c r="HP39" s="1242">
        <x:v>6.75</x:v>
      </x:c>
      <x:c r="HQ39" s="1242">
        <x:v>0</x:v>
      </x:c>
      <x:c r="HR39" s="1242">
        <x:v>5.5</x:v>
      </x:c>
      <x:c r="HS39" s="1242">
        <x:v>0</x:v>
      </x:c>
      <x:c r="HT39" s="1242">
        <x:v>6.25</x:v>
      </x:c>
      <x:c r="HU39" s="1242">
        <x:v>0</x:v>
      </x:c>
      <x:c r="HV39" s="1242">
        <x:v>5</x:v>
      </x:c>
      <x:c r="HW39" s="1242">
        <x:v>5</x:v>
      </x:c>
      <x:c r="HX39" s="1242" t="s">
        <x:v>116</x:v>
      </x:c>
      <x:c r="HY39" s="1246" t="s">
        <x:v>116</x:v>
      </x:c>
      <x:c r="HZ39" s="1246" t="s">
        <x:v>1626</x:v>
      </x:c>
      <x:c r="IA39" s="1246" t="s">
        <x:v>116</x:v>
      </x:c>
      <x:c r="IB39" s="1246"/>
      <x:c r="IC39" s="1246"/>
      <x:c r="ID39" s="1247"/>
      <x:c r="IE39" s="1241"/>
      <x:c r="IF39" s="1242"/>
      <x:c r="IG39" s="1243"/>
      <x:c r="IH39" s="1244"/>
      <x:c r="II39" s="1242"/>
      <x:c r="IJ39" s="1243"/>
      <x:c r="IK39" s="1244"/>
      <x:c r="IL39" s="1242"/>
      <x:c r="IM39" s="1242"/>
      <x:c r="IN39" s="1242"/>
      <x:c r="IO39" s="1242"/>
      <x:c r="IP39" s="1242"/>
      <x:c r="IQ39" s="1242"/>
      <x:c r="IR39" s="1242"/>
      <x:c r="IS39" s="1243"/>
      <x:c r="IT39" s="1244"/>
      <x:c r="IU39" s="1242"/>
      <x:c r="IV39" s="1242"/>
      <x:c r="IW39" s="1243"/>
      <x:c r="IX39" s="1244"/>
      <x:c r="IY39" s="1242"/>
      <x:c r="IZ39" s="1242"/>
      <x:c r="JA39" s="1243"/>
      <x:c r="JB39" s="1244"/>
      <x:c r="JC39" s="1242"/>
      <x:c r="JD39" s="1242"/>
      <x:c r="JE39" s="1243"/>
      <x:c r="JF39" s="1244"/>
      <x:c r="JG39" s="1242"/>
      <x:c r="JH39" s="1242"/>
      <x:c r="JI39" s="1242"/>
      <x:c r="JJ39" s="1245"/>
      <x:c r="JK39" s="1242"/>
      <x:c r="JL39" s="1171">
        <x:f t="shared" ca="1" si="35"/>
        <x:v>0</x:v>
      </x:c>
    </x:row>
    <x:row r="40" spans="1:272" ht="12.6" customHeight="1" x14ac:dyDescent="0.25">
      <x:c r="A40" s="2764" t="s">
        <x:v>1413</x:v>
      </x:c>
      <x:c r="B40" s="2765">
        <x:v>5</x:v>
      </x:c>
      <x:c r="C40" s="2766" t="s">
        <x:v>1586</x:v>
      </x:c>
      <x:c r="D40" s="2767">
        <x:v>55</x:v>
      </x:c>
      <x:c r="E40" s="2768">
        <x:v>11.5</x:v>
      </x:c>
      <x:c r="F40" s="2769">
        <x:v>11.125</x:v>
      </x:c>
      <x:c r="G40" s="2770">
        <x:v>0</x:v>
      </x:c>
      <x:c r="H40" s="2771">
        <x:v>1.75</x:v>
      </x:c>
      <x:c r="I40" s="2772" t="s">
        <x:v>113</x:v>
      </x:c>
      <x:c r="J40" s="2767">
        <x:v>0</x:v>
      </x:c>
      <x:c r="K40" s="2771">
        <x:v>1.75</x:v>
      </x:c>
      <x:c r="L40" s="2773" t="s">
        <x:v>113</x:v>
      </x:c>
      <x:c r="M40" s="2774">
        <x:v>7.5</x:v>
      </x:c>
      <x:c r="N40" s="2775">
        <x:v>7.5</x:v>
      </x:c>
      <x:c r="O40" s="2770">
        <x:v>0</x:v>
      </x:c>
      <x:c r="P40" s="2771">
        <x:v>6.75</x:v>
      </x:c>
      <x:c r="Q40" s="2767">
        <x:v>0</x:v>
      </x:c>
      <x:c r="R40" s="2768">
        <x:v>6.75</x:v>
      </x:c>
      <x:c r="S40" s="2776">
        <x:v>0</x:v>
      </x:c>
      <x:c r="T40" s="2771">
        <x:v>6.25</x:v>
      </x:c>
      <x:c r="U40" s="2767">
        <x:v>0</x:v>
      </x:c>
      <x:c r="V40" s="2771">
        <x:v>6.25</x:v>
      </x:c>
      <x:c r="W40" s="2775">
        <x:v>5</x:v>
      </x:c>
      <x:c r="X40" s="2777" t="str">
        <x:f t="shared" si="48"/>
        <x:v/>
      </x:c>
      <x:c r="Y40" s="2778" t="str">
        <x:f t="shared" si="49"/>
        <x:v/>
      </x:c>
      <x:c r="Z40" s="2779" t="s">
        <x:v>1627</x:v>
      </x:c>
      <x:c r="AA40" s="2780" t="str">
        <x:f t="shared" si="50"/>
        <x:v/>
      </x:c>
      <x:c r="AB40" s="2764" t="str">
        <x:f t="shared" si="37"/>
        <x:v/>
      </x:c>
      <x:c r="AC40" s="2772" t="str">
        <x:f t="shared" si="38"/>
        <x:v/>
      </x:c>
      <x:c r="AD40" s="2767" t="str">
        <x:f t="shared" ca="1" si="39"/>
        <x:v/>
      </x:c>
      <x:c r="AE40" s="2771" t="str">
        <x:f t="shared" ca="1" si="40"/>
        <x:v/>
      </x:c>
      <x:c r="AF40" s="2772" t="str">
        <x:f t="shared" ca="1" si="41"/>
        <x:v/>
      </x:c>
      <x:c r="AG40" s="2767" t="str">
        <x:f t="shared" ca="1" si="42"/>
        <x:v/>
      </x:c>
      <x:c r="AH40" s="2771" t="str">
        <x:f t="shared" ca="1" si="43"/>
        <x:v/>
      </x:c>
      <x:c r="AI40" s="2767" t="str">
        <x:f t="shared" ca="1" si="44"/>
        <x:v/>
      </x:c>
      <x:c r="AJ40" s="2771" t="str">
        <x:f t="shared" ca="1" si="45"/>
        <x:v/>
      </x:c>
      <x:c r="AK40" s="2813" t="str">
        <x:f t="shared" si="12"/>
        <x:v/>
      </x:c>
      <x:c r="AL40" s="2814" t="str">
        <x:f t="shared" si="46"/>
        <x:v/>
      </x:c>
      <x:c r="AM40" s="2815" t="str">
        <x:f t="shared" si="80"/>
        <x:v/>
      </x:c>
      <x:c r="AN40" s="2772" t="str">
        <x:f t="shared" si="80"/>
        <x:v/>
      </x:c>
      <x:c r="AO40" s="2816" t="str">
        <x:f t="shared" si="80"/>
        <x:v/>
      </x:c>
      <x:c r="AP40" s="2774" t="str">
        <x:f t="shared" si="3"/>
        <x:v/>
      </x:c>
      <x:c r="AQ40" s="2817" t="str">
        <x:f t="shared" si="3"/>
        <x:v/>
      </x:c>
      <x:c r="AR40" s="2770" t="str">
        <x:f t="shared" si="13"/>
        <x:v/>
      </x:c>
      <x:c r="AS40" s="2771" t="str">
        <x:f t="shared" si="14"/>
        <x:v/>
      </x:c>
      <x:c r="AT40" s="2818" t="str">
        <x:f t="shared" si="15"/>
        <x:v/>
      </x:c>
      <x:c r="AU40" s="2819" t="str">
        <x:f t="shared" si="4"/>
        <x:v/>
      </x:c>
      <x:c r="AV40" s="2776" t="str">
        <x:f t="shared" si="16"/>
        <x:v/>
      </x:c>
      <x:c r="AW40" s="2771" t="str">
        <x:f t="shared" si="17"/>
        <x:v/>
      </x:c>
      <x:c r="AX40" s="2818" t="str">
        <x:f t="shared" si="18"/>
        <x:v/>
      </x:c>
      <x:c r="AY40" s="2819" t="str">
        <x:f t="shared" si="5"/>
        <x:v/>
      </x:c>
      <x:c r="AZ40" s="2776" t="str">
        <x:f t="shared" si="19"/>
        <x:v/>
      </x:c>
      <x:c r="BA40" s="2771" t="str">
        <x:f t="shared" si="20"/>
        <x:v/>
      </x:c>
      <x:c r="BB40" s="2818" t="str">
        <x:f t="shared" si="21"/>
        <x:v/>
      </x:c>
      <x:c r="BC40" s="2819" t="str">
        <x:f t="shared" si="6"/>
        <x:v/>
      </x:c>
      <x:c r="BD40" s="2776" t="str">
        <x:f t="shared" si="22"/>
        <x:v/>
      </x:c>
      <x:c r="BE40" s="2771" t="str">
        <x:f t="shared" si="23"/>
        <x:v/>
      </x:c>
      <x:c r="BF40" s="2818" t="str">
        <x:f t="shared" si="24"/>
        <x:v/>
      </x:c>
      <x:c r="BG40" s="2819" t="str">
        <x:f t="shared" si="7"/>
        <x:v/>
      </x:c>
      <x:c r="BH40" s="261"/>
      <x:c r="BJ40" s="1301" t="str">
        <x:f t="shared" si="75"/>
        <x:v>G13</x:v>
      </x:c>
      <x:c r="BK40" s="993" t="b">
        <x:f t="shared" si="79"/>
        <x:v>0</x:v>
      </x:c>
      <x:c r="BL40" s="1800" t="b">
        <x:v>0</x:v>
      </x:c>
      <x:c r="BM40" s="989">
        <x:f t="shared" si="64"/>
        <x:v>48</x:v>
      </x:c>
      <x:c r="BN40" s="989" t="str">
        <x:f t="shared" si="65"/>
        <x:v>VG</x:v>
      </x:c>
      <x:c r="BO40" s="989">
        <x:f t="shared" si="66"/>
        <x:v>9</x:v>
      </x:c>
      <x:c r="BP40" s="989">
        <x:f t="shared" si="51"/>
        <x:v>13.8</x:v>
      </x:c>
      <x:c r="BQ40" s="989">
        <x:f t="shared" si="67"/>
        <x:v>0</x:v>
      </x:c>
      <x:c r="BR40" s="989" t="b">
        <x:f t="shared" si="68"/>
        <x:v>1</x:v>
      </x:c>
      <x:c r="BS40" s="1302">
        <x:f t="shared" si="69"/>
        <x:v>7.75</x:v>
      </x:c>
      <x:c r="BT40" s="990" t="str">
        <x:f t="shared" si="70"/>
        <x:v>Yes</x:v>
      </x:c>
      <x:c r="BU40" s="1302">
        <x:f t="shared" si="71"/>
        <x:v>7.75</x:v>
      </x:c>
      <x:c r="BV40" s="990" t="str">
        <x:f t="shared" si="72"/>
        <x:v>Yes</x:v>
      </x:c>
      <x:c r="BW40" s="991">
        <x:f t="shared" ca="1" si="25"/>
        <x:v>0</x:v>
      </x:c>
      <x:c r="BX40" s="991" t="str">
        <x:f t="shared" ca="1" si="32"/>
        <x:v/>
      </x:c>
      <x:c r="BY40" s="991" t="b">
        <x:f t="shared" ca="1" si="26"/>
        <x:v>0</x:v>
      </x:c>
      <x:c r="BZ40" s="1303" t="b">
        <x:f t="shared" si="33"/>
        <x:v>0</x:v>
      </x:c>
      <x:c r="CB40" s="672"/>
      <x:c r="CC40" s="1684"/>
      <x:c r="CD40" s="699"/>
      <x:c r="CE40" s="700"/>
      <x:c r="CF40" s="1328"/>
      <x:c r="CG40" s="672"/>
      <x:c r="CH40" s="713"/>
      <x:c r="CI40" s="714"/>
      <x:c r="CJ40" s="713"/>
      <x:c r="CK40" s="714"/>
      <x:c r="CL40" s="715"/>
      <x:c r="CM40" s="743"/>
      <x:c r="CN40" s="738"/>
      <x:c r="CO40" s="1551"/>
      <x:c r="CP40" s="910"/>
      <x:c r="CQ40" s="672"/>
      <x:c r="CR40" s="713"/>
      <x:c r="CS40" s="714"/>
      <x:c r="CT40" s="713"/>
      <x:c r="CU40" s="714"/>
      <x:c r="CV40" s="715"/>
      <x:c r="CW40" s="743"/>
      <x:c r="CX40" s="738"/>
      <x:c r="CY40" s="1551"/>
      <x:c r="CZ40" s="910"/>
      <x:c r="DA40" s="717"/>
      <x:c r="DB40" s="702"/>
      <x:c r="DC40" s="703"/>
      <x:c r="DD40" s="1598"/>
      <x:c r="DE40" s="1599"/>
      <x:c r="DF40" s="141"/>
      <x:c r="DG40" s="141"/>
      <x:c r="DH40" s="672"/>
      <x:c r="DI40" s="673"/>
      <x:c r="DJ40" s="692"/>
      <x:c r="DK40" s="1331"/>
      <x:c r="DL40" s="674"/>
      <x:c r="DM40" s="693"/>
      <x:c r="DN40" s="1334"/>
      <x:c r="DO40" s="675"/>
      <x:c r="DP40" s="676"/>
      <x:c r="DQ40" s="1419"/>
      <x:c r="DR40" s="677"/>
      <x:c r="DS40" s="1611"/>
      <x:c r="DT40" s="1606"/>
      <x:c r="DU40" s="1607"/>
      <x:c r="DV40" s="678"/>
      <x:c r="DW40" s="1336"/>
      <x:c r="DX40" s="679"/>
      <x:c r="DY40" s="674"/>
      <x:c r="DZ40" s="678"/>
      <x:c r="EA40" s="1336"/>
      <x:c r="EB40" s="679"/>
      <x:c r="EC40" s="674"/>
      <x:c r="ED40" s="678"/>
      <x:c r="EE40" s="1336"/>
      <x:c r="EF40" s="679"/>
      <x:c r="EG40" s="674"/>
      <x:c r="EH40" s="678"/>
      <x:c r="EI40" s="1336"/>
      <x:c r="EJ40" s="679"/>
      <x:c r="EK40" s="680"/>
      <x:c r="EL40" s="141"/>
      <x:c r="EM40" s="1631" t="str">
        <x:f t="shared" si="73"/>
        <x:v/>
      </x:c>
      <x:c r="EN40" s="1632" t="str">
        <x:f t="shared" si="52"/>
        <x:v/>
      </x:c>
      <x:c r="EO40" s="648" t="str">
        <x:f t="shared" si="53"/>
        <x:v/>
      </x:c>
      <x:c r="EP40" s="649" t="str">
        <x:f t="shared" si="54"/>
        <x:v/>
      </x:c>
      <x:c r="EQ40" s="813" t="str">
        <x:f t="shared" si="55"/>
        <x:v/>
      </x:c>
      <x:c r="ER40" s="1586" t="str">
        <x:f t="shared" si="56"/>
        <x:v/>
      </x:c>
      <x:c r="ES40" s="1587" t="str">
        <x:f t="shared" si="57"/>
        <x:v/>
      </x:c>
      <x:c r="ET40" s="1588" t="str">
        <x:f t="shared" si="58"/>
        <x:v/>
      </x:c>
      <x:c r="EU40" s="1589" t="str">
        <x:f t="shared" si="59"/>
        <x:v/>
      </x:c>
      <x:c r="EX40" s="503" t="str">
        <x:f t="shared" ca="1" si="27"/>
        <x:v/>
      </x:c>
      <x:c r="EY40" s="940" t="str">
        <x:f t="shared" si="8"/>
        <x:v/>
      </x:c>
      <x:c r="EZ40" s="940" t="str">
        <x:f t="shared" si="28"/>
        <x:v/>
      </x:c>
      <x:c r="FA40" s="958" t="str">
        <x:f t="shared" ca="1" si="34"/>
        <x:v/>
      </x:c>
      <x:c r="FB40" s="134" t="str">
        <x:f t="shared" ca="1" si="29"/>
        <x:v/>
      </x:c>
      <x:c r="FC40" s="134">
        <x:f t="shared" ca="1" si="9"/>
        <x:v>0</x:v>
      </x:c>
      <x:c r="FD40" s="134">
        <x:f t="shared" ca="1" si="10"/>
        <x:v>0</x:v>
      </x:c>
      <x:c r="FE40" s="134">
        <x:f t="shared" ca="1" si="11"/>
        <x:v>0</x:v>
      </x:c>
      <x:c r="FF40" s="134">
        <x:f t="shared" ca="1" si="30"/>
        <x:v>0</x:v>
      </x:c>
      <x:c r="FN40" s="993" t="b">
        <x:v>0</x:v>
      </x:c>
      <x:c r="FO40" s="754" t="b">
        <x:f t="shared" si="74"/>
        <x:v>1</x:v>
      </x:c>
      <x:c r="FP40" s="754" t="b">
        <x:v>0</x:v>
      </x:c>
      <x:c r="FQ40" s="754" t="b">
        <x:f t="shared" si="31"/>
        <x:v>1</x:v>
      </x:c>
      <x:c r="FX40" s="197"/>
      <x:c r="FZ40" s="2"/>
      <x:c r="GA40" s="1761">
        <x:v>56</x:v>
      </x:c>
      <x:c r="GB40" s="1762">
        <x:v>0</x:v>
      </x:c>
      <x:c r="GC40" s="1763">
        <x:v>-0.25</x:v>
      </x:c>
      <x:c r="GD40" s="1764">
        <x:v>-0.25</x:v>
      </x:c>
      <x:c r="GE40" s="1765">
        <x:f t="shared" si="60"/>
        <x:v>0</x:v>
      </x:c>
      <x:c r="GF40" s="582" t="str">
        <x:f t="shared" si="61"/>
        <x:v>G13</x:v>
      </x:c>
      <x:c r="GG40" s="692">
        <x:v>0</x:v>
      </x:c>
      <x:c r="GH40" s="1135">
        <x:v>0</x:v>
      </x:c>
      <x:c r="GI40" s="692"/>
      <x:c r="GJ40" s="1135"/>
      <x:c r="GK40" s="1640">
        <x:f t="shared" si="62"/>
        <x:v>671.5</x:v>
      </x:c>
      <x:c r="GL40" s="1640">
        <x:f t="shared" si="63"/>
        <x:v>671.5</x:v>
      </x:c>
      <x:c r="GM40" s="1641">
        <x:f>IF(ABS(GK40-GL40)&gt;='Job Info.'!$L$22,ABS(GK40-GL40),0)</x:f>
        <x:v>0</x:v>
      </x:c>
      <x:c r="HA40" s="1241" t="s">
        <x:v>1413</x:v>
      </x:c>
      <x:c r="HB40" s="1242">
        <x:v>5</x:v>
      </x:c>
      <x:c r="HC40" s="1242" t="s">
        <x:v>1586</x:v>
      </x:c>
      <x:c r="HD40" s="1243">
        <x:v>55</x:v>
      </x:c>
      <x:c r="HE40" s="1244">
        <x:v>11.5</x:v>
      </x:c>
      <x:c r="HF40" s="1242">
        <x:v>11.125</x:v>
      </x:c>
      <x:c r="HG40" s="1242">
        <x:v>0</x:v>
      </x:c>
      <x:c r="HH40" s="1242">
        <x:v>1.75</x:v>
      </x:c>
      <x:c r="HI40" s="1242" t="s">
        <x:v>113</x:v>
      </x:c>
      <x:c r="HJ40" s="1242">
        <x:v>0</x:v>
      </x:c>
      <x:c r="HK40" s="1242">
        <x:v>1.75</x:v>
      </x:c>
      <x:c r="HL40" s="1242" t="s">
        <x:v>113</x:v>
      </x:c>
      <x:c r="HM40" s="1242">
        <x:v>7.5</x:v>
      </x:c>
      <x:c r="HN40" s="1242">
        <x:v>7.5</x:v>
      </x:c>
      <x:c r="HO40" s="1242">
        <x:v>0</x:v>
      </x:c>
      <x:c r="HP40" s="1242">
        <x:v>6.75</x:v>
      </x:c>
      <x:c r="HQ40" s="1242">
        <x:v>0</x:v>
      </x:c>
      <x:c r="HR40" s="1242">
        <x:v>6.75</x:v>
      </x:c>
      <x:c r="HS40" s="1242">
        <x:v>0</x:v>
      </x:c>
      <x:c r="HT40" s="1242">
        <x:v>6.25</x:v>
      </x:c>
      <x:c r="HU40" s="1242">
        <x:v>0</x:v>
      </x:c>
      <x:c r="HV40" s="1242">
        <x:v>6.25</x:v>
      </x:c>
      <x:c r="HW40" s="1242">
        <x:v>5</x:v>
      </x:c>
      <x:c r="HX40" s="1242" t="s">
        <x:v>116</x:v>
      </x:c>
      <x:c r="HY40" s="1246" t="s">
        <x:v>116</x:v>
      </x:c>
      <x:c r="HZ40" s="1246" t="s">
        <x:v>1627</x:v>
      </x:c>
      <x:c r="IA40" s="1246" t="s">
        <x:v>116</x:v>
      </x:c>
      <x:c r="IB40" s="1246"/>
      <x:c r="IC40" s="1246"/>
      <x:c r="ID40" s="1247"/>
      <x:c r="IE40" s="1241"/>
      <x:c r="IF40" s="1242"/>
      <x:c r="IG40" s="1243"/>
      <x:c r="IH40" s="1244"/>
      <x:c r="II40" s="1242"/>
      <x:c r="IJ40" s="1243"/>
      <x:c r="IK40" s="1244"/>
      <x:c r="IL40" s="1242"/>
      <x:c r="IM40" s="1242"/>
      <x:c r="IN40" s="1242"/>
      <x:c r="IO40" s="1242"/>
      <x:c r="IP40" s="1242"/>
      <x:c r="IQ40" s="1242"/>
      <x:c r="IR40" s="1242"/>
      <x:c r="IS40" s="1243"/>
      <x:c r="IT40" s="1244"/>
      <x:c r="IU40" s="1242"/>
      <x:c r="IV40" s="1242"/>
      <x:c r="IW40" s="1243"/>
      <x:c r="IX40" s="1244"/>
      <x:c r="IY40" s="1242"/>
      <x:c r="IZ40" s="1242"/>
      <x:c r="JA40" s="1243"/>
      <x:c r="JB40" s="1244"/>
      <x:c r="JC40" s="1242"/>
      <x:c r="JD40" s="1242"/>
      <x:c r="JE40" s="1243"/>
      <x:c r="JF40" s="1244"/>
      <x:c r="JG40" s="1242"/>
      <x:c r="JH40" s="1242"/>
      <x:c r="JI40" s="1242"/>
      <x:c r="JJ40" s="1245"/>
      <x:c r="JK40" s="1242"/>
      <x:c r="JL40" s="1171">
        <x:f t="shared" ca="1" si="35"/>
        <x:v>0</x:v>
      </x:c>
    </x:row>
    <x:row r="41" spans="1:272" ht="12.6" customHeight="1" x14ac:dyDescent="0.25">
      <x:c r="A41" s="2764" t="s">
        <x:v>1414</x:v>
      </x:c>
      <x:c r="B41" s="2765">
        <x:v>2</x:v>
      </x:c>
      <x:c r="C41" s="2766" t="s">
        <x:v>1586</x:v>
      </x:c>
      <x:c r="D41" s="2767">
        <x:v>55</x:v>
      </x:c>
      <x:c r="E41" s="2768">
        <x:v>10.875</x:v>
      </x:c>
      <x:c r="F41" s="2769">
        <x:v>11.125</x:v>
      </x:c>
      <x:c r="G41" s="2770">
        <x:v>0</x:v>
      </x:c>
      <x:c r="H41" s="2771">
        <x:v>1.75</x:v>
      </x:c>
      <x:c r="I41" s="2772" t="s">
        <x:v>113</x:v>
      </x:c>
      <x:c r="J41" s="2767" t="str">
        <x:f t="shared" si="76"/>
        <x:v/>
      </x:c>
      <x:c r="K41" s="2771" t="str">
        <x:f t="shared" si="77"/>
        <x:v/>
      </x:c>
      <x:c r="L41" s="2773" t="str">
        <x:f t="shared" si="78"/>
        <x:v/>
      </x:c>
      <x:c r="M41" s="2774">
        <x:v>7.5</x:v>
      </x:c>
      <x:c r="N41" s="2775">
        <x:v>10</x:v>
      </x:c>
      <x:c r="O41" s="2770">
        <x:v>0</x:v>
      </x:c>
      <x:c r="P41" s="2771">
        <x:v>6.75</x:v>
      </x:c>
      <x:c r="Q41" s="2767">
        <x:v>0</x:v>
      </x:c>
      <x:c r="R41" s="2768">
        <x:v>7.125</x:v>
      </x:c>
      <x:c r="S41" s="2776">
        <x:v>0</x:v>
      </x:c>
      <x:c r="T41" s="2771">
        <x:v>6.25</x:v>
      </x:c>
      <x:c r="U41" s="2767">
        <x:v>0</x:v>
      </x:c>
      <x:c r="V41" s="2771">
        <x:v>2.125</x:v>
      </x:c>
      <x:c r="W41" s="2775">
        <x:v>5</x:v>
      </x:c>
      <x:c r="X41" s="2777" t="str">
        <x:f t="shared" si="48"/>
        <x:v/>
      </x:c>
      <x:c r="Y41" s="2778" t="str">
        <x:f t="shared" si="49"/>
        <x:v/>
      </x:c>
      <x:c r="Z41" s="2779" t="s">
        <x:v>1630</x:v>
      </x:c>
      <x:c r="AA41" s="2780" t="str">
        <x:f t="shared" si="50"/>
        <x:v/>
      </x:c>
      <x:c r="AB41" s="2764" t="str">
        <x:f t="shared" si="37"/>
        <x:v/>
      </x:c>
      <x:c r="AC41" s="2772" t="str">
        <x:f t="shared" si="38"/>
        <x:v/>
      </x:c>
      <x:c r="AD41" s="2767" t="str">
        <x:f t="shared" ca="1" si="39"/>
        <x:v/>
      </x:c>
      <x:c r="AE41" s="2771" t="str">
        <x:f t="shared" ca="1" si="40"/>
        <x:v/>
      </x:c>
      <x:c r="AF41" s="2772" t="str">
        <x:f t="shared" ca="1" si="41"/>
        <x:v/>
      </x:c>
      <x:c r="AG41" s="2767" t="str">
        <x:f t="shared" ca="1" si="42"/>
        <x:v/>
      </x:c>
      <x:c r="AH41" s="2771" t="str">
        <x:f t="shared" ca="1" si="43"/>
        <x:v/>
      </x:c>
      <x:c r="AI41" s="2767" t="str">
        <x:f t="shared" ca="1" si="44"/>
        <x:v/>
      </x:c>
      <x:c r="AJ41" s="2771" t="str">
        <x:f t="shared" ca="1" si="45"/>
        <x:v/>
      </x:c>
      <x:c r="AK41" s="2813" t="str">
        <x:f t="shared" si="12"/>
        <x:v/>
      </x:c>
      <x:c r="AL41" s="2814" t="str">
        <x:f t="shared" si="46"/>
        <x:v/>
      </x:c>
      <x:c r="AM41" s="2815" t="str">
        <x:f t="shared" si="80"/>
        <x:v/>
      </x:c>
      <x:c r="AN41" s="2772" t="str">
        <x:f t="shared" si="80"/>
        <x:v/>
      </x:c>
      <x:c r="AO41" s="2816" t="str">
        <x:f t="shared" si="80"/>
        <x:v/>
      </x:c>
      <x:c r="AP41" s="2774" t="str">
        <x:f t="shared" si="3"/>
        <x:v/>
      </x:c>
      <x:c r="AQ41" s="2817" t="str">
        <x:f t="shared" si="3"/>
        <x:v/>
      </x:c>
      <x:c r="AR41" s="2770" t="str">
        <x:f t="shared" si="13"/>
        <x:v/>
      </x:c>
      <x:c r="AS41" s="2771" t="str">
        <x:f t="shared" si="14"/>
        <x:v/>
      </x:c>
      <x:c r="AT41" s="2818" t="str">
        <x:f t="shared" si="15"/>
        <x:v/>
      </x:c>
      <x:c r="AU41" s="2819" t="str">
        <x:f t="shared" si="4"/>
        <x:v/>
      </x:c>
      <x:c r="AV41" s="2776" t="str">
        <x:f t="shared" si="16"/>
        <x:v/>
      </x:c>
      <x:c r="AW41" s="2771" t="str">
        <x:f t="shared" si="17"/>
        <x:v/>
      </x:c>
      <x:c r="AX41" s="2818" t="str">
        <x:f t="shared" si="18"/>
        <x:v/>
      </x:c>
      <x:c r="AY41" s="2819" t="str">
        <x:f t="shared" si="5"/>
        <x:v/>
      </x:c>
      <x:c r="AZ41" s="2776" t="str">
        <x:f t="shared" si="19"/>
        <x:v/>
      </x:c>
      <x:c r="BA41" s="2771" t="str">
        <x:f t="shared" si="20"/>
        <x:v/>
      </x:c>
      <x:c r="BB41" s="2818" t="str">
        <x:f t="shared" si="21"/>
        <x:v/>
      </x:c>
      <x:c r="BC41" s="2819" t="str">
        <x:f t="shared" si="6"/>
        <x:v/>
      </x:c>
      <x:c r="BD41" s="2776" t="str">
        <x:f t="shared" si="22"/>
        <x:v/>
      </x:c>
      <x:c r="BE41" s="2771" t="str">
        <x:f t="shared" si="23"/>
        <x:v/>
      </x:c>
      <x:c r="BF41" s="2818" t="str">
        <x:f t="shared" si="24"/>
        <x:v/>
      </x:c>
      <x:c r="BG41" s="2819" t="str">
        <x:f t="shared" si="7"/>
        <x:v/>
      </x:c>
      <x:c r="BH41" s="261"/>
      <x:c r="BJ41" s="1301" t="str">
        <x:f t="shared" si="75"/>
        <x:v>G14</x:v>
      </x:c>
      <x:c r="BK41" s="993" t="b">
        <x:f t="shared" si="79"/>
        <x:v>0</x:v>
      </x:c>
      <x:c r="BL41" s="1800" t="b">
        <x:v>0</x:v>
      </x:c>
      <x:c r="BM41" s="989">
        <x:f t="shared" si="64"/>
        <x:v>48</x:v>
      </x:c>
      <x:c r="BN41" s="989" t="str">
        <x:f t="shared" si="65"/>
        <x:v>VG</x:v>
      </x:c>
      <x:c r="BO41" s="989">
        <x:f t="shared" si="66"/>
        <x:v>9</x:v>
      </x:c>
      <x:c r="BP41" s="989">
        <x:f t="shared" si="51"/>
        <x:v>13.8</x:v>
      </x:c>
      <x:c r="BQ41" s="989">
        <x:f t="shared" si="67"/>
        <x:v>0</x:v>
      </x:c>
      <x:c r="BR41" s="989" t="b">
        <x:f t="shared" si="68"/>
        <x:v>1</x:v>
      </x:c>
      <x:c r="BS41" s="1302">
        <x:f t="shared" si="69"/>
        <x:v>7.75</x:v>
      </x:c>
      <x:c r="BT41" s="990" t="str">
        <x:f t="shared" si="70"/>
        <x:v>Yes</x:v>
      </x:c>
      <x:c r="BU41" s="1302">
        <x:f t="shared" si="71"/>
        <x:v>6</x:v>
      </x:c>
      <x:c r="BV41" s="990" t="str">
        <x:f t="shared" si="72"/>
        <x:v>Yes</x:v>
      </x:c>
      <x:c r="BW41" s="991">
        <x:f t="shared" ca="1" si="25"/>
        <x:v>0</x:v>
      </x:c>
      <x:c r="BX41" s="991" t="str">
        <x:f t="shared" ca="1" si="32"/>
        <x:v/>
      </x:c>
      <x:c r="BY41" s="991" t="b">
        <x:f t="shared" ca="1" si="26"/>
        <x:v>0</x:v>
      </x:c>
      <x:c r="BZ41" s="1303" t="b">
        <x:f t="shared" si="33"/>
        <x:v>0</x:v>
      </x:c>
      <x:c r="CB41" s="672"/>
      <x:c r="CC41" s="1684"/>
      <x:c r="CD41" s="699"/>
      <x:c r="CE41" s="700"/>
      <x:c r="CF41" s="1328"/>
      <x:c r="CG41" s="672"/>
      <x:c r="CH41" s="713"/>
      <x:c r="CI41" s="714"/>
      <x:c r="CJ41" s="713"/>
      <x:c r="CK41" s="714"/>
      <x:c r="CL41" s="715"/>
      <x:c r="CM41" s="743"/>
      <x:c r="CN41" s="738"/>
      <x:c r="CO41" s="1551"/>
      <x:c r="CP41" s="910"/>
      <x:c r="CQ41" s="672"/>
      <x:c r="CR41" s="713"/>
      <x:c r="CS41" s="714"/>
      <x:c r="CT41" s="713"/>
      <x:c r="CU41" s="714"/>
      <x:c r="CV41" s="715"/>
      <x:c r="CW41" s="743"/>
      <x:c r="CX41" s="738"/>
      <x:c r="CY41" s="1551"/>
      <x:c r="CZ41" s="910"/>
      <x:c r="DA41" s="717"/>
      <x:c r="DB41" s="702"/>
      <x:c r="DC41" s="703"/>
      <x:c r="DD41" s="1598"/>
      <x:c r="DE41" s="1599"/>
      <x:c r="DF41" s="141"/>
      <x:c r="DG41" s="141"/>
      <x:c r="DH41" s="672"/>
      <x:c r="DI41" s="673"/>
      <x:c r="DJ41" s="692"/>
      <x:c r="DK41" s="1331"/>
      <x:c r="DL41" s="674"/>
      <x:c r="DM41" s="693"/>
      <x:c r="DN41" s="1334"/>
      <x:c r="DO41" s="675"/>
      <x:c r="DP41" s="676"/>
      <x:c r="DQ41" s="1419"/>
      <x:c r="DR41" s="677"/>
      <x:c r="DS41" s="1611"/>
      <x:c r="DT41" s="1606"/>
      <x:c r="DU41" s="1607"/>
      <x:c r="DV41" s="678"/>
      <x:c r="DW41" s="1336"/>
      <x:c r="DX41" s="679"/>
      <x:c r="DY41" s="674"/>
      <x:c r="DZ41" s="678"/>
      <x:c r="EA41" s="1336"/>
      <x:c r="EB41" s="679"/>
      <x:c r="EC41" s="674"/>
      <x:c r="ED41" s="678"/>
      <x:c r="EE41" s="1336"/>
      <x:c r="EF41" s="679"/>
      <x:c r="EG41" s="674"/>
      <x:c r="EH41" s="678"/>
      <x:c r="EI41" s="1336"/>
      <x:c r="EJ41" s="679"/>
      <x:c r="EK41" s="680"/>
      <x:c r="EL41" s="141"/>
      <x:c r="EM41" s="1631" t="str">
        <x:f t="shared" si="73"/>
        <x:v/>
      </x:c>
      <x:c r="EN41" s="1632" t="str">
        <x:f t="shared" si="52"/>
        <x:v/>
      </x:c>
      <x:c r="EO41" s="648" t="str">
        <x:f t="shared" si="53"/>
        <x:v/>
      </x:c>
      <x:c r="EP41" s="649" t="str">
        <x:f t="shared" si="54"/>
        <x:v/>
      </x:c>
      <x:c r="EQ41" s="813" t="str">
        <x:f t="shared" si="55"/>
        <x:v/>
      </x:c>
      <x:c r="ER41" s="1586" t="str">
        <x:f t="shared" si="56"/>
        <x:v/>
      </x:c>
      <x:c r="ES41" s="1587" t="str">
        <x:f t="shared" si="57"/>
        <x:v/>
      </x:c>
      <x:c r="ET41" s="1588" t="str">
        <x:f t="shared" si="58"/>
        <x:v/>
      </x:c>
      <x:c r="EU41" s="1589" t="str">
        <x:f t="shared" si="59"/>
        <x:v/>
      </x:c>
      <x:c r="EX41" s="503" t="str">
        <x:f t="shared" ca="1" si="27"/>
        <x:v/>
      </x:c>
      <x:c r="EY41" s="940" t="str">
        <x:f t="shared" si="8"/>
        <x:v/>
      </x:c>
      <x:c r="EZ41" s="940" t="str">
        <x:f t="shared" si="28"/>
        <x:v/>
      </x:c>
      <x:c r="FA41" s="958" t="str">
        <x:f t="shared" ca="1" si="34"/>
        <x:v/>
      </x:c>
      <x:c r="FB41" s="134" t="str">
        <x:f t="shared" ca="1" si="29"/>
        <x:v/>
      </x:c>
      <x:c r="FC41" s="134">
        <x:f t="shared" ca="1" si="9"/>
        <x:v>0</x:v>
      </x:c>
      <x:c r="FD41" s="134">
        <x:f t="shared" ca="1" si="10"/>
        <x:v>0</x:v>
      </x:c>
      <x:c r="FE41" s="134">
        <x:f t="shared" ca="1" si="11"/>
        <x:v>0</x:v>
      </x:c>
      <x:c r="FF41" s="134">
        <x:f t="shared" ca="1" si="30"/>
        <x:v>0</x:v>
      </x:c>
      <x:c r="FN41" s="993" t="b">
        <x:v>0</x:v>
      </x:c>
      <x:c r="FO41" s="754" t="b">
        <x:f t="shared" si="74"/>
        <x:v>1</x:v>
      </x:c>
      <x:c r="FP41" s="754" t="b">
        <x:v>0</x:v>
      </x:c>
      <x:c r="FQ41" s="754" t="b">
        <x:f t="shared" si="31"/>
        <x:v>1</x:v>
      </x:c>
      <x:c r="FX41" s="197"/>
      <x:c r="FZ41" s="2"/>
      <x:c r="GA41" s="1761">
        <x:v>56</x:v>
      </x:c>
      <x:c r="GB41" s="1762">
        <x:v>0</x:v>
      </x:c>
      <x:c r="GC41" s="1763">
        <x:v>-0.25</x:v>
      </x:c>
      <x:c r="GD41" s="1764">
        <x:v>-0.875</x:v>
      </x:c>
      <x:c r="GE41" s="1765">
        <x:f t="shared" si="60"/>
        <x:v>0</x:v>
      </x:c>
      <x:c r="GF41" s="582" t="str">
        <x:f t="shared" si="61"/>
        <x:v>G14</x:v>
      </x:c>
      <x:c r="GG41" s="692">
        <x:v>0</x:v>
      </x:c>
      <x:c r="GH41" s="1135">
        <x:v>0</x:v>
      </x:c>
      <x:c r="GI41" s="692"/>
      <x:c r="GJ41" s="1135"/>
      <x:c r="GK41" s="1640">
        <x:f t="shared" si="62"/>
        <x:v>670.875</x:v>
      </x:c>
      <x:c r="GL41" s="1640">
        <x:f t="shared" si="63"/>
        <x:v>670.875</x:v>
      </x:c>
      <x:c r="GM41" s="1641">
        <x:f>IF(ABS(GK41-GL41)&gt;='Job Info.'!$L$22,ABS(GK41-GL41),0)</x:f>
        <x:v>0</x:v>
      </x:c>
      <x:c r="HA41" s="1241" t="s">
        <x:v>1414</x:v>
      </x:c>
      <x:c r="HB41" s="1242">
        <x:v>2</x:v>
      </x:c>
      <x:c r="HC41" s="1242" t="s">
        <x:v>1586</x:v>
      </x:c>
      <x:c r="HD41" s="1243">
        <x:v>55</x:v>
      </x:c>
      <x:c r="HE41" s="1244">
        <x:v>10.875</x:v>
      </x:c>
      <x:c r="HF41" s="1242">
        <x:v>11.125</x:v>
      </x:c>
      <x:c r="HG41" s="1242">
        <x:v>0</x:v>
      </x:c>
      <x:c r="HH41" s="1242">
        <x:v>1.75</x:v>
      </x:c>
      <x:c r="HI41" s="1242" t="s">
        <x:v>113</x:v>
      </x:c>
      <x:c r="HJ41" s="1242" t="s">
        <x:v>116</x:v>
      </x:c>
      <x:c r="HK41" s="1242" t="s">
        <x:v>116</x:v>
      </x:c>
      <x:c r="HL41" s="1242" t="s">
        <x:v>116</x:v>
      </x:c>
      <x:c r="HM41" s="1242">
        <x:v>7.5</x:v>
      </x:c>
      <x:c r="HN41" s="1242">
        <x:v>10</x:v>
      </x:c>
      <x:c r="HO41" s="1242">
        <x:v>0</x:v>
      </x:c>
      <x:c r="HP41" s="1242">
        <x:v>6.75</x:v>
      </x:c>
      <x:c r="HQ41" s="1242">
        <x:v>0</x:v>
      </x:c>
      <x:c r="HR41" s="1242">
        <x:v>7.125</x:v>
      </x:c>
      <x:c r="HS41" s="1242">
        <x:v>0</x:v>
      </x:c>
      <x:c r="HT41" s="1242">
        <x:v>6.25</x:v>
      </x:c>
      <x:c r="HU41" s="1242">
        <x:v>0</x:v>
      </x:c>
      <x:c r="HV41" s="1242">
        <x:v>2.125</x:v>
      </x:c>
      <x:c r="HW41" s="1242">
        <x:v>5</x:v>
      </x:c>
      <x:c r="HX41" s="1242" t="s">
        <x:v>116</x:v>
      </x:c>
      <x:c r="HY41" s="1246" t="s">
        <x:v>116</x:v>
      </x:c>
      <x:c r="HZ41" s="1246" t="s">
        <x:v>1630</x:v>
      </x:c>
      <x:c r="IA41" s="1246" t="s">
        <x:v>116</x:v>
      </x:c>
      <x:c r="IB41" s="1246"/>
      <x:c r="IC41" s="1246"/>
      <x:c r="ID41" s="1247"/>
      <x:c r="IE41" s="1241"/>
      <x:c r="IF41" s="1242"/>
      <x:c r="IG41" s="1243"/>
      <x:c r="IH41" s="1244"/>
      <x:c r="II41" s="1242"/>
      <x:c r="IJ41" s="1243"/>
      <x:c r="IK41" s="1244"/>
      <x:c r="IL41" s="1242"/>
      <x:c r="IM41" s="1242"/>
      <x:c r="IN41" s="1242"/>
      <x:c r="IO41" s="1242"/>
      <x:c r="IP41" s="1242"/>
      <x:c r="IQ41" s="1242"/>
      <x:c r="IR41" s="1242"/>
      <x:c r="IS41" s="1243"/>
      <x:c r="IT41" s="1244"/>
      <x:c r="IU41" s="1242"/>
      <x:c r="IV41" s="1242"/>
      <x:c r="IW41" s="1243"/>
      <x:c r="IX41" s="1244"/>
      <x:c r="IY41" s="1242"/>
      <x:c r="IZ41" s="1242"/>
      <x:c r="JA41" s="1243"/>
      <x:c r="JB41" s="1244"/>
      <x:c r="JC41" s="1242"/>
      <x:c r="JD41" s="1242"/>
      <x:c r="JE41" s="1243"/>
      <x:c r="JF41" s="1244"/>
      <x:c r="JG41" s="1242"/>
      <x:c r="JH41" s="1242"/>
      <x:c r="JI41" s="1242"/>
      <x:c r="JJ41" s="1245"/>
      <x:c r="JK41" s="1242"/>
      <x:c r="JL41" s="1171">
        <x:f t="shared" ca="1" si="35"/>
        <x:v>0</x:v>
      </x:c>
    </x:row>
    <x:row r="42" spans="1:272" ht="12.6" customHeight="1" x14ac:dyDescent="0.25">
      <x:c r="A42" s="2764" t="s">
        <x:v>1415</x:v>
      </x:c>
      <x:c r="B42" s="2765">
        <x:v>1</x:v>
      </x:c>
      <x:c r="C42" s="2766" t="s">
        <x:v>1586</x:v>
      </x:c>
      <x:c r="D42" s="2767">
        <x:v>55</x:v>
      </x:c>
      <x:c r="E42" s="2768">
        <x:v>8.375</x:v>
      </x:c>
      <x:c r="F42" s="2769">
        <x:v>11.125</x:v>
      </x:c>
      <x:c r="G42" s="2770">
        <x:v>0</x:v>
      </x:c>
      <x:c r="H42" s="2771">
        <x:v>1.75</x:v>
      </x:c>
      <x:c r="I42" s="2772" t="s">
        <x:v>113</x:v>
      </x:c>
      <x:c r="J42" s="2767">
        <x:v>0</x:v>
      </x:c>
      <x:c r="K42" s="2771">
        <x:v>5</x:v>
      </x:c>
      <x:c r="L42" s="2773" t="s">
        <x:v>158</x:v>
      </x:c>
      <x:c r="M42" s="2774">
        <x:v>7.5</x:v>
      </x:c>
      <x:c r="N42" s="2775">
        <x:v>10</x:v>
      </x:c>
      <x:c r="O42" s="2770">
        <x:v>0</x:v>
      </x:c>
      <x:c r="P42" s="2771">
        <x:v>6.75</x:v>
      </x:c>
      <x:c r="Q42" s="2767">
        <x:v>0</x:v>
      </x:c>
      <x:c r="R42" s="2768">
        <x:v>4.625</x:v>
      </x:c>
      <x:c r="S42" s="2776">
        <x:v>0</x:v>
      </x:c>
      <x:c r="T42" s="2771">
        <x:v>6.25</x:v>
      </x:c>
      <x:c r="U42" s="2767">
        <x:v>0</x:v>
      </x:c>
      <x:c r="V42" s="2771">
        <x:v>4.25</x:v>
      </x:c>
      <x:c r="W42" s="2775">
        <x:v>5</x:v>
      </x:c>
      <x:c r="X42" s="2777" t="str">
        <x:f t="shared" si="48"/>
        <x:v/>
      </x:c>
      <x:c r="Y42" s="2778" t="str">
        <x:f t="shared" si="49"/>
        <x:v/>
      </x:c>
      <x:c r="Z42" s="2781" t="s">
        <x:v>1709</x:v>
      </x:c>
      <x:c r="AA42" s="2780" t="str">
        <x:f t="shared" si="50"/>
        <x:v/>
      </x:c>
      <x:c r="AB42" s="2764" t="str">
        <x:f t="shared" si="37"/>
        <x:v/>
      </x:c>
      <x:c r="AC42" s="2772" t="str">
        <x:f t="shared" si="38"/>
        <x:v/>
      </x:c>
      <x:c r="AD42" s="2767" t="str">
        <x:f t="shared" ca="1" si="39"/>
        <x:v/>
      </x:c>
      <x:c r="AE42" s="2771" t="str">
        <x:f t="shared" ca="1" si="40"/>
        <x:v/>
      </x:c>
      <x:c r="AF42" s="2772" t="str">
        <x:f t="shared" ca="1" si="41"/>
        <x:v/>
      </x:c>
      <x:c r="AG42" s="2767" t="str">
        <x:f t="shared" ca="1" si="42"/>
        <x:v/>
      </x:c>
      <x:c r="AH42" s="2771" t="str">
        <x:f t="shared" ca="1" si="43"/>
        <x:v/>
      </x:c>
      <x:c r="AI42" s="2767" t="str">
        <x:f t="shared" ca="1" si="44"/>
        <x:v/>
      </x:c>
      <x:c r="AJ42" s="2771" t="str">
        <x:f t="shared" ca="1" si="45"/>
        <x:v/>
      </x:c>
      <x:c r="AK42" s="2813" t="str">
        <x:f t="shared" si="12"/>
        <x:v/>
      </x:c>
      <x:c r="AL42" s="2814" t="str">
        <x:f t="shared" si="46"/>
        <x:v/>
      </x:c>
      <x:c r="AM42" s="2815" t="str">
        <x:f t="shared" si="80"/>
        <x:v/>
      </x:c>
      <x:c r="AN42" s="2772" t="str">
        <x:f t="shared" si="80"/>
        <x:v/>
      </x:c>
      <x:c r="AO42" s="2816" t="str">
        <x:f t="shared" si="80"/>
        <x:v/>
      </x:c>
      <x:c r="AP42" s="2774" t="str">
        <x:f t="shared" si="3"/>
        <x:v/>
      </x:c>
      <x:c r="AQ42" s="2817" t="str">
        <x:f t="shared" si="3"/>
        <x:v/>
      </x:c>
      <x:c r="AR42" s="2770" t="str">
        <x:f t="shared" si="13"/>
        <x:v/>
      </x:c>
      <x:c r="AS42" s="2771" t="str">
        <x:f t="shared" si="14"/>
        <x:v/>
      </x:c>
      <x:c r="AT42" s="2818" t="str">
        <x:f t="shared" si="15"/>
        <x:v/>
      </x:c>
      <x:c r="AU42" s="2819" t="str">
        <x:f t="shared" si="4"/>
        <x:v/>
      </x:c>
      <x:c r="AV42" s="2776" t="str">
        <x:f t="shared" si="16"/>
        <x:v/>
      </x:c>
      <x:c r="AW42" s="2771" t="str">
        <x:f t="shared" si="17"/>
        <x:v/>
      </x:c>
      <x:c r="AX42" s="2818" t="str">
        <x:f t="shared" si="18"/>
        <x:v/>
      </x:c>
      <x:c r="AY42" s="2819" t="str">
        <x:f t="shared" si="5"/>
        <x:v/>
      </x:c>
      <x:c r="AZ42" s="2776" t="str">
        <x:f t="shared" si="19"/>
        <x:v/>
      </x:c>
      <x:c r="BA42" s="2771" t="str">
        <x:f t="shared" si="20"/>
        <x:v/>
      </x:c>
      <x:c r="BB42" s="2818" t="str">
        <x:f t="shared" si="21"/>
        <x:v/>
      </x:c>
      <x:c r="BC42" s="2819" t="str">
        <x:f t="shared" si="6"/>
        <x:v/>
      </x:c>
      <x:c r="BD42" s="2776" t="str">
        <x:f t="shared" si="22"/>
        <x:v/>
      </x:c>
      <x:c r="BE42" s="2771" t="str">
        <x:f t="shared" si="23"/>
        <x:v/>
      </x:c>
      <x:c r="BF42" s="2818" t="str">
        <x:f t="shared" si="24"/>
        <x:v/>
      </x:c>
      <x:c r="BG42" s="2819" t="str">
        <x:f t="shared" si="7"/>
        <x:v/>
      </x:c>
      <x:c r="BH42" s="261"/>
      <x:c r="BJ42" s="1301" t="str">
        <x:f t="shared" si="75"/>
        <x:v>G15</x:v>
      </x:c>
      <x:c r="BK42" s="993" t="b">
        <x:f t="shared" si="79"/>
        <x:v>0</x:v>
      </x:c>
      <x:c r="BL42" s="1800" t="b">
        <x:v>0</x:v>
      </x:c>
      <x:c r="BM42" s="989">
        <x:f t="shared" si="64"/>
        <x:v>48</x:v>
      </x:c>
      <x:c r="BN42" s="989" t="str">
        <x:f t="shared" si="65"/>
        <x:v>VG</x:v>
      </x:c>
      <x:c r="BO42" s="989">
        <x:f t="shared" si="66"/>
        <x:v>9</x:v>
      </x:c>
      <x:c r="BP42" s="989">
        <x:f t="shared" si="51"/>
        <x:v>13.8</x:v>
      </x:c>
      <x:c r="BQ42" s="989">
        <x:f t="shared" si="67"/>
        <x:v>0</x:v>
      </x:c>
      <x:c r="BR42" s="989" t="b">
        <x:f t="shared" si="68"/>
        <x:v>1</x:v>
      </x:c>
      <x:c r="BS42" s="1302">
        <x:f t="shared" si="69"/>
        <x:v>7.75</x:v>
      </x:c>
      <x:c r="BT42" s="990" t="str">
        <x:f t="shared" si="70"/>
        <x:v>Yes</x:v>
      </x:c>
      <x:c r="BU42" s="1302">
        <x:f t="shared" si="71"/>
        <x:v>6</x:v>
      </x:c>
      <x:c r="BV42" s="990" t="str">
        <x:f t="shared" si="72"/>
        <x:v>Yes</x:v>
      </x:c>
      <x:c r="BW42" s="991">
        <x:f t="shared" ca="1" si="25"/>
        <x:v>0</x:v>
      </x:c>
      <x:c r="BX42" s="991" t="str">
        <x:f t="shared" ca="1" si="32"/>
        <x:v/>
      </x:c>
      <x:c r="BY42" s="991" t="b">
        <x:f t="shared" ca="1" si="26"/>
        <x:v>0</x:v>
      </x:c>
      <x:c r="BZ42" s="1303" t="b">
        <x:f t="shared" si="33"/>
        <x:v>0</x:v>
      </x:c>
      <x:c r="CB42" s="672"/>
      <x:c r="CC42" s="1684"/>
      <x:c r="CD42" s="699"/>
      <x:c r="CE42" s="700"/>
      <x:c r="CF42" s="1328"/>
      <x:c r="CG42" s="672"/>
      <x:c r="CH42" s="713"/>
      <x:c r="CI42" s="714"/>
      <x:c r="CJ42" s="713"/>
      <x:c r="CK42" s="714"/>
      <x:c r="CL42" s="715"/>
      <x:c r="CM42" s="743"/>
      <x:c r="CN42" s="738"/>
      <x:c r="CO42" s="1551"/>
      <x:c r="CP42" s="910"/>
      <x:c r="CQ42" s="672"/>
      <x:c r="CR42" s="713"/>
      <x:c r="CS42" s="714"/>
      <x:c r="CT42" s="713"/>
      <x:c r="CU42" s="714"/>
      <x:c r="CV42" s="715"/>
      <x:c r="CW42" s="743"/>
      <x:c r="CX42" s="738"/>
      <x:c r="CY42" s="1551"/>
      <x:c r="CZ42" s="910"/>
      <x:c r="DA42" s="717"/>
      <x:c r="DB42" s="702"/>
      <x:c r="DC42" s="703"/>
      <x:c r="DD42" s="1598"/>
      <x:c r="DE42" s="1599"/>
      <x:c r="DF42" s="141"/>
      <x:c r="DG42" s="141"/>
      <x:c r="DH42" s="672"/>
      <x:c r="DI42" s="673"/>
      <x:c r="DJ42" s="692"/>
      <x:c r="DK42" s="1331"/>
      <x:c r="DL42" s="674"/>
      <x:c r="DM42" s="693"/>
      <x:c r="DN42" s="1334"/>
      <x:c r="DO42" s="675"/>
      <x:c r="DP42" s="676"/>
      <x:c r="DQ42" s="1419"/>
      <x:c r="DR42" s="677"/>
      <x:c r="DS42" s="1611"/>
      <x:c r="DT42" s="1606"/>
      <x:c r="DU42" s="1607"/>
      <x:c r="DV42" s="678"/>
      <x:c r="DW42" s="1336"/>
      <x:c r="DX42" s="679"/>
      <x:c r="DY42" s="674"/>
      <x:c r="DZ42" s="678"/>
      <x:c r="EA42" s="1336"/>
      <x:c r="EB42" s="679"/>
      <x:c r="EC42" s="674"/>
      <x:c r="ED42" s="678"/>
      <x:c r="EE42" s="1336"/>
      <x:c r="EF42" s="679"/>
      <x:c r="EG42" s="674"/>
      <x:c r="EH42" s="678"/>
      <x:c r="EI42" s="1336"/>
      <x:c r="EJ42" s="679"/>
      <x:c r="EK42" s="680"/>
      <x:c r="EL42" s="141"/>
      <x:c r="EM42" s="1631" t="str">
        <x:f t="shared" si="73"/>
        <x:v/>
      </x:c>
      <x:c r="EN42" s="1632" t="str">
        <x:f t="shared" si="52"/>
        <x:v/>
      </x:c>
      <x:c r="EO42" s="648" t="str">
        <x:f t="shared" si="53"/>
        <x:v/>
      </x:c>
      <x:c r="EP42" s="649" t="str">
        <x:f t="shared" si="54"/>
        <x:v/>
      </x:c>
      <x:c r="EQ42" s="813" t="str">
        <x:f t="shared" si="55"/>
        <x:v/>
      </x:c>
      <x:c r="ER42" s="1586" t="str">
        <x:f t="shared" si="56"/>
        <x:v/>
      </x:c>
      <x:c r="ES42" s="1587" t="str">
        <x:f t="shared" si="57"/>
        <x:v/>
      </x:c>
      <x:c r="ET42" s="1588" t="str">
        <x:f t="shared" si="58"/>
        <x:v/>
      </x:c>
      <x:c r="EU42" s="1589" t="str">
        <x:f t="shared" si="59"/>
        <x:v/>
      </x:c>
      <x:c r="EX42" s="503" t="str">
        <x:f t="shared" ca="1" si="27"/>
        <x:v/>
      </x:c>
      <x:c r="EY42" s="940" t="str">
        <x:f t="shared" si="8"/>
        <x:v/>
      </x:c>
      <x:c r="EZ42" s="940" t="str">
        <x:f t="shared" si="28"/>
        <x:v/>
      </x:c>
      <x:c r="FA42" s="958" t="str">
        <x:f t="shared" ca="1" si="34"/>
        <x:v/>
      </x:c>
      <x:c r="FB42" s="134" t="str">
        <x:f t="shared" ca="1" si="29"/>
        <x:v/>
      </x:c>
      <x:c r="FC42" s="134">
        <x:f t="shared" ca="1" si="9"/>
        <x:v>0</x:v>
      </x:c>
      <x:c r="FD42" s="134">
        <x:f t="shared" ca="1" si="10"/>
        <x:v>0</x:v>
      </x:c>
      <x:c r="FE42" s="134">
        <x:f t="shared" ca="1" si="11"/>
        <x:v>0</x:v>
      </x:c>
      <x:c r="FF42" s="134">
        <x:f t="shared" ca="1" si="30"/>
        <x:v>0</x:v>
      </x:c>
      <x:c r="FN42" s="993" t="b">
        <x:v>0</x:v>
      </x:c>
      <x:c r="FO42" s="754" t="b">
        <x:f t="shared" si="74"/>
        <x:v>1</x:v>
      </x:c>
      <x:c r="FP42" s="754" t="b">
        <x:v>0</x:v>
      </x:c>
      <x:c r="FQ42" s="754" t="b">
        <x:f t="shared" si="31"/>
        <x:v>1</x:v>
      </x:c>
      <x:c r="FX42" s="251"/>
      <x:c r="GA42" s="1761">
        <x:v>56</x:v>
      </x:c>
      <x:c r="GB42" s="1762">
        <x:v>0</x:v>
      </x:c>
      <x:c r="GC42" s="1763">
        <x:v>-0.25</x:v>
      </x:c>
      <x:c r="GD42" s="1764">
        <x:v>-3.375</x:v>
      </x:c>
      <x:c r="GE42" s="1765">
        <x:f t="shared" si="60"/>
        <x:v>0</x:v>
      </x:c>
      <x:c r="GF42" s="582" t="str">
        <x:f t="shared" si="61"/>
        <x:v>G15</x:v>
      </x:c>
      <x:c r="GG42" s="692">
        <x:v>0</x:v>
      </x:c>
      <x:c r="GH42" s="1135">
        <x:v>0</x:v>
      </x:c>
      <x:c r="GI42" s="692"/>
      <x:c r="GJ42" s="1135"/>
      <x:c r="GK42" s="1640">
        <x:f t="shared" si="62"/>
        <x:v>668.375</x:v>
      </x:c>
      <x:c r="GL42" s="1640">
        <x:f t="shared" si="63"/>
        <x:v>668.375</x:v>
      </x:c>
      <x:c r="GM42" s="1641">
        <x:f>IF(ABS(GK42-GL42)&gt;='Job Info.'!$L$22,ABS(GK42-GL42),0)</x:f>
        <x:v>0</x:v>
      </x:c>
      <x:c r="HA42" s="1241" t="s">
        <x:v>1415</x:v>
      </x:c>
      <x:c r="HB42" s="1242">
        <x:v>1</x:v>
      </x:c>
      <x:c r="HC42" s="1242" t="s">
        <x:v>1586</x:v>
      </x:c>
      <x:c r="HD42" s="1243">
        <x:v>55</x:v>
      </x:c>
      <x:c r="HE42" s="1244">
        <x:v>8.375</x:v>
      </x:c>
      <x:c r="HF42" s="1242">
        <x:v>11.125</x:v>
      </x:c>
      <x:c r="HG42" s="1242">
        <x:v>0</x:v>
      </x:c>
      <x:c r="HH42" s="1242">
        <x:v>1.75</x:v>
      </x:c>
      <x:c r="HI42" s="1242" t="s">
        <x:v>113</x:v>
      </x:c>
      <x:c r="HJ42" s="1242">
        <x:v>0</x:v>
      </x:c>
      <x:c r="HK42" s="1242">
        <x:v>5</x:v>
      </x:c>
      <x:c r="HL42" s="1242" t="s">
        <x:v>158</x:v>
      </x:c>
      <x:c r="HM42" s="1242">
        <x:v>7.5</x:v>
      </x:c>
      <x:c r="HN42" s="1242">
        <x:v>10</x:v>
      </x:c>
      <x:c r="HO42" s="1242">
        <x:v>0</x:v>
      </x:c>
      <x:c r="HP42" s="1242">
        <x:v>6.75</x:v>
      </x:c>
      <x:c r="HQ42" s="1242">
        <x:v>0</x:v>
      </x:c>
      <x:c r="HR42" s="1242">
        <x:v>4.625</x:v>
      </x:c>
      <x:c r="HS42" s="1242">
        <x:v>0</x:v>
      </x:c>
      <x:c r="HT42" s="1242">
        <x:v>6.25</x:v>
      </x:c>
      <x:c r="HU42" s="1242">
        <x:v>0</x:v>
      </x:c>
      <x:c r="HV42" s="1242">
        <x:v>4.25</x:v>
      </x:c>
      <x:c r="HW42" s="1242">
        <x:v>5</x:v>
      </x:c>
      <x:c r="HX42" s="1242" t="s">
        <x:v>116</x:v>
      </x:c>
      <x:c r="HY42" s="1246" t="s">
        <x:v>116</x:v>
      </x:c>
      <x:c r="HZ42" s="1246" t="s">
        <x:v>1629</x:v>
      </x:c>
      <x:c r="IA42" s="1246" t="s">
        <x:v>116</x:v>
      </x:c>
      <x:c r="IB42" s="1246"/>
      <x:c r="IC42" s="1246"/>
      <x:c r="ID42" s="1247"/>
      <x:c r="IE42" s="1241"/>
      <x:c r="IF42" s="1242"/>
      <x:c r="IG42" s="1243"/>
      <x:c r="IH42" s="1244"/>
      <x:c r="II42" s="1242"/>
      <x:c r="IJ42" s="1243"/>
      <x:c r="IK42" s="1244"/>
      <x:c r="IL42" s="1242"/>
      <x:c r="IM42" s="1242"/>
      <x:c r="IN42" s="1242"/>
      <x:c r="IO42" s="1242"/>
      <x:c r="IP42" s="1242"/>
      <x:c r="IQ42" s="1242"/>
      <x:c r="IR42" s="1242"/>
      <x:c r="IS42" s="1243"/>
      <x:c r="IT42" s="1244"/>
      <x:c r="IU42" s="1242"/>
      <x:c r="IV42" s="1242"/>
      <x:c r="IW42" s="1243"/>
      <x:c r="IX42" s="1244"/>
      <x:c r="IY42" s="1242"/>
      <x:c r="IZ42" s="1242"/>
      <x:c r="JA42" s="1243"/>
      <x:c r="JB42" s="1244"/>
      <x:c r="JC42" s="1242"/>
      <x:c r="JD42" s="1242"/>
      <x:c r="JE42" s="1243"/>
      <x:c r="JF42" s="1244"/>
      <x:c r="JG42" s="1242"/>
      <x:c r="JH42" s="1242"/>
      <x:c r="JI42" s="1242"/>
      <x:c r="JJ42" s="1245"/>
      <x:c r="JK42" s="1242"/>
      <x:c r="JL42" s="1171">
        <x:f t="shared" ca="1" si="35"/>
        <x:v>0</x:v>
      </x:c>
    </x:row>
    <x:row r="43" spans="1:272" ht="12.6" customHeight="1" x14ac:dyDescent="0.25">
      <x:c r="A43" s="2764" t="s">
        <x:v>1416</x:v>
      </x:c>
      <x:c r="B43" s="2765">
        <x:v>1</x:v>
      </x:c>
      <x:c r="C43" s="2766" t="s">
        <x:v>1586</x:v>
      </x:c>
      <x:c r="D43" s="2767">
        <x:v>55</x:v>
      </x:c>
      <x:c r="E43" s="2768">
        <x:v>11.5</x:v>
      </x:c>
      <x:c r="F43" s="2769">
        <x:v>11.125</x:v>
      </x:c>
      <x:c r="G43" s="2770">
        <x:v>0</x:v>
      </x:c>
      <x:c r="H43" s="2771">
        <x:v>1.75</x:v>
      </x:c>
      <x:c r="I43" s="2772" t="s">
        <x:v>113</x:v>
      </x:c>
      <x:c r="J43" s="2767">
        <x:v>0</x:v>
      </x:c>
      <x:c r="K43" s="2771">
        <x:v>1.75</x:v>
      </x:c>
      <x:c r="L43" s="2773" t="s">
        <x:v>113</x:v>
      </x:c>
      <x:c r="M43" s="2774">
        <x:v>7.5</x:v>
      </x:c>
      <x:c r="N43" s="2775">
        <x:v>7.5</x:v>
      </x:c>
      <x:c r="O43" s="2770">
        <x:v>0</x:v>
      </x:c>
      <x:c r="P43" s="2771">
        <x:v>6.75</x:v>
      </x:c>
      <x:c r="Q43" s="2767">
        <x:v>0</x:v>
      </x:c>
      <x:c r="R43" s="2768">
        <x:v>6.75</x:v>
      </x:c>
      <x:c r="S43" s="2776">
        <x:v>0</x:v>
      </x:c>
      <x:c r="T43" s="2771">
        <x:v>6.25</x:v>
      </x:c>
      <x:c r="U43" s="2767">
        <x:v>0</x:v>
      </x:c>
      <x:c r="V43" s="2771">
        <x:v>6.25</x:v>
      </x:c>
      <x:c r="W43" s="2775">
        <x:v>5</x:v>
      </x:c>
      <x:c r="X43" s="2777" t="str">
        <x:f t="shared" si="48"/>
        <x:v/>
      </x:c>
      <x:c r="Y43" s="2778" t="str">
        <x:f t="shared" si="49"/>
        <x:v/>
      </x:c>
      <x:c r="Z43" s="2779" t="s">
        <x:v>116</x:v>
      </x:c>
      <x:c r="AA43" s="2780" t="str">
        <x:f t="shared" si="50"/>
        <x:v/>
      </x:c>
      <x:c r="AB43" s="2764" t="str">
        <x:f t="shared" si="37"/>
        <x:v/>
      </x:c>
      <x:c r="AC43" s="2772" t="str">
        <x:f t="shared" si="38"/>
        <x:v/>
      </x:c>
      <x:c r="AD43" s="2767" t="str">
        <x:f t="shared" ca="1" si="39"/>
        <x:v/>
      </x:c>
      <x:c r="AE43" s="2771" t="str">
        <x:f t="shared" ca="1" si="40"/>
        <x:v/>
      </x:c>
      <x:c r="AF43" s="2772" t="str">
        <x:f t="shared" ca="1" si="41"/>
        <x:v/>
      </x:c>
      <x:c r="AG43" s="2767" t="str">
        <x:f t="shared" ca="1" si="42"/>
        <x:v/>
      </x:c>
      <x:c r="AH43" s="2771" t="str">
        <x:f t="shared" ca="1" si="43"/>
        <x:v/>
      </x:c>
      <x:c r="AI43" s="2767" t="str">
        <x:f t="shared" ca="1" si="44"/>
        <x:v/>
      </x:c>
      <x:c r="AJ43" s="2771" t="str">
        <x:f t="shared" ca="1" si="45"/>
        <x:v/>
      </x:c>
      <x:c r="AK43" s="2813" t="str">
        <x:f t="shared" si="12"/>
        <x:v/>
      </x:c>
      <x:c r="AL43" s="2814" t="str">
        <x:f t="shared" si="46"/>
        <x:v/>
      </x:c>
      <x:c r="AM43" s="2815" t="str">
        <x:f t="shared" si="80"/>
        <x:v/>
      </x:c>
      <x:c r="AN43" s="2772" t="str">
        <x:f t="shared" si="80"/>
        <x:v/>
      </x:c>
      <x:c r="AO43" s="2816" t="str">
        <x:f t="shared" si="80"/>
        <x:v/>
      </x:c>
      <x:c r="AP43" s="2774" t="str">
        <x:f t="shared" si="3"/>
        <x:v/>
      </x:c>
      <x:c r="AQ43" s="2817" t="str">
        <x:f t="shared" si="3"/>
        <x:v/>
      </x:c>
      <x:c r="AR43" s="2770" t="str">
        <x:f t="shared" si="13"/>
        <x:v/>
      </x:c>
      <x:c r="AS43" s="2771" t="str">
        <x:f t="shared" si="14"/>
        <x:v/>
      </x:c>
      <x:c r="AT43" s="2818" t="str">
        <x:f t="shared" si="15"/>
        <x:v/>
      </x:c>
      <x:c r="AU43" s="2819" t="str">
        <x:f t="shared" si="4"/>
        <x:v/>
      </x:c>
      <x:c r="AV43" s="2776" t="str">
        <x:f t="shared" si="16"/>
        <x:v/>
      </x:c>
      <x:c r="AW43" s="2771" t="str">
        <x:f t="shared" si="17"/>
        <x:v/>
      </x:c>
      <x:c r="AX43" s="2818" t="str">
        <x:f t="shared" si="18"/>
        <x:v/>
      </x:c>
      <x:c r="AY43" s="2819" t="str">
        <x:f t="shared" si="5"/>
        <x:v/>
      </x:c>
      <x:c r="AZ43" s="2776" t="str">
        <x:f t="shared" si="19"/>
        <x:v/>
      </x:c>
      <x:c r="BA43" s="2771" t="str">
        <x:f t="shared" si="20"/>
        <x:v/>
      </x:c>
      <x:c r="BB43" s="2818" t="str">
        <x:f t="shared" si="21"/>
        <x:v/>
      </x:c>
      <x:c r="BC43" s="2819" t="str">
        <x:f t="shared" si="6"/>
        <x:v/>
      </x:c>
      <x:c r="BD43" s="2776" t="str">
        <x:f t="shared" si="22"/>
        <x:v/>
      </x:c>
      <x:c r="BE43" s="2771" t="str">
        <x:f t="shared" si="23"/>
        <x:v/>
      </x:c>
      <x:c r="BF43" s="2818" t="str">
        <x:f t="shared" si="24"/>
        <x:v/>
      </x:c>
      <x:c r="BG43" s="2819" t="str">
        <x:f t="shared" si="7"/>
        <x:v/>
      </x:c>
      <x:c r="BH43" s="261"/>
      <x:c r="BJ43" s="1301" t="str">
        <x:f t="shared" si="75"/>
        <x:v>G16</x:v>
      </x:c>
      <x:c r="BK43" s="993" t="b">
        <x:f t="shared" si="79"/>
        <x:v>0</x:v>
      </x:c>
      <x:c r="BL43" s="1800" t="b">
        <x:v>0</x:v>
      </x:c>
      <x:c r="BM43" s="989">
        <x:f t="shared" si="64"/>
        <x:v>48</x:v>
      </x:c>
      <x:c r="BN43" s="989" t="str">
        <x:f t="shared" si="65"/>
        <x:v>VG</x:v>
      </x:c>
      <x:c r="BO43" s="989">
        <x:f t="shared" si="66"/>
        <x:v>9</x:v>
      </x:c>
      <x:c r="BP43" s="989">
        <x:f t="shared" si="51"/>
        <x:v>13.8</x:v>
      </x:c>
      <x:c r="BQ43" s="989">
        <x:f t="shared" si="67"/>
        <x:v>0</x:v>
      </x:c>
      <x:c r="BR43" s="989" t="b">
        <x:f t="shared" si="68"/>
        <x:v>1</x:v>
      </x:c>
      <x:c r="BS43" s="1302">
        <x:f t="shared" si="69"/>
        <x:v>7.75</x:v>
      </x:c>
      <x:c r="BT43" s="990" t="str">
        <x:f t="shared" si="70"/>
        <x:v>Yes</x:v>
      </x:c>
      <x:c r="BU43" s="1302">
        <x:f t="shared" si="71"/>
        <x:v>7.75</x:v>
      </x:c>
      <x:c r="BV43" s="990" t="str">
        <x:f t="shared" si="72"/>
        <x:v>Yes</x:v>
      </x:c>
      <x:c r="BW43" s="991">
        <x:f t="shared" ca="1" si="25"/>
        <x:v>0</x:v>
      </x:c>
      <x:c r="BX43" s="991" t="str">
        <x:f t="shared" ca="1" si="32"/>
        <x:v/>
      </x:c>
      <x:c r="BY43" s="991" t="b">
        <x:f t="shared" ca="1" si="26"/>
        <x:v>0</x:v>
      </x:c>
      <x:c r="BZ43" s="1303" t="b">
        <x:f t="shared" si="33"/>
        <x:v>0</x:v>
      </x:c>
      <x:c r="CB43" s="672"/>
      <x:c r="CC43" s="1684"/>
      <x:c r="CD43" s="699"/>
      <x:c r="CE43" s="700"/>
      <x:c r="CF43" s="1328"/>
      <x:c r="CG43" s="672"/>
      <x:c r="CH43" s="713"/>
      <x:c r="CI43" s="714"/>
      <x:c r="CJ43" s="713"/>
      <x:c r="CK43" s="714"/>
      <x:c r="CL43" s="715"/>
      <x:c r="CM43" s="743"/>
      <x:c r="CN43" s="738"/>
      <x:c r="CO43" s="1551"/>
      <x:c r="CP43" s="910"/>
      <x:c r="CQ43" s="672"/>
      <x:c r="CR43" s="713"/>
      <x:c r="CS43" s="714"/>
      <x:c r="CT43" s="713"/>
      <x:c r="CU43" s="714"/>
      <x:c r="CV43" s="715"/>
      <x:c r="CW43" s="743"/>
      <x:c r="CX43" s="738"/>
      <x:c r="CY43" s="1551"/>
      <x:c r="CZ43" s="910"/>
      <x:c r="DA43" s="717"/>
      <x:c r="DB43" s="702"/>
      <x:c r="DC43" s="703"/>
      <x:c r="DD43" s="1598"/>
      <x:c r="DE43" s="1599"/>
      <x:c r="DF43" s="141"/>
      <x:c r="DG43" s="141"/>
      <x:c r="DH43" s="672"/>
      <x:c r="DI43" s="673"/>
      <x:c r="DJ43" s="692"/>
      <x:c r="DK43" s="1331"/>
      <x:c r="DL43" s="674"/>
      <x:c r="DM43" s="693"/>
      <x:c r="DN43" s="1334"/>
      <x:c r="DO43" s="675"/>
      <x:c r="DP43" s="676"/>
      <x:c r="DQ43" s="1419"/>
      <x:c r="DR43" s="677"/>
      <x:c r="DS43" s="1611"/>
      <x:c r="DT43" s="1606"/>
      <x:c r="DU43" s="1607"/>
      <x:c r="DV43" s="678"/>
      <x:c r="DW43" s="1336"/>
      <x:c r="DX43" s="679"/>
      <x:c r="DY43" s="674"/>
      <x:c r="DZ43" s="678"/>
      <x:c r="EA43" s="1336"/>
      <x:c r="EB43" s="679"/>
      <x:c r="EC43" s="674"/>
      <x:c r="ED43" s="678"/>
      <x:c r="EE43" s="1336"/>
      <x:c r="EF43" s="679"/>
      <x:c r="EG43" s="674"/>
      <x:c r="EH43" s="678"/>
      <x:c r="EI43" s="1336"/>
      <x:c r="EJ43" s="679"/>
      <x:c r="EK43" s="680"/>
      <x:c r="EL43" s="141"/>
      <x:c r="EM43" s="1631" t="str">
        <x:f t="shared" si="73"/>
        <x:v/>
      </x:c>
      <x:c r="EN43" s="1632" t="str">
        <x:f t="shared" si="52"/>
        <x:v/>
      </x:c>
      <x:c r="EO43" s="648" t="str">
        <x:f t="shared" si="53"/>
        <x:v/>
      </x:c>
      <x:c r="EP43" s="649" t="str">
        <x:f t="shared" si="54"/>
        <x:v/>
      </x:c>
      <x:c r="EQ43" s="813" t="str">
        <x:f t="shared" si="55"/>
        <x:v/>
      </x:c>
      <x:c r="ER43" s="1586" t="str">
        <x:f t="shared" si="56"/>
        <x:v/>
      </x:c>
      <x:c r="ES43" s="1587" t="str">
        <x:f t="shared" si="57"/>
        <x:v/>
      </x:c>
      <x:c r="ET43" s="1588" t="str">
        <x:f t="shared" si="58"/>
        <x:v/>
      </x:c>
      <x:c r="EU43" s="1589" t="str">
        <x:f t="shared" si="59"/>
        <x:v/>
      </x:c>
      <x:c r="EX43" s="503" t="str">
        <x:f t="shared" ca="1" si="27"/>
        <x:v/>
      </x:c>
      <x:c r="EY43" s="940" t="str">
        <x:f t="shared" si="8"/>
        <x:v/>
      </x:c>
      <x:c r="EZ43" s="940" t="str">
        <x:f t="shared" si="28"/>
        <x:v/>
      </x:c>
      <x:c r="FA43" s="958" t="str">
        <x:f t="shared" ca="1" si="34"/>
        <x:v/>
      </x:c>
      <x:c r="FB43" s="134" t="str">
        <x:f t="shared" ca="1" si="29"/>
        <x:v/>
      </x:c>
      <x:c r="FC43" s="134">
        <x:f t="shared" ca="1" si="9"/>
        <x:v>0</x:v>
      </x:c>
      <x:c r="FD43" s="134">
        <x:f t="shared" ca="1" si="10"/>
        <x:v>0</x:v>
      </x:c>
      <x:c r="FE43" s="134">
        <x:f t="shared" ca="1" si="11"/>
        <x:v>0</x:v>
      </x:c>
      <x:c r="FF43" s="134">
        <x:f t="shared" ca="1" si="30"/>
        <x:v>0</x:v>
      </x:c>
      <x:c r="FN43" s="993" t="b">
        <x:v>0</x:v>
      </x:c>
      <x:c r="FO43" s="754" t="b">
        <x:f t="shared" si="74"/>
        <x:v>1</x:v>
      </x:c>
      <x:c r="FP43" s="754" t="b">
        <x:v>0</x:v>
      </x:c>
      <x:c r="FQ43" s="754" t="b">
        <x:f t="shared" si="31"/>
        <x:v>1</x:v>
      </x:c>
      <x:c r="FX43" s="251"/>
      <x:c r="GA43" s="1761">
        <x:v>56</x:v>
      </x:c>
      <x:c r="GB43" s="1762">
        <x:v>0</x:v>
      </x:c>
      <x:c r="GC43" s="1763">
        <x:v>-0.25</x:v>
      </x:c>
      <x:c r="GD43" s="1764">
        <x:v>-0.25</x:v>
      </x:c>
      <x:c r="GE43" s="1765">
        <x:f t="shared" si="60"/>
        <x:v>0</x:v>
      </x:c>
      <x:c r="GF43" s="582" t="str">
        <x:f t="shared" si="61"/>
        <x:v>G16</x:v>
      </x:c>
      <x:c r="GG43" s="692">
        <x:v>0</x:v>
      </x:c>
      <x:c r="GH43" s="1135">
        <x:v>0</x:v>
      </x:c>
      <x:c r="GI43" s="692"/>
      <x:c r="GJ43" s="1135"/>
      <x:c r="GK43" s="1640">
        <x:f t="shared" si="62"/>
        <x:v>671.5</x:v>
      </x:c>
      <x:c r="GL43" s="1640">
        <x:f t="shared" si="63"/>
        <x:v>671.5</x:v>
      </x:c>
      <x:c r="GM43" s="1641">
        <x:f>IF(ABS(GK43-GL43)&gt;='Job Info.'!$L$22,ABS(GK43-GL43),0)</x:f>
        <x:v>0</x:v>
      </x:c>
      <x:c r="HA43" s="1241" t="s">
        <x:v>1416</x:v>
      </x:c>
      <x:c r="HB43" s="1242">
        <x:v>1</x:v>
      </x:c>
      <x:c r="HC43" s="1242" t="s">
        <x:v>1586</x:v>
      </x:c>
      <x:c r="HD43" s="1243">
        <x:v>55</x:v>
      </x:c>
      <x:c r="HE43" s="1244">
        <x:v>11.5</x:v>
      </x:c>
      <x:c r="HF43" s="1242">
        <x:v>11.125</x:v>
      </x:c>
      <x:c r="HG43" s="1242">
        <x:v>0</x:v>
      </x:c>
      <x:c r="HH43" s="1242">
        <x:v>1.75</x:v>
      </x:c>
      <x:c r="HI43" s="1242" t="s">
        <x:v>113</x:v>
      </x:c>
      <x:c r="HJ43" s="1242">
        <x:v>0</x:v>
      </x:c>
      <x:c r="HK43" s="1242">
        <x:v>1.75</x:v>
      </x:c>
      <x:c r="HL43" s="1242" t="s">
        <x:v>113</x:v>
      </x:c>
      <x:c r="HM43" s="1242">
        <x:v>7.5</x:v>
      </x:c>
      <x:c r="HN43" s="1242">
        <x:v>7.5</x:v>
      </x:c>
      <x:c r="HO43" s="1242">
        <x:v>0</x:v>
      </x:c>
      <x:c r="HP43" s="1242">
        <x:v>6.75</x:v>
      </x:c>
      <x:c r="HQ43" s="1242">
        <x:v>0</x:v>
      </x:c>
      <x:c r="HR43" s="1242">
        <x:v>6.75</x:v>
      </x:c>
      <x:c r="HS43" s="1242">
        <x:v>0</x:v>
      </x:c>
      <x:c r="HT43" s="1242">
        <x:v>6.25</x:v>
      </x:c>
      <x:c r="HU43" s="1242">
        <x:v>0</x:v>
      </x:c>
      <x:c r="HV43" s="1242">
        <x:v>6.25</x:v>
      </x:c>
      <x:c r="HW43" s="1242">
        <x:v>5</x:v>
      </x:c>
      <x:c r="HX43" s="1242" t="s">
        <x:v>116</x:v>
      </x:c>
      <x:c r="HY43" s="1246" t="s">
        <x:v>116</x:v>
      </x:c>
      <x:c r="HZ43" s="1246" t="s">
        <x:v>116</x:v>
      </x:c>
      <x:c r="IA43" s="1246" t="s">
        <x:v>116</x:v>
      </x:c>
      <x:c r="IB43" s="1246"/>
      <x:c r="IC43" s="1246"/>
      <x:c r="ID43" s="1247"/>
      <x:c r="IE43" s="1241"/>
      <x:c r="IF43" s="1242"/>
      <x:c r="IG43" s="1243"/>
      <x:c r="IH43" s="1244"/>
      <x:c r="II43" s="1242"/>
      <x:c r="IJ43" s="1243"/>
      <x:c r="IK43" s="1244"/>
      <x:c r="IL43" s="1242"/>
      <x:c r="IM43" s="1242"/>
      <x:c r="IN43" s="1242"/>
      <x:c r="IO43" s="1242"/>
      <x:c r="IP43" s="1242"/>
      <x:c r="IQ43" s="1242"/>
      <x:c r="IR43" s="1242"/>
      <x:c r="IS43" s="1243"/>
      <x:c r="IT43" s="1244"/>
      <x:c r="IU43" s="1242"/>
      <x:c r="IV43" s="1242"/>
      <x:c r="IW43" s="1243"/>
      <x:c r="IX43" s="1244"/>
      <x:c r="IY43" s="1242"/>
      <x:c r="IZ43" s="1242"/>
      <x:c r="JA43" s="1243"/>
      <x:c r="JB43" s="1244"/>
      <x:c r="JC43" s="1242"/>
      <x:c r="JD43" s="1242"/>
      <x:c r="JE43" s="1243"/>
      <x:c r="JF43" s="1244"/>
      <x:c r="JG43" s="1242"/>
      <x:c r="JH43" s="1242"/>
      <x:c r="JI43" s="1242"/>
      <x:c r="JJ43" s="1245"/>
      <x:c r="JK43" s="1242"/>
      <x:c r="JL43" s="1171">
        <x:f t="shared" ca="1" si="35"/>
        <x:v>0</x:v>
      </x:c>
    </x:row>
    <x:row r="44" spans="1:272" ht="12.6" customHeight="1" x14ac:dyDescent="0.25">
      <x:c r="A44" s="2764" t="str">
        <x:f t="shared" ref="A44:C45" si="81">IF(ISBLANK(CB44),"",CB44)</x:f>
        <x:v/>
      </x:c>
      <x:c r="B44" s="2765"/>
      <x:c r="C44" s="2766" t="str">
        <x:f t="shared" si="81"/>
        <x:v/>
      </x:c>
      <x:c r="D44" s="2767" t="str">
        <x:f t="shared" ref="D44" si="82">IF(CV84="","",TRUNC(CV84/12))</x:f>
        <x:v/>
      </x:c>
      <x:c r="E44" s="2768" t="str">
        <x:f t="shared" ref="E44" si="83">IF(CV84="","",CV84-(D44*12))</x:f>
        <x:v/>
      </x:c>
      <x:c r="F44" s="2769" t="str">
        <x:f t="shared" ref="F44:F45" si="84">IF(ISBLANK(DE44),"",DE44)</x:f>
        <x:v/>
      </x:c>
      <x:c r="G44" s="2770" t="str">
        <x:f t="shared" ref="G44" si="85">IF(DD84=0,"",TRUNC(DD84/12))</x:f>
        <x:v/>
      </x:c>
      <x:c r="H44" s="2771" t="str">
        <x:f t="shared" ref="H44" si="86">IF(DD84=0,"",DD84-(G44*12))</x:f>
        <x:v/>
      </x:c>
      <x:c r="I44" s="2772" t="str">
        <x:f t="shared" ref="I44" si="87">IF(DD84=0,"",CE84)</x:f>
        <x:v/>
      </x:c>
      <x:c r="J44" s="2767" t="str">
        <x:f t="shared" si="76"/>
        <x:v/>
      </x:c>
      <x:c r="K44" s="2771" t="str">
        <x:f t="shared" si="77"/>
        <x:v/>
      </x:c>
      <x:c r="L44" s="2773" t="str">
        <x:f t="shared" si="78"/>
        <x:v/>
      </x:c>
      <x:c r="M44" s="2774" t="str">
        <x:f t="shared" ref="M44:N45" si="88">IF(CW84="","",CW84)</x:f>
        <x:v/>
      </x:c>
      <x:c r="N44" s="2775" t="str">
        <x:f t="shared" si="88"/>
        <x:v/>
      </x:c>
      <x:c r="O44" s="2770" t="str">
        <x:f t="shared" ref="O44" si="89">IF(DZ84="","",IF(AND(DZ84&gt;-12,DZ84&lt;0),-0.000001,TRUNC(DZ84/12)))</x:f>
        <x:v/>
      </x:c>
      <x:c r="P44" s="2771" t="str">
        <x:f t="shared" ref="P44" si="90">IF(DZ84="","",IF(AND(DZ84&lt;0,DZ84-(O44*12)=0),-0.00001,DZ84-(O44*12)))</x:f>
        <x:v/>
      </x:c>
      <x:c r="Q44" s="2767" t="str">
        <x:f t="shared" ref="Q44" si="91">IF(EA84="","",IF(AND(EA84&gt;-12,EA84&lt;0),-0.000001,TRUNC(EA84/12)))</x:f>
        <x:v/>
      </x:c>
      <x:c r="R44" s="2768" t="str">
        <x:f t="shared" ref="R44" si="92">IF(EA84="","",IF(AND(EA84&lt;0,EA84-(Q44*12)=0),-0.00001,EA84-(Q44*12)))</x:f>
        <x:v/>
      </x:c>
      <x:c r="S44" s="2776" t="str">
        <x:f t="shared" ref="S44" si="93">IF(DR84="","",IF(DR84="ERR",TRUNC(DQ84/12),TRUNC(DR84/12)))</x:f>
        <x:v/>
      </x:c>
      <x:c r="T44" s="2771" t="str">
        <x:f t="shared" ref="T44" si="94">IF(DR84="","",IF(DR84="ERR",DQ84-(S44*12),DR84-(S44*12)))</x:f>
        <x:v/>
      </x:c>
      <x:c r="U44" s="2767" t="str">
        <x:f t="shared" ref="U44" si="95">IF(DY84="","",IF(DY84="ERR",TRUNC(DX84/12),TRUNC(DY84/12)))</x:f>
        <x:v/>
      </x:c>
      <x:c r="V44" s="2771" t="str">
        <x:f t="shared" ref="V44" si="96">IF(DY84="","",IF(DY84="ERR",DX84-(U44*12),DY84-(U44*12)))</x:f>
        <x:v/>
      </x:c>
      <x:c r="W44" s="2775">
        <x:f t="shared" ref="W44" si="97">IF(EC84="",0,EC84)</x:f>
        <x:v>0</x:v>
      </x:c>
      <x:c r="X44" s="2777" t="str">
        <x:f t="shared" si="48"/>
        <x:v/>
      </x:c>
      <x:c r="Y44" s="2778" t="str">
        <x:f t="shared" si="49"/>
        <x:v/>
      </x:c>
      <x:c r="Z44" s="2779" t="s">
        <x:v>116</x:v>
      </x:c>
      <x:c r="AA44" s="2780" t="str">
        <x:f t="shared" si="50"/>
        <x:v/>
      </x:c>
      <x:c r="AB44" s="2764" t="str">
        <x:f t="shared" si="37"/>
        <x:v/>
      </x:c>
      <x:c r="AC44" s="2772" t="str">
        <x:f t="shared" si="38"/>
        <x:v/>
      </x:c>
      <x:c r="AD44" s="2767" t="str">
        <x:f t="shared" ca="1" si="39"/>
        <x:v/>
      </x:c>
      <x:c r="AE44" s="2771" t="str">
        <x:f t="shared" ca="1" si="40"/>
        <x:v/>
      </x:c>
      <x:c r="AF44" s="2772" t="str">
        <x:f t="shared" ca="1" si="41"/>
        <x:v/>
      </x:c>
      <x:c r="AG44" s="2767" t="str">
        <x:f t="shared" ca="1" si="42"/>
        <x:v/>
      </x:c>
      <x:c r="AH44" s="2771" t="str">
        <x:f t="shared" ca="1" si="43"/>
        <x:v/>
      </x:c>
      <x:c r="AI44" s="2767" t="str">
        <x:f t="shared" ca="1" si="44"/>
        <x:v/>
      </x:c>
      <x:c r="AJ44" s="2771" t="str">
        <x:f t="shared" ca="1" si="45"/>
        <x:v/>
      </x:c>
      <x:c r="AK44" s="2813" t="str">
        <x:f t="shared" si="12"/>
        <x:v/>
      </x:c>
      <x:c r="AL44" s="2814" t="str">
        <x:f t="shared" si="46"/>
        <x:v/>
      </x:c>
      <x:c r="AM44" s="2815" t="str">
        <x:f t="shared" si="80"/>
        <x:v/>
      </x:c>
      <x:c r="AN44" s="2772" t="str">
        <x:f t="shared" si="80"/>
        <x:v/>
      </x:c>
      <x:c r="AO44" s="2816" t="str">
        <x:f t="shared" si="80"/>
        <x:v/>
      </x:c>
      <x:c r="AP44" s="2774" t="str">
        <x:f t="shared" si="3"/>
        <x:v/>
      </x:c>
      <x:c r="AQ44" s="2817" t="str">
        <x:f t="shared" si="3"/>
        <x:v/>
      </x:c>
      <x:c r="AR44" s="2770" t="str">
        <x:f t="shared" si="13"/>
        <x:v/>
      </x:c>
      <x:c r="AS44" s="2771" t="str">
        <x:f t="shared" si="14"/>
        <x:v/>
      </x:c>
      <x:c r="AT44" s="2818" t="str">
        <x:f t="shared" si="15"/>
        <x:v/>
      </x:c>
      <x:c r="AU44" s="2819" t="str">
        <x:f t="shared" si="4"/>
        <x:v/>
      </x:c>
      <x:c r="AV44" s="2776" t="str">
        <x:f t="shared" si="16"/>
        <x:v/>
      </x:c>
      <x:c r="AW44" s="2771" t="str">
        <x:f t="shared" si="17"/>
        <x:v/>
      </x:c>
      <x:c r="AX44" s="2818" t="str">
        <x:f t="shared" si="18"/>
        <x:v/>
      </x:c>
      <x:c r="AY44" s="2819" t="str">
        <x:f t="shared" si="5"/>
        <x:v/>
      </x:c>
      <x:c r="AZ44" s="2776" t="str">
        <x:f t="shared" si="19"/>
        <x:v/>
      </x:c>
      <x:c r="BA44" s="2771" t="str">
        <x:f t="shared" si="20"/>
        <x:v/>
      </x:c>
      <x:c r="BB44" s="2818" t="str">
        <x:f t="shared" si="21"/>
        <x:v/>
      </x:c>
      <x:c r="BC44" s="2819" t="str">
        <x:f t="shared" si="6"/>
        <x:v/>
      </x:c>
      <x:c r="BD44" s="2776" t="str">
        <x:f t="shared" si="22"/>
        <x:v/>
      </x:c>
      <x:c r="BE44" s="2771" t="str">
        <x:f t="shared" si="23"/>
        <x:v/>
      </x:c>
      <x:c r="BF44" s="2818" t="str">
        <x:f t="shared" si="24"/>
        <x:v/>
      </x:c>
      <x:c r="BG44" s="2819" t="str">
        <x:f t="shared" si="7"/>
        <x:v/>
      </x:c>
      <x:c r="BH44" s="261"/>
      <x:c r="BJ44" s="1301" t="str">
        <x:f t="shared" si="75"/>
        <x:v/>
      </x:c>
      <x:c r="BK44" s="993" t="b">
        <x:f t="shared" si="79"/>
        <x:v>0</x:v>
      </x:c>
      <x:c r="BL44" s="1800" t="b">
        <x:v>0</x:v>
      </x:c>
      <x:c r="BM44" s="989">
        <x:f t="shared" si="64"/>
        <x:v>0</x:v>
      </x:c>
      <x:c r="BN44" s="989">
        <x:f t="shared" si="65"/>
        <x:v>0</x:v>
      </x:c>
      <x:c r="BO44" s="989">
        <x:f t="shared" si="66"/>
        <x:v>0</x:v>
      </x:c>
      <x:c r="BP44" s="989">
        <x:f t="shared" si="51"/>
        <x:v>0</x:v>
      </x:c>
      <x:c r="BQ44" s="989">
        <x:f t="shared" si="67"/>
        <x:v>0</x:v>
      </x:c>
      <x:c r="BR44" s="989" t="b">
        <x:f t="shared" si="68"/>
        <x:v>1</x:v>
      </x:c>
      <x:c r="BS44" s="1302">
        <x:f t="shared" si="69"/>
        <x:v>6</x:v>
      </x:c>
      <x:c r="BT44" s="990" t="str">
        <x:f t="shared" si="70"/>
        <x:v>No</x:v>
      </x:c>
      <x:c r="BU44" s="1302">
        <x:f t="shared" si="71"/>
        <x:v>6</x:v>
      </x:c>
      <x:c r="BV44" s="990" t="str">
        <x:f t="shared" si="72"/>
        <x:v>No</x:v>
      </x:c>
      <x:c r="BW44" s="991">
        <x:f t="shared" ca="1" si="25"/>
        <x:v>0</x:v>
      </x:c>
      <x:c r="BX44" s="991" t="str">
        <x:f t="shared" ca="1" si="32"/>
        <x:v/>
      </x:c>
      <x:c r="BY44" s="991" t="b">
        <x:f t="shared" ca="1" si="26"/>
        <x:v>0</x:v>
      </x:c>
      <x:c r="BZ44" s="1303" t="b">
        <x:f t="shared" si="33"/>
        <x:v>0</x:v>
      </x:c>
      <x:c r="CB44" s="672"/>
      <x:c r="CC44" s="1684"/>
      <x:c r="CD44" s="699"/>
      <x:c r="CE44" s="700"/>
      <x:c r="CF44" s="1328"/>
      <x:c r="CG44" s="672"/>
      <x:c r="CH44" s="713"/>
      <x:c r="CI44" s="714"/>
      <x:c r="CJ44" s="713"/>
      <x:c r="CK44" s="714"/>
      <x:c r="CL44" s="715"/>
      <x:c r="CM44" s="743"/>
      <x:c r="CN44" s="738"/>
      <x:c r="CO44" s="1551"/>
      <x:c r="CP44" s="910"/>
      <x:c r="CQ44" s="672"/>
      <x:c r="CR44" s="713"/>
      <x:c r="CS44" s="714"/>
      <x:c r="CT44" s="713"/>
      <x:c r="CU44" s="714"/>
      <x:c r="CV44" s="715"/>
      <x:c r="CW44" s="743"/>
      <x:c r="CX44" s="738"/>
      <x:c r="CY44" s="1551"/>
      <x:c r="CZ44" s="910"/>
      <x:c r="DA44" s="717"/>
      <x:c r="DB44" s="702"/>
      <x:c r="DC44" s="703"/>
      <x:c r="DD44" s="1598"/>
      <x:c r="DE44" s="1599"/>
      <x:c r="DF44" s="141"/>
      <x:c r="DG44" s="141"/>
      <x:c r="DH44" s="745"/>
      <x:c r="DI44" s="673"/>
      <x:c r="DJ44" s="692"/>
      <x:c r="DK44" s="1331"/>
      <x:c r="DL44" s="674"/>
      <x:c r="DM44" s="693"/>
      <x:c r="DN44" s="1334"/>
      <x:c r="DO44" s="675"/>
      <x:c r="DP44" s="676"/>
      <x:c r="DQ44" s="1419"/>
      <x:c r="DR44" s="677"/>
      <x:c r="DS44" s="1611"/>
      <x:c r="DT44" s="1606"/>
      <x:c r="DU44" s="1607"/>
      <x:c r="DV44" s="678"/>
      <x:c r="DW44" s="1336"/>
      <x:c r="DX44" s="679"/>
      <x:c r="DY44" s="674"/>
      <x:c r="DZ44" s="678"/>
      <x:c r="EA44" s="1336"/>
      <x:c r="EB44" s="679"/>
      <x:c r="EC44" s="674"/>
      <x:c r="ED44" s="678"/>
      <x:c r="EE44" s="1336"/>
      <x:c r="EF44" s="679"/>
      <x:c r="EG44" s="674"/>
      <x:c r="EH44" s="678"/>
      <x:c r="EI44" s="1336"/>
      <x:c r="EJ44" s="679"/>
      <x:c r="EK44" s="680"/>
      <x:c r="EL44" s="141"/>
      <x:c r="EM44" s="1631" t="str">
        <x:f t="shared" si="73"/>
        <x:v/>
      </x:c>
      <x:c r="EN44" s="1632" t="str">
        <x:f t="shared" si="52"/>
        <x:v/>
      </x:c>
      <x:c r="EO44" s="648" t="str">
        <x:f t="shared" si="53"/>
        <x:v/>
      </x:c>
      <x:c r="EP44" s="649" t="str">
        <x:f t="shared" si="54"/>
        <x:v/>
      </x:c>
      <x:c r="EQ44" s="813" t="str">
        <x:f t="shared" si="55"/>
        <x:v/>
      </x:c>
      <x:c r="ER44" s="1586" t="str">
        <x:f t="shared" si="56"/>
        <x:v/>
      </x:c>
      <x:c r="ES44" s="1587" t="str">
        <x:f t="shared" si="57"/>
        <x:v/>
      </x:c>
      <x:c r="ET44" s="1588" t="str">
        <x:f t="shared" si="58"/>
        <x:v/>
      </x:c>
      <x:c r="EU44" s="1589" t="str">
        <x:f t="shared" si="59"/>
        <x:v/>
      </x:c>
      <x:c r="EX44" s="503" t="str">
        <x:f t="shared" ca="1" si="27"/>
        <x:v/>
      </x:c>
      <x:c r="EY44" s="940" t="str">
        <x:f t="shared" si="8"/>
        <x:v/>
      </x:c>
      <x:c r="EZ44" s="940" t="str">
        <x:f t="shared" si="28"/>
        <x:v/>
      </x:c>
      <x:c r="FA44" s="958" t="str">
        <x:f t="shared" ca="1" si="34"/>
        <x:v/>
      </x:c>
      <x:c r="FB44" s="134" t="str">
        <x:f t="shared" ca="1" si="29"/>
        <x:v/>
      </x:c>
      <x:c r="FC44" s="134">
        <x:f t="shared" ca="1" si="9"/>
        <x:v>0</x:v>
      </x:c>
      <x:c r="FD44" s="134">
        <x:f t="shared" ca="1" si="10"/>
        <x:v>0</x:v>
      </x:c>
      <x:c r="FE44" s="134">
        <x:f t="shared" ca="1" si="11"/>
        <x:v>0</x:v>
      </x:c>
      <x:c r="FF44" s="134">
        <x:f t="shared" ca="1" si="30"/>
        <x:v>0</x:v>
      </x:c>
      <x:c r="FN44" s="993" t="b">
        <x:v>0</x:v>
      </x:c>
      <x:c r="FO44" s="754" t="b">
        <x:f t="shared" si="74"/>
        <x:v>1</x:v>
      </x:c>
      <x:c r="FP44" s="754" t="b">
        <x:v>0</x:v>
      </x:c>
      <x:c r="FQ44" s="754" t="b">
        <x:f t="shared" si="31"/>
        <x:v>1</x:v>
      </x:c>
      <x:c r="FX44" s="251"/>
      <x:c r="GA44" s="1761" t="str">
        <x:f t="shared" ref="GA44:GA45" si="98">IF(GF44="","",CE44)</x:f>
        <x:v/>
      </x:c>
      <x:c r="GB44" s="1762" t="str">
        <x:f t="shared" ref="GB44:GB45" si="99">IF(GF44="","",CF44)</x:f>
        <x:v/>
      </x:c>
      <x:c r="GC44" s="1763" t="str">
        <x:f t="shared" ref="GC44:GC45" si="100">IF(GF44="","",IF(CD84="",0,CD84))</x:f>
        <x:v/>
      </x:c>
      <x:c r="GD44" s="1764" t="str">
        <x:f t="shared" ref="GD44:GD45" si="101">IF(GF44="","",IF(CM84="",0,CM84))</x:f>
        <x:v/>
      </x:c>
      <x:c r="GE44" s="1765" t="str">
        <x:f t="shared" si="60"/>
        <x:v/>
      </x:c>
      <x:c r="GF44" s="582" t="str">
        <x:f t="shared" si="61"/>
        <x:v/>
      </x:c>
      <x:c r="GG44" s="692"/>
      <x:c r="GH44" s="1135"/>
      <x:c r="GI44" s="692"/>
      <x:c r="GJ44" s="1135"/>
      <x:c r="GK44" s="1640">
        <x:f t="shared" si="62"/>
        <x:v>0</x:v>
      </x:c>
      <x:c r="GL44" s="1640" t="e">
        <x:f t="shared" si="63"/>
        <x:v>#VALUE!</x:v>
      </x:c>
      <x:c r="GM44" s="1641" t="e">
        <x:f>IF(ABS(GK44-GL44)&gt;='Job Info.'!$L$22,ABS(GK44-GL44),0)</x:f>
        <x:v>#VALUE!</x:v>
      </x:c>
      <x:c r="GO44" s="140"/>
      <x:c r="HA44" s="1241"/>
      <x:c r="HB44" s="1242"/>
      <x:c r="HC44" s="1242"/>
      <x:c r="HD44" s="1243"/>
      <x:c r="HE44" s="1244"/>
      <x:c r="HF44" s="1242"/>
      <x:c r="HG44" s="1242"/>
      <x:c r="HH44" s="1242"/>
      <x:c r="HI44" s="1242"/>
      <x:c r="HJ44" s="1242"/>
      <x:c r="HK44" s="1242"/>
      <x:c r="HL44" s="1242"/>
      <x:c r="HM44" s="1242"/>
      <x:c r="HN44" s="1242"/>
      <x:c r="HO44" s="1242"/>
      <x:c r="HP44" s="1242"/>
      <x:c r="HQ44" s="1242"/>
      <x:c r="HR44" s="1242"/>
      <x:c r="HS44" s="1242"/>
      <x:c r="HT44" s="1242"/>
      <x:c r="HU44" s="1242"/>
      <x:c r="HV44" s="1242"/>
      <x:c r="HW44" s="1242"/>
      <x:c r="HX44" s="1242"/>
      <x:c r="HY44" s="1246"/>
      <x:c r="HZ44" s="1246"/>
      <x:c r="IA44" s="1246"/>
      <x:c r="IB44" s="1246"/>
      <x:c r="IC44" s="1246"/>
      <x:c r="ID44" s="1247"/>
      <x:c r="IE44" s="1241"/>
      <x:c r="IF44" s="1242"/>
      <x:c r="IG44" s="1243"/>
      <x:c r="IH44" s="1244"/>
      <x:c r="II44" s="1242"/>
      <x:c r="IJ44" s="1243"/>
      <x:c r="IK44" s="1244"/>
      <x:c r="IL44" s="1242"/>
      <x:c r="IM44" s="1242"/>
      <x:c r="IN44" s="1242"/>
      <x:c r="IO44" s="1242"/>
      <x:c r="IP44" s="1242"/>
      <x:c r="IQ44" s="1242"/>
      <x:c r="IR44" s="1242"/>
      <x:c r="IS44" s="1243"/>
      <x:c r="IT44" s="1244"/>
      <x:c r="IU44" s="1242"/>
      <x:c r="IV44" s="1242"/>
      <x:c r="IW44" s="1243"/>
      <x:c r="IX44" s="1244"/>
      <x:c r="IY44" s="1242"/>
      <x:c r="IZ44" s="1242"/>
      <x:c r="JA44" s="1243"/>
      <x:c r="JB44" s="1244"/>
      <x:c r="JC44" s="1242"/>
      <x:c r="JD44" s="1242"/>
      <x:c r="JE44" s="1243"/>
      <x:c r="JF44" s="1244"/>
      <x:c r="JG44" s="1242"/>
      <x:c r="JH44" s="1242"/>
      <x:c r="JI44" s="1242"/>
      <x:c r="JJ44" s="1245"/>
      <x:c r="JK44" s="1242"/>
      <x:c r="JL44" s="1171">
        <x:f t="shared" ca="1" si="35"/>
        <x:v>0</x:v>
      </x:c>
    </x:row>
    <x:row r="45" spans="1:272" ht="12.6" customHeight="1" thickBot="1" x14ac:dyDescent="0.35">
      <x:c r="A45" s="2782" t="str">
        <x:f t="shared" si="81"/>
        <x:v/>
      </x:c>
      <x:c r="B45" s="2783"/>
      <x:c r="C45" s="2784" t="str">
        <x:f t="shared" si="81"/>
        <x:v/>
      </x:c>
      <x:c r="D45" s="2785" t="str">
        <x:f>IF(CV85="","",TRUNC(CV85/12))</x:f>
        <x:v/>
      </x:c>
      <x:c r="E45" s="2786" t="str">
        <x:f>IF(CV85="","",CV85-(D45*12))</x:f>
        <x:v/>
      </x:c>
      <x:c r="F45" s="2787" t="str">
        <x:f t="shared" si="84"/>
        <x:v/>
      </x:c>
      <x:c r="G45" s="2788" t="str">
        <x:f>IF(DD85=0,"",TRUNC(DD85/12))</x:f>
        <x:v/>
      </x:c>
      <x:c r="H45" s="2789" t="str">
        <x:f>IF(DD85=0,"",DD85-(G45*12))</x:f>
        <x:v/>
      </x:c>
      <x:c r="I45" s="2790" t="str">
        <x:f>IF(DD85=0,"",CE85)</x:f>
        <x:v/>
      </x:c>
      <x:c r="J45" s="2785" t="str">
        <x:f>IF(DJ85=0,"",TRUNC(DJ85/12))</x:f>
        <x:v/>
      </x:c>
      <x:c r="K45" s="2789" t="str">
        <x:f>IF(DJ85=0,"",DJ85-(J45*12))</x:f>
        <x:v/>
      </x:c>
      <x:c r="L45" s="2791" t="str">
        <x:f>IF(DJ85=0,"",CN85)</x:f>
        <x:v/>
      </x:c>
      <x:c r="M45" s="2792" t="str">
        <x:f t="shared" si="88"/>
        <x:v/>
      </x:c>
      <x:c r="N45" s="2793" t="str">
        <x:f t="shared" si="88"/>
        <x:v/>
      </x:c>
      <x:c r="O45" s="2788" t="str">
        <x:f>IF(DZ85="","",IF(AND(DZ85&gt;-12,DZ85&lt;0),-0.000001,TRUNC(DZ85/12)))</x:f>
        <x:v/>
      </x:c>
      <x:c r="P45" s="2789" t="str">
        <x:f>IF(DZ85="","",IF(AND(DZ85&lt;0,DZ85-(O45*12)=0),-0.00001,DZ85-(O45*12)))</x:f>
        <x:v/>
      </x:c>
      <x:c r="Q45" s="2785" t="str">
        <x:f>IF(EA85="","",IF(AND(EA85&gt;-12,EA85&lt;0),-0.000001,TRUNC(EA85/12)))</x:f>
        <x:v/>
      </x:c>
      <x:c r="R45" s="2786" t="str">
        <x:f>IF(EA85="","",IF(AND(EA85&lt;0,EA85-(Q45*12)=0),-0.00001,EA85-(Q45*12)))</x:f>
        <x:v/>
      </x:c>
      <x:c r="S45" s="2794" t="str">
        <x:f>IF(DR85="","",IF(DR85="ERR",TRUNC(DQ85/12),TRUNC(DR85/12)))</x:f>
        <x:v/>
      </x:c>
      <x:c r="T45" s="2789" t="str">
        <x:f>IF(DR85="","",IF(DR85="ERR",DQ85-(S45*12),DR85-(S45*12)))</x:f>
        <x:v/>
      </x:c>
      <x:c r="U45" s="2785" t="str">
        <x:f>IF(DY85="","",IF(DY85="ERR",TRUNC(DX85/12),TRUNC(DY85/12)))</x:f>
        <x:v/>
      </x:c>
      <x:c r="V45" s="2789" t="str">
        <x:f>IF(DY85="","",IF(DY85="ERR",DX85-(U45*12),DY85-(U45*12)))</x:f>
        <x:v/>
      </x:c>
      <x:c r="W45" s="2793">
        <x:f>IF(EC85="",0,EC85)</x:f>
        <x:v>0</x:v>
      </x:c>
      <x:c r="X45" s="2795" t="str">
        <x:f>IF(EN85="","",EN85)</x:f>
        <x:v/>
      </x:c>
      <x:c r="Y45" s="2796" t="str">
        <x:f>IF(ES85="","",ES85)</x:f>
        <x:v/>
      </x:c>
      <x:c r="Z45" s="2797" t="s">
        <x:v>116</x:v>
      </x:c>
      <x:c r="AA45" s="2798" t="str">
        <x:f t="shared" si="50"/>
        <x:v/>
      </x:c>
      <x:c r="AB45" s="2782" t="str">
        <x:f t="shared" si="37"/>
        <x:v/>
      </x:c>
      <x:c r="AC45" s="2790" t="str">
        <x:f t="shared" si="38"/>
        <x:v/>
      </x:c>
      <x:c r="AD45" s="2785" t="str">
        <x:f t="shared" ca="1" si="39"/>
        <x:v/>
      </x:c>
      <x:c r="AE45" s="2789" t="str">
        <x:f t="shared" ca="1" si="40"/>
        <x:v/>
      </x:c>
      <x:c r="AF45" s="2790" t="str">
        <x:f t="shared" ca="1" si="41"/>
        <x:v/>
      </x:c>
      <x:c r="AG45" s="2785" t="str">
        <x:f t="shared" ca="1" si="42"/>
        <x:v/>
      </x:c>
      <x:c r="AH45" s="2789" t="str">
        <x:f t="shared" ca="1" si="43"/>
        <x:v/>
      </x:c>
      <x:c r="AI45" s="2785" t="str">
        <x:f t="shared" ca="1" si="44"/>
        <x:v/>
      </x:c>
      <x:c r="AJ45" s="2789" t="str">
        <x:f t="shared" ca="1" si="45"/>
        <x:v/>
      </x:c>
      <x:c r="AK45" s="2820" t="str">
        <x:f t="shared" si="12"/>
        <x:v/>
      </x:c>
      <x:c r="AL45" s="2821" t="str">
        <x:f t="shared" si="46"/>
        <x:v/>
      </x:c>
      <x:c r="AM45" s="2822" t="str">
        <x:f t="shared" si="80"/>
        <x:v/>
      </x:c>
      <x:c r="AN45" s="2790" t="str">
        <x:f t="shared" si="80"/>
        <x:v/>
      </x:c>
      <x:c r="AO45" s="2823" t="str">
        <x:f t="shared" si="80"/>
        <x:v/>
      </x:c>
      <x:c r="AP45" s="2792" t="str">
        <x:f t="shared" si="3"/>
        <x:v/>
      </x:c>
      <x:c r="AQ45" s="2824" t="str">
        <x:f t="shared" si="3"/>
        <x:v/>
      </x:c>
      <x:c r="AR45" s="2788" t="str">
        <x:f t="shared" si="13"/>
        <x:v/>
      </x:c>
      <x:c r="AS45" s="2789" t="str">
        <x:f t="shared" si="14"/>
        <x:v/>
      </x:c>
      <x:c r="AT45" s="2825" t="str">
        <x:f t="shared" si="15"/>
        <x:v/>
      </x:c>
      <x:c r="AU45" s="2826" t="str">
        <x:f t="shared" si="4"/>
        <x:v/>
      </x:c>
      <x:c r="AV45" s="2794" t="str">
        <x:f t="shared" si="16"/>
        <x:v/>
      </x:c>
      <x:c r="AW45" s="2789" t="str">
        <x:f t="shared" si="17"/>
        <x:v/>
      </x:c>
      <x:c r="AX45" s="2825" t="str">
        <x:f t="shared" si="18"/>
        <x:v/>
      </x:c>
      <x:c r="AY45" s="2826" t="str">
        <x:f t="shared" si="5"/>
        <x:v/>
      </x:c>
      <x:c r="AZ45" s="2794" t="str">
        <x:f t="shared" si="19"/>
        <x:v/>
      </x:c>
      <x:c r="BA45" s="2789" t="str">
        <x:f t="shared" si="20"/>
        <x:v/>
      </x:c>
      <x:c r="BB45" s="2825" t="str">
        <x:f t="shared" si="21"/>
        <x:v/>
      </x:c>
      <x:c r="BC45" s="2826" t="str">
        <x:f t="shared" si="6"/>
        <x:v/>
      </x:c>
      <x:c r="BD45" s="2794" t="str">
        <x:f t="shared" si="22"/>
        <x:v/>
      </x:c>
      <x:c r="BE45" s="2789" t="str">
        <x:f t="shared" si="23"/>
        <x:v/>
      </x:c>
      <x:c r="BF45" s="2825" t="str">
        <x:f t="shared" si="24"/>
        <x:v/>
      </x:c>
      <x:c r="BG45" s="2826" t="str">
        <x:f t="shared" si="7"/>
        <x:v/>
      </x:c>
      <x:c r="BH45" s="261"/>
      <x:c r="BJ45" s="1301" t="str">
        <x:f t="shared" si="75"/>
        <x:v/>
      </x:c>
      <x:c r="BK45" s="993" t="b">
        <x:f t="shared" si="79"/>
        <x:v>0</x:v>
      </x:c>
      <x:c r="BL45" s="1800" t="b">
        <x:v>0</x:v>
      </x:c>
      <x:c r="BM45" s="989">
        <x:f t="shared" si="64"/>
        <x:v>0</x:v>
      </x:c>
      <x:c r="BN45" s="989">
        <x:f t="shared" si="65"/>
        <x:v>0</x:v>
      </x:c>
      <x:c r="BO45" s="989">
        <x:f t="shared" si="66"/>
        <x:v>0</x:v>
      </x:c>
      <x:c r="BP45" s="989">
        <x:f t="shared" si="51"/>
        <x:v>0</x:v>
      </x:c>
      <x:c r="BQ45" s="989">
        <x:f t="shared" si="67"/>
        <x:v>0</x:v>
      </x:c>
      <x:c r="BR45" s="989" t="b">
        <x:f t="shared" si="68"/>
        <x:v>1</x:v>
      </x:c>
      <x:c r="BS45" s="1302">
        <x:f t="shared" si="69"/>
        <x:v>6</x:v>
      </x:c>
      <x:c r="BT45" s="990" t="str">
        <x:f t="shared" si="70"/>
        <x:v>No</x:v>
      </x:c>
      <x:c r="BU45" s="1302">
        <x:f t="shared" si="71"/>
        <x:v>6</x:v>
      </x:c>
      <x:c r="BV45" s="990" t="str">
        <x:f t="shared" si="72"/>
        <x:v>No</x:v>
      </x:c>
      <x:c r="BW45" s="991">
        <x:f t="shared" ca="1" si="25"/>
        <x:v>0</x:v>
      </x:c>
      <x:c r="BX45" s="991" t="str">
        <x:f t="shared" ca="1" si="32"/>
        <x:v/>
      </x:c>
      <x:c r="BY45" s="991" t="b">
        <x:f t="shared" ca="1" si="26"/>
        <x:v>0</x:v>
      </x:c>
      <x:c r="BZ45" s="1303" t="b">
        <x:f t="shared" si="33"/>
        <x:v>0</x:v>
      </x:c>
      <x:c r="CB45" s="681"/>
      <x:c r="CC45" s="1685"/>
      <x:c r="CD45" s="704"/>
      <x:c r="CE45" s="705"/>
      <x:c r="CF45" s="1329"/>
      <x:c r="CG45" s="681"/>
      <x:c r="CH45" s="718"/>
      <x:c r="CI45" s="719"/>
      <x:c r="CJ45" s="718"/>
      <x:c r="CK45" s="719"/>
      <x:c r="CL45" s="720"/>
      <x:c r="CM45" s="744"/>
      <x:c r="CN45" s="741"/>
      <x:c r="CO45" s="1552"/>
      <x:c r="CP45" s="911"/>
      <x:c r="CQ45" s="681"/>
      <x:c r="CR45" s="718"/>
      <x:c r="CS45" s="719"/>
      <x:c r="CT45" s="718"/>
      <x:c r="CU45" s="719"/>
      <x:c r="CV45" s="720"/>
      <x:c r="CW45" s="744"/>
      <x:c r="CX45" s="741"/>
      <x:c r="CY45" s="1552"/>
      <x:c r="CZ45" s="911"/>
      <x:c r="DA45" s="722"/>
      <x:c r="DB45" s="707"/>
      <x:c r="DC45" s="708"/>
      <x:c r="DD45" s="1600"/>
      <x:c r="DE45" s="1601"/>
      <x:c r="DF45" s="141"/>
      <x:c r="DG45" s="141"/>
      <x:c r="DH45" s="681"/>
      <x:c r="DI45" s="682"/>
      <x:c r="DJ45" s="694"/>
      <x:c r="DK45" s="1332"/>
      <x:c r="DL45" s="683"/>
      <x:c r="DM45" s="695"/>
      <x:c r="DN45" s="1335"/>
      <x:c r="DO45" s="684"/>
      <x:c r="DP45" s="685"/>
      <x:c r="DQ45" s="1420"/>
      <x:c r="DR45" s="686"/>
      <x:c r="DS45" s="1612"/>
      <x:c r="DT45" s="1608"/>
      <x:c r="DU45" s="1609"/>
      <x:c r="DV45" s="687"/>
      <x:c r="DW45" s="1337"/>
      <x:c r="DX45" s="688"/>
      <x:c r="DY45" s="683"/>
      <x:c r="DZ45" s="687"/>
      <x:c r="EA45" s="1337"/>
      <x:c r="EB45" s="688"/>
      <x:c r="EC45" s="683"/>
      <x:c r="ED45" s="687"/>
      <x:c r="EE45" s="1337"/>
      <x:c r="EF45" s="688"/>
      <x:c r="EG45" s="683"/>
      <x:c r="EH45" s="687"/>
      <x:c r="EI45" s="1337"/>
      <x:c r="EJ45" s="688"/>
      <x:c r="EK45" s="689"/>
      <x:c r="EL45" s="141"/>
      <x:c r="EM45" s="1633" t="str">
        <x:f t="shared" si="73"/>
        <x:v/>
      </x:c>
      <x:c r="EN45" s="1634" t="str">
        <x:f t="shared" si="52"/>
        <x:v/>
      </x:c>
      <x:c r="EO45" s="650" t="str">
        <x:f t="shared" si="53"/>
        <x:v/>
      </x:c>
      <x:c r="EP45" s="651" t="str">
        <x:f t="shared" si="54"/>
        <x:v/>
      </x:c>
      <x:c r="EQ45" s="814" t="str">
        <x:f t="shared" si="55"/>
        <x:v/>
      </x:c>
      <x:c r="ER45" s="1592" t="str">
        <x:f t="shared" si="56"/>
        <x:v/>
      </x:c>
      <x:c r="ES45" s="1593" t="str">
        <x:f t="shared" si="57"/>
        <x:v/>
      </x:c>
      <x:c r="ET45" s="1594" t="str">
        <x:f t="shared" si="58"/>
        <x:v/>
      </x:c>
      <x:c r="EU45" s="1595" t="str">
        <x:f t="shared" si="59"/>
        <x:v/>
      </x:c>
      <x:c r="EX45" s="503" t="str">
        <x:f t="shared" ca="1" si="27"/>
        <x:v/>
      </x:c>
      <x:c r="EY45" s="940" t="str">
        <x:f t="shared" si="8"/>
        <x:v/>
      </x:c>
      <x:c r="EZ45" s="940" t="str">
        <x:f t="shared" si="28"/>
        <x:v/>
      </x:c>
      <x:c r="FA45" s="958" t="str">
        <x:f t="shared" ca="1" si="34"/>
        <x:v/>
      </x:c>
      <x:c r="FB45" s="134" t="str">
        <x:f t="shared" ca="1" si="29"/>
        <x:v/>
      </x:c>
      <x:c r="FC45" s="134">
        <x:f t="shared" ca="1" si="9"/>
        <x:v>0</x:v>
      </x:c>
      <x:c r="FD45" s="134">
        <x:f t="shared" ca="1" si="10"/>
        <x:v>0</x:v>
      </x:c>
      <x:c r="FE45" s="134">
        <x:f t="shared" ca="1" si="11"/>
        <x:v>0</x:v>
      </x:c>
      <x:c r="FF45" s="134">
        <x:f t="shared" ca="1" si="30"/>
        <x:v>0</x:v>
      </x:c>
      <x:c r="FN45" s="993" t="b">
        <x:v>0</x:v>
      </x:c>
      <x:c r="FO45" s="754" t="b">
        <x:f t="shared" si="74"/>
        <x:v>1</x:v>
      </x:c>
      <x:c r="FP45" s="754" t="b">
        <x:v>0</x:v>
      </x:c>
      <x:c r="FQ45" s="754" t="b">
        <x:f t="shared" si="31"/>
        <x:v>1</x:v>
      </x:c>
      <x:c r="FX45" s="251"/>
      <x:c r="FZ45" s="104"/>
      <x:c r="GA45" s="1761" t="str">
        <x:f t="shared" si="98"/>
        <x:v/>
      </x:c>
      <x:c r="GB45" s="1762" t="str">
        <x:f t="shared" si="99"/>
        <x:v/>
      </x:c>
      <x:c r="GC45" s="1763" t="str">
        <x:f t="shared" si="100"/>
        <x:v/>
      </x:c>
      <x:c r="GD45" s="1764" t="str">
        <x:f t="shared" si="101"/>
        <x:v/>
      </x:c>
      <x:c r="GE45" s="1765" t="str">
        <x:f t="shared" si="60"/>
        <x:v/>
      </x:c>
      <x:c r="GF45" s="582" t="str">
        <x:f t="shared" si="61"/>
        <x:v/>
      </x:c>
      <x:c r="GG45" s="1136"/>
      <x:c r="GH45" s="1137"/>
      <x:c r="GI45" s="1136"/>
      <x:c r="GJ45" s="1137"/>
      <x:c r="GK45" s="1640">
        <x:f t="shared" si="62"/>
        <x:v>0</x:v>
      </x:c>
      <x:c r="GL45" s="1640" t="e">
        <x:f t="shared" si="63"/>
        <x:v>#VALUE!</x:v>
      </x:c>
      <x:c r="GM45" s="1641" t="e">
        <x:f>IF(ABS(GK45-GL45)&gt;='Job Info.'!$L$22,ABS(GK45-GL45),0)</x:f>
        <x:v>#VALUE!</x:v>
      </x:c>
      <x:c r="GZ45" s="144"/>
      <x:c r="HA45" s="1249"/>
      <x:c r="HB45" s="1250"/>
      <x:c r="HC45" s="1250"/>
      <x:c r="HD45" s="1251"/>
      <x:c r="HE45" s="1252"/>
      <x:c r="HF45" s="1250"/>
      <x:c r="HG45" s="1250"/>
      <x:c r="HH45" s="1250"/>
      <x:c r="HI45" s="1250"/>
      <x:c r="HJ45" s="1250"/>
      <x:c r="HK45" s="1250"/>
      <x:c r="HL45" s="1250"/>
      <x:c r="HM45" s="1250"/>
      <x:c r="HN45" s="1250"/>
      <x:c r="HO45" s="1250"/>
      <x:c r="HP45" s="1250"/>
      <x:c r="HQ45" s="1250"/>
      <x:c r="HR45" s="1250"/>
      <x:c r="HS45" s="1250"/>
      <x:c r="HT45" s="1250"/>
      <x:c r="HU45" s="1250"/>
      <x:c r="HV45" s="1250"/>
      <x:c r="HW45" s="1250"/>
      <x:c r="HX45" s="1250"/>
      <x:c r="HY45" s="1253"/>
      <x:c r="HZ45" s="1253"/>
      <x:c r="IA45" s="1253"/>
      <x:c r="IB45" s="1253"/>
      <x:c r="IC45" s="1253"/>
      <x:c r="ID45" s="1254"/>
      <x:c r="IE45" s="1249"/>
      <x:c r="IF45" s="1250"/>
      <x:c r="IG45" s="1251"/>
      <x:c r="IH45" s="1252"/>
      <x:c r="II45" s="1250"/>
      <x:c r="IJ45" s="1251"/>
      <x:c r="IK45" s="1252"/>
      <x:c r="IL45" s="1250"/>
      <x:c r="IM45" s="1250"/>
      <x:c r="IN45" s="1250"/>
      <x:c r="IO45" s="1250"/>
      <x:c r="IP45" s="1250"/>
      <x:c r="IQ45" s="1250"/>
      <x:c r="IR45" s="1250"/>
      <x:c r="IS45" s="1251"/>
      <x:c r="IT45" s="1252"/>
      <x:c r="IU45" s="1250"/>
      <x:c r="IV45" s="1250"/>
      <x:c r="IW45" s="1251"/>
      <x:c r="IX45" s="1252"/>
      <x:c r="IY45" s="1250"/>
      <x:c r="IZ45" s="1250"/>
      <x:c r="JA45" s="1251"/>
      <x:c r="JB45" s="1252"/>
      <x:c r="JC45" s="1250"/>
      <x:c r="JD45" s="1250"/>
      <x:c r="JE45" s="1251"/>
      <x:c r="JF45" s="1252"/>
      <x:c r="JG45" s="1250"/>
      <x:c r="JH45" s="1250"/>
      <x:c r="JI45" s="1250"/>
      <x:c r="JJ45" s="1255"/>
      <x:c r="JK45" s="1250"/>
      <x:c r="JL45" s="1172">
        <x:f t="shared" ca="1" si="35"/>
        <x:v>0</x:v>
      </x:c>
    </x:row>
    <x:row r="46" spans="1:272" ht="20.100000000000001" customHeight="1" thickTop="1" x14ac:dyDescent="0.2">
      <x:c r="A46" s="1142"/>
      <x:c r="B46" s="1142"/>
      <x:c r="C46" s="1142"/>
      <x:c r="D46" s="1142"/>
      <x:c r="E46" s="1142"/>
      <x:c r="F46" s="1142"/>
      <x:c r="G46" s="1142"/>
      <x:c r="H46" s="1142"/>
      <x:c r="I46" s="1142"/>
      <x:c r="J46" s="1142"/>
      <x:c r="K46" s="1142"/>
      <x:c r="L46" s="1142"/>
      <x:c r="M46" s="1142"/>
      <x:c r="N46" s="1142"/>
      <x:c r="O46" s="1142"/>
      <x:c r="P46" s="1142"/>
      <x:c r="Q46" s="1142"/>
      <x:c r="R46" s="1142"/>
      <x:c r="S46" s="1142"/>
      <x:c r="T46" s="1142"/>
      <x:c r="U46" s="1142"/>
      <x:c r="V46" s="1142"/>
      <x:c r="W46" s="1142"/>
      <x:c r="X46" s="1142"/>
      <x:c r="Y46" s="1142"/>
      <x:c r="Z46" s="1139"/>
      <x:c r="AA46" s="1142"/>
      <x:c r="AB46" s="1142"/>
      <x:c r="AC46" s="1142"/>
      <x:c r="AD46" s="1142"/>
      <x:c r="AE46" s="1142"/>
      <x:c r="AF46" s="1142"/>
      <x:c r="AG46" s="1142"/>
      <x:c r="AH46" s="1142"/>
      <x:c r="AI46" s="1142"/>
      <x:c r="AJ46" s="1142"/>
      <x:c r="AK46" s="1142"/>
      <x:c r="AL46" s="1142"/>
      <x:c r="AM46" s="1142"/>
      <x:c r="AN46" s="1142"/>
      <x:c r="AO46" s="1142"/>
      <x:c r="AP46" s="1142"/>
      <x:c r="AQ46" s="1142"/>
      <x:c r="AR46" s="1142"/>
      <x:c r="AS46" s="1142"/>
      <x:c r="AT46" s="1142"/>
      <x:c r="AU46" s="1142"/>
      <x:c r="AV46" s="1142"/>
      <x:c r="AW46" s="1142"/>
      <x:c r="AX46" s="1142"/>
      <x:c r="AY46" s="1142"/>
      <x:c r="AZ46" s="1142"/>
      <x:c r="BA46" s="1142"/>
      <x:c r="BB46" s="1142"/>
      <x:c r="BC46" s="1142"/>
      <x:c r="BD46" s="1142"/>
      <x:c r="BE46" s="1142"/>
      <x:c r="BF46" s="1142"/>
      <x:c r="BG46" s="1142"/>
      <x:c r="BH46" s="260"/>
      <x:c r="CA46" s="105"/>
      <x:c r="CB46" s="105"/>
      <x:c r="CC46" s="105"/>
      <x:c r="CD46" s="105"/>
      <x:c r="CE46" s="105"/>
      <x:c r="CF46" s="105"/>
      <x:c r="CG46" s="105"/>
      <x:c r="CH46" s="105"/>
      <x:c r="CI46" s="105"/>
      <x:c r="CJ46" s="105"/>
      <x:c r="CK46" s="105"/>
      <x:c r="CL46" s="105"/>
      <x:c r="CM46" s="105"/>
      <x:c r="CN46" s="105"/>
      <x:c r="CO46" s="105"/>
      <x:c r="CP46" s="105"/>
      <x:c r="CQ46" s="105"/>
      <x:c r="CR46" s="105"/>
      <x:c r="CS46" s="105"/>
      <x:c r="CT46" s="105"/>
      <x:c r="CU46" s="105"/>
      <x:c r="CV46" s="105"/>
      <x:c r="CW46" s="105"/>
      <x:c r="CX46" s="105"/>
      <x:c r="CY46" s="105"/>
      <x:c r="CZ46" s="105"/>
      <x:c r="DA46" s="105"/>
      <x:c r="DB46" s="102"/>
      <x:c r="DC46" s="102"/>
      <x:c r="DD46" s="102"/>
      <x:c r="DE46" s="102"/>
      <x:c r="DF46" s="102"/>
      <x:c r="DG46" s="102"/>
      <x:c r="DH46" s="139"/>
      <x:c r="DI46" s="139"/>
      <x:c r="DJ46" s="139"/>
      <x:c r="DK46" s="139"/>
      <x:c r="DL46" s="139"/>
      <x:c r="DM46" s="139"/>
      <x:c r="DN46" s="139"/>
      <x:c r="DO46" s="139"/>
      <x:c r="DP46" s="139"/>
      <x:c r="DQ46" s="139"/>
      <x:c r="DR46" s="139"/>
      <x:c r="DS46" s="139"/>
      <x:c r="DT46" s="139"/>
      <x:c r="DU46" s="139"/>
      <x:c r="DV46" s="139"/>
      <x:c r="DW46" s="139"/>
      <x:c r="DX46" s="139"/>
      <x:c r="DY46" s="139"/>
      <x:c r="DZ46" s="139"/>
      <x:c r="EA46" s="139"/>
      <x:c r="EB46" s="139"/>
      <x:c r="EC46" s="139"/>
      <x:c r="ED46" s="139"/>
      <x:c r="EE46" s="139"/>
      <x:c r="EF46" s="139"/>
      <x:c r="EG46" s="139"/>
      <x:c r="EH46" s="139"/>
      <x:c r="EI46" s="139"/>
      <x:c r="EJ46" s="139"/>
      <x:c r="EK46" s="139"/>
      <x:c r="EL46" s="102"/>
      <x:c r="EM46" s="102"/>
      <x:c r="EN46" s="104"/>
      <x:c r="EO46" s="290"/>
      <x:c r="EP46" s="291"/>
      <x:c r="EQ46" s="291"/>
      <x:c r="ER46" s="291"/>
      <x:c r="ES46" s="292"/>
      <x:c r="ET46" s="290"/>
      <x:c r="EU46" s="290"/>
      <x:c r="EV46" s="290"/>
      <x:c r="EW46" s="290"/>
      <x:c r="EX46" s="290"/>
      <x:c r="EY46" s="290"/>
      <x:c r="EZ46" s="290"/>
      <x:c r="FA46" s="290"/>
      <x:c r="FB46" s="290"/>
      <x:c r="FC46" s="290"/>
      <x:c r="FD46" s="290"/>
      <x:c r="FE46" s="290"/>
      <x:c r="FF46" s="290"/>
      <x:c r="FG46" s="290"/>
      <x:c r="FH46" s="290"/>
      <x:c r="FI46" s="290"/>
      <x:c r="FJ46" s="290"/>
      <x:c r="FK46" s="290"/>
      <x:c r="FL46" s="290"/>
      <x:c r="FM46" s="290"/>
      <x:c r="FN46" s="102"/>
      <x:c r="FO46" s="102"/>
      <x:c r="FP46" s="102"/>
      <x:c r="FQ46" s="102"/>
      <x:c r="FR46" s="102"/>
      <x:c r="FS46" s="102"/>
      <x:c r="FT46" s="102"/>
      <x:c r="FU46" s="102"/>
      <x:c r="FV46" s="102"/>
      <x:c r="FW46" s="102"/>
      <x:c r="FX46" s="102"/>
      <x:c r="FY46" s="102"/>
      <x:c r="FZ46" s="104"/>
      <x:c r="GA46" s="133"/>
      <x:c r="GB46" s="1138"/>
      <x:c r="GC46" s="1138"/>
      <x:c r="GD46" s="1138"/>
      <x:c r="GE46" s="1138"/>
      <x:c r="GF46" s="1138"/>
      <x:c r="GG46" s="1138"/>
      <x:c r="GH46" s="1138"/>
      <x:c r="HA46" s="130"/>
      <x:c r="HB46" s="130"/>
      <x:c r="HC46" s="130"/>
      <x:c r="HD46" s="130"/>
      <x:c r="HE46" s="130"/>
      <x:c r="HF46" s="130"/>
      <x:c r="HG46" s="130"/>
      <x:c r="HH46" s="130"/>
      <x:c r="HI46" s="130"/>
      <x:c r="HM46" s="131"/>
      <x:c r="HN46" s="132"/>
      <x:c r="ID46" s="140"/>
      <x:c r="IE46" s="140"/>
      <x:c r="IF46" s="140"/>
      <x:c r="IG46" s="140"/>
      <x:c r="IH46" s="140"/>
      <x:c r="II46" s="140"/>
      <x:c r="IJ46" s="140"/>
      <x:c r="IK46" s="140"/>
      <x:c r="IL46" s="140"/>
    </x:row>
    <x:row r="47" spans="1:272" ht="12.75" customHeight="1" x14ac:dyDescent="0.2">
      <x:c r="B47" s="533" t="s">
        <x:v>720</x:v>
      </x:c>
      <x:c r="AL47" s="259"/>
      <x:c r="AM47" s="259"/>
      <x:c r="AN47" s="259"/>
      <x:c r="AO47" s="259"/>
      <x:c r="AP47" s="259"/>
      <x:c r="AQ47" s="259"/>
      <x:c r="CA47" s="105"/>
      <x:c r="CB47" s="105"/>
      <x:c r="CC47" s="105"/>
      <x:c r="CD47" s="105"/>
      <x:c r="CE47" s="105"/>
      <x:c r="CF47" s="105"/>
      <x:c r="CG47" s="105"/>
      <x:c r="CH47" s="105"/>
      <x:c r="CI47" s="105"/>
      <x:c r="CJ47" s="105"/>
      <x:c r="CK47" s="105"/>
      <x:c r="CL47" s="105"/>
      <x:c r="CM47" s="105"/>
      <x:c r="CN47" s="105"/>
      <x:c r="CO47" s="105"/>
      <x:c r="CP47" s="105"/>
      <x:c r="CQ47" s="105"/>
      <x:c r="CR47" s="105"/>
      <x:c r="CS47" s="105"/>
      <x:c r="CT47" s="105"/>
      <x:c r="CU47" s="105"/>
      <x:c r="CV47" s="105"/>
      <x:c r="CW47" s="105"/>
      <x:c r="CX47" s="105"/>
      <x:c r="CY47" s="105"/>
      <x:c r="CZ47" s="105"/>
      <x:c r="DC47" s="293"/>
      <x:c r="DD47" s="293"/>
      <x:c r="DE47" s="293"/>
      <x:c r="DF47" s="293"/>
      <x:c r="DG47" s="293"/>
      <x:c r="DH47" s="293"/>
      <x:c r="EL47" s="102"/>
      <x:c r="EM47" s="102"/>
      <x:c r="EN47" s="104"/>
      <x:c r="EO47" s="102"/>
      <x:c r="EP47" s="103"/>
      <x:c r="EQ47" s="103"/>
      <x:c r="ER47" s="103"/>
      <x:c r="ES47" s="106"/>
      <x:c r="ET47" s="102"/>
      <x:c r="EU47" s="102"/>
      <x:c r="EV47" s="102"/>
      <x:c r="EW47" s="102"/>
      <x:c r="EX47" s="102"/>
      <x:c r="EY47" s="102"/>
      <x:c r="EZ47" s="102"/>
      <x:c r="FA47" s="102"/>
      <x:c r="FB47" s="102"/>
      <x:c r="FC47" s="102"/>
      <x:c r="FD47" s="102"/>
      <x:c r="FE47" s="102"/>
      <x:c r="FF47" s="102"/>
      <x:c r="FG47" s="102"/>
      <x:c r="FH47" s="102"/>
      <x:c r="FI47" s="102"/>
      <x:c r="FJ47" s="102"/>
      <x:c r="FK47" s="102"/>
      <x:c r="FL47" s="102"/>
      <x:c r="FM47" s="102"/>
      <x:c r="FN47" s="102"/>
      <x:c r="FO47" s="102"/>
      <x:c r="FP47" s="102"/>
      <x:c r="FQ47" s="102"/>
      <x:c r="FR47" s="102"/>
      <x:c r="FS47" s="102"/>
      <x:c r="FT47" s="102"/>
      <x:c r="FU47" s="102"/>
      <x:c r="FV47" s="102"/>
      <x:c r="FW47" s="102"/>
      <x:c r="FX47" s="102"/>
      <x:c r="FY47" s="102"/>
      <x:c r="FZ47" s="104"/>
      <x:c r="GA47" s="102"/>
      <x:c r="GR47" s="105"/>
      <x:c r="GS47" s="105"/>
      <x:c r="GT47" s="105"/>
      <x:c r="GU47" s="105"/>
      <x:c r="GV47" s="105"/>
      <x:c r="GW47" s="105"/>
      <x:c r="GX47" s="105"/>
      <x:c r="GZ47" s="105"/>
      <x:c r="HA47" s="105"/>
      <x:c r="HB47" s="105"/>
      <x:c r="HC47" s="105"/>
      <x:c r="HD47" s="105"/>
      <x:c r="HE47" s="105"/>
      <x:c r="HF47" s="105"/>
      <x:c r="HG47" s="105"/>
      <x:c r="HH47" s="105"/>
      <x:c r="HI47" s="105"/>
      <x:c r="HJ47" s="105"/>
      <x:c r="HK47" s="105"/>
      <x:c r="HL47" s="105"/>
      <x:c r="HM47" s="105"/>
      <x:c r="HN47" s="105"/>
      <x:c r="HO47" s="105"/>
      <x:c r="HP47" s="139"/>
      <x:c r="HQ47" s="139"/>
      <x:c r="HR47" s="139"/>
      <x:c r="HS47" s="139"/>
      <x:c r="HT47" s="139"/>
      <x:c r="HU47" s="139"/>
      <x:c r="HV47" s="105"/>
      <x:c r="HW47" s="105"/>
      <x:c r="HX47" s="105"/>
      <x:c r="HY47" s="105"/>
      <x:c r="HZ47" s="139"/>
      <x:c r="IA47" s="105"/>
      <x:c r="IB47" s="105"/>
      <x:c r="IC47" s="105"/>
      <x:c r="ID47" s="105"/>
    </x:row>
    <x:row r="48" spans="1:272" ht="12.6" hidden="1" customHeight="1" thickTop="1" thickBot="1" x14ac:dyDescent="0.25">
      <x:c r="B48" s="146">
        <x:f>SUM(B28:B45)</x:f>
        <x:v>30</x:v>
      </x:c>
      <x:c r="CA48" s="105"/>
      <x:c r="CB48" s="105"/>
      <x:c r="CC48" s="105"/>
      <x:c r="CD48" s="105"/>
      <x:c r="CE48" s="105"/>
      <x:c r="CF48" s="105"/>
      <x:c r="CG48" s="105"/>
      <x:c r="CH48" s="105"/>
      <x:c r="CI48" s="105"/>
      <x:c r="CJ48" s="105"/>
      <x:c r="CK48" s="105"/>
      <x:c r="CL48" s="105"/>
      <x:c r="CM48" s="105"/>
      <x:c r="CN48" s="105"/>
      <x:c r="CO48" s="105"/>
      <x:c r="CP48" s="105"/>
      <x:c r="CQ48" s="105"/>
      <x:c r="CR48" s="105"/>
      <x:c r="CS48" s="105"/>
      <x:c r="CT48" s="105"/>
      <x:c r="CU48" s="105"/>
      <x:c r="CV48" s="105"/>
      <x:c r="CW48" s="105"/>
      <x:c r="CX48" s="105"/>
      <x:c r="CY48" s="105"/>
      <x:c r="CZ48" s="105"/>
      <x:c r="DC48" s="293"/>
      <x:c r="DD48" s="293"/>
      <x:c r="DE48" s="293"/>
      <x:c r="DF48" s="293"/>
      <x:c r="EL48" s="102"/>
      <x:c r="EM48" s="102"/>
      <x:c r="EN48" s="104"/>
      <x:c r="EO48" s="102"/>
      <x:c r="EP48" s="103"/>
      <x:c r="EQ48" s="103"/>
      <x:c r="ER48" s="103"/>
      <x:c r="ES48" s="106"/>
      <x:c r="ET48" s="102"/>
      <x:c r="EU48" s="102"/>
      <x:c r="EV48" s="102"/>
      <x:c r="EW48" s="102"/>
      <x:c r="EX48" s="102"/>
      <x:c r="EY48" s="102"/>
      <x:c r="EZ48" s="102"/>
      <x:c r="FA48" s="102"/>
      <x:c r="FB48" s="102"/>
      <x:c r="FC48" s="102"/>
      <x:c r="FD48" s="102"/>
      <x:c r="FE48" s="102"/>
      <x:c r="FF48" s="102"/>
      <x:c r="FG48" s="102"/>
      <x:c r="FH48" s="102"/>
      <x:c r="FI48" s="102"/>
      <x:c r="FJ48" s="102"/>
      <x:c r="FK48" s="102"/>
      <x:c r="FL48" s="102"/>
      <x:c r="FM48" s="102"/>
      <x:c r="FZ48" s="921" t="s">
        <x:v>1058</x:v>
      </x:c>
      <x:c r="GA48" s="581" t="str">
        <x:f t="shared" ref="GA48" si="102">IF(GF48="","",CE48)</x:f>
        <x:v/>
      </x:c>
      <x:c r="GB48" s="623" t="str">
        <x:f t="shared" ref="GB48" si="103">IF(GF48="","",CF48)</x:f>
        <x:v/>
      </x:c>
      <x:c r="GC48" s="625" t="str">
        <x:f t="shared" ref="GC48" si="104">IF(GF48="","",IF(CD88="",0,CD88))</x:f>
        <x:v/>
      </x:c>
      <x:c r="GD48" s="626" t="str">
        <x:f t="shared" ref="GD48" si="105">IF(GF48="","",IF(CM88="",0,CM88))</x:f>
        <x:v/>
      </x:c>
      <x:c r="GE48" s="624"/>
      <x:c r="GF48" s="582"/>
      <x:c r="GG48" s="1639"/>
      <x:c r="GH48" s="1642"/>
      <x:c r="GI48" s="1639"/>
      <x:c r="GJ48" s="1642"/>
      <x:c r="GR48" s="156" t="str">
        <x:f>IF(ISERROR(VLOOKUP($CB48,#REF!,HA$21,FALSE)),"",VLOOKUP($CB48,#REF!,HA$21,FALSE))</x:f>
        <x:v/>
      </x:c>
      <x:c r="GS48" s="157" t="str">
        <x:f>IF(ISERROR(VLOOKUP($CB48,#REF!,HB$21,FALSE)),"",IF(VLOOKUP($CB48,#REF!,HB$21,FALSE)="","",VLOOKUP($CB48,#REF!,HB$21,FALSE)))</x:f>
        <x:v/>
      </x:c>
      <x:c r="GT48" s="158" t="str">
        <x:f>IF(ISERROR(VLOOKUP($CB48,#REF!,HC$21,FALSE)),"",IF(VLOOKUP($CB48,#REF!,HC$21,FALSE)="","",VLOOKUP($CB48,#REF!,HC$21,FALSE)))</x:f>
        <x:v/>
      </x:c>
      <x:c r="GU48" s="159" t="str">
        <x:f>IF(ISERROR(VLOOKUP($CB48,#REF!,HD$21,FALSE)),"",IF(VLOOKUP($CB48,#REF!,HD$21,FALSE)="","",VLOOKUP($CB48,#REF!,HD$21,FALSE)))</x:f>
        <x:v/>
      </x:c>
      <x:c r="GV48" s="160" t="str">
        <x:f>IF(ISERROR(VLOOKUP($CB48,#REF!,HE$21,FALSE)),"",IF(VLOOKUP($CB48,#REF!,HE$21,FALSE)="","",VLOOKUP($CB48,#REF!,HE$21,FALSE)))</x:f>
        <x:v/>
      </x:c>
      <x:c r="GW48" s="156" t="str">
        <x:f>IF(ISERROR(VLOOKUP($CB48,#REF!,HF$21,FALSE)),"",IF(VLOOKUP($CB48,#REF!,HF$21,FALSE)="","",VLOOKUP($CB48,#REF!,HF$21,FALSE)))</x:f>
        <x:v/>
      </x:c>
      <x:c r="GX48" s="161" t="str">
        <x:f>IF(ISERROR(VLOOKUP($CB48,#REF!,HG$21,FALSE)),"",IF(VLOOKUP($CB48,#REF!,HG$21,FALSE)="","",VLOOKUP($CB48,#REF!,HG$21,FALSE)))</x:f>
        <x:v/>
      </x:c>
      <x:c r="GZ48" s="161" t="str">
        <x:f>IF(ISERROR(VLOOKUP($CB48,#REF!,HI$21,FALSE)),"",IF(VLOOKUP($CB48,#REF!,HI$21,FALSE)="","",VLOOKUP($CB48,#REF!,HI$21,FALSE)))</x:f>
        <x:v/>
      </x:c>
      <x:c r="HA48" s="162" t="str">
        <x:f>IF(ISERROR(VLOOKUP($CB48,#REF!,HJ$21,FALSE)),"",IF(VLOOKUP($CB48,#REF!,HJ$21,FALSE)="","",VLOOKUP($CB48,#REF!,HJ$21,FALSE)))</x:f>
        <x:v/>
      </x:c>
      <x:c r="HB48" s="163" t="str">
        <x:f>IF(ISERROR(VLOOKUP($CB48,#REF!,HK$21,FALSE)),"",IF(VLOOKUP($CB48,#REF!,HK$21,FALSE)="","",VLOOKUP($CB48,#REF!,HK$21,FALSE)))</x:f>
        <x:v/>
      </x:c>
      <x:c r="HC48" s="164" t="str">
        <x:f>IF(ISERROR(VLOOKUP($CB48,#REF!,HL$21,FALSE)),"",IF(VLOOKUP($CB48,#REF!,HL$21,FALSE)="","",VLOOKUP($CB48,#REF!,HL$21,FALSE)))</x:f>
        <x:v/>
      </x:c>
      <x:c r="HD48" s="156" t="str">
        <x:f>IF(ISERROR(VLOOKUP($CB48,#REF!,HM$21,FALSE)),"",IF(VLOOKUP($CB48,#REF!,HM$21,FALSE)="","",VLOOKUP($CB48,#REF!,HM$21,FALSE)))</x:f>
        <x:v/>
      </x:c>
      <x:c r="HE48" s="161" t="str">
        <x:f>IF(ISERROR(VLOOKUP($CB48,#REF!,HN$21,FALSE)),"",IF(VLOOKUP($CB48,#REF!,HN$21,FALSE)="","",VLOOKUP($CB48,#REF!,HN$21,FALSE)))</x:f>
        <x:v/>
      </x:c>
      <x:c r="HF48" s="162" t="str">
        <x:f>IF(ISERROR(VLOOKUP($CB48,#REF!,HO$21,FALSE)),"",IF(VLOOKUP($CB48,#REF!,HO$21,FALSE)="","",VLOOKUP($CB48,#REF!,HO$21,FALSE)))</x:f>
        <x:v/>
      </x:c>
      <x:c r="HG48" s="161" t="str">
        <x:f>IF(ISERROR(VLOOKUP($CB48,#REF!,HP$21,FALSE)),"",IF(VLOOKUP($CB48,#REF!,HP$21,FALSE)="","",VLOOKUP($CB48,#REF!,HP$21,FALSE)))</x:f>
        <x:v/>
      </x:c>
      <x:c r="HH48" s="162" t="str">
        <x:f>IF(ISERROR(VLOOKUP($CB48,#REF!,HQ$21,FALSE)),"",IF(VLOOKUP($CB48,#REF!,HQ$21,FALSE)="","",VLOOKUP($CB48,#REF!,HQ$21,FALSE)))</x:f>
        <x:v/>
      </x:c>
      <x:c r="HI48" s="163" t="str">
        <x:f>IF(ISERROR(VLOOKUP($CB48,#REF!,HR$21,FALSE)),"",IF(VLOOKUP($CB48,#REF!,HR$21,FALSE)="","",VLOOKUP($CB48,#REF!,HR$21,FALSE)))</x:f>
        <x:v/>
      </x:c>
      <x:c r="HJ48" s="164" t="str">
        <x:f>IF(ISERROR(VLOOKUP($CB48,#REF!,HS$21,FALSE)),"",IF(VLOOKUP($CB48,#REF!,HS$21,FALSE)="","",VLOOKUP($CB48,#REF!,HS$21,FALSE)))</x:f>
        <x:v/>
      </x:c>
      <x:c r="HK48" s="165" t="str">
        <x:f>IF(ISERROR(VLOOKUP($CB48,#REF!,HT$21,FALSE)),"",IF(VLOOKUP($CB48,#REF!,HT$21,FALSE)="","",VLOOKUP($CB48,#REF!,HT$21,FALSE)))</x:f>
        <x:v/>
      </x:c>
      <x:c r="HL48" s="156" t="str">
        <x:f>IF(ISERROR(VLOOKUP($CB48,#REF!,HU$21,FALSE)),"",IF(VLOOKUP($CB48,#REF!,HU$21,FALSE)="","",VLOOKUP($CB48,#REF!,HU$21,FALSE)))</x:f>
        <x:v/>
      </x:c>
      <x:c r="HM48" s="166" t="str">
        <x:f>IF(ISERROR(VLOOKUP($CB48,#REF!,HV$21,FALSE)),"",IF(VLOOKUP($CB48,#REF!,HV$21,FALSE)="","",VLOOKUP($CB48,#REF!,HV$21,FALSE)))</x:f>
        <x:v/>
      </x:c>
      <x:c r="HN48" s="167" t="str">
        <x:f>IF(ISERROR(VLOOKUP($CB48,#REF!,HW$21,FALSE)),"",IF(VLOOKUP($CB48,#REF!,HW$21,FALSE)="","",VLOOKUP($CB48,#REF!,HW$21,FALSE)))</x:f>
        <x:v/>
      </x:c>
      <x:c r="HO48" s="168" t="str">
        <x:f>IF(ISERROR(VLOOKUP($CB48,#REF!,HX$21,FALSE)),"",IF(VLOOKUP($CB48,#REF!,HX$21,FALSE)="","",VLOOKUP($CB48,#REF!,HX$21,FALSE)))</x:f>
        <x:v/>
      </x:c>
      <x:c r="HP48" s="148">
        <x:f>IF(IZ48="",0,1)</x:f>
        <x:v>0</x:v>
      </x:c>
      <x:c r="HQ48" s="148"/>
      <x:c r="HR48" s="148"/>
      <x:c r="HS48" s="148"/>
      <x:c r="HT48" s="148"/>
      <x:c r="HU48" s="148"/>
      <x:c r="HV48" s="156" t="str">
        <x:f ca="1">IF($HP48=0,"",IF(ISBLANK(OFFSET(#REF!,MATCH(OFFSET(#REF!,($HP48-1)*-1,0),#REF!,0)+($HP48-2),IE$9-1)),"",OFFSET(#REF!,MATCH(OFFSET(#REF!,($HP48-1)*-1,0),#REF!,0)+($HP48-2),IE$9-1)))</x:f>
        <x:v/>
      </x:c>
      <x:c r="HW48" s="169" t="str">
        <x:f ca="1">IF($HP48=0,"",IF(ISBLANK(OFFSET(#REF!,MATCH(OFFSET(#REF!,($HP48-1)*-1,0),#REF!,0)+($HP48-2),IF$9-1)),"",OFFSET(#REF!,MATCH(OFFSET(#REF!,($HP48-1)*-1,0),#REF!,0)+($HP48-2),IF$9-1)))</x:f>
        <x:v/>
      </x:c>
      <x:c r="HX48" s="170" t="str">
        <x:f ca="1">IF($HP48=0,"",IF(ISBLANK(OFFSET(#REF!,MATCH(OFFSET(#REF!,($HP48-1)*-1,0),#REF!,0)+($HP48-2),IG$9-1)),"",OFFSET(#REF!,MATCH(OFFSET(#REF!,($HP48-1)*-1,0),#REF!,0)+($HP48-2),IG$9-1)))</x:f>
        <x:v/>
      </x:c>
      <x:c r="HY48" s="171" t="str">
        <x:f ca="1">IF($HP48=0,"",IF(ISBLANK(OFFSET(#REF!,MATCH(OFFSET(#REF!,($HP48-1)*-1,0),#REF!,0)+($HP48-2),IH$9-1)),"",OFFSET(#REF!,MATCH(OFFSET(#REF!,($HP48-1)*-1,0),#REF!,0)+($HP48-2),IH$9-1)))</x:f>
        <x:v/>
      </x:c>
      <x:c r="HZ48" s="183" t="str">
        <x:f ca="1">IF($HP48=0,"",IF(ISBLANK(OFFSET(#REF!,MATCH(OFFSET(#REF!,($HP48-1)*-1,0),#REF!,0)+($HP48-2),II$9-1)),"",OFFSET(#REF!,MATCH(OFFSET(#REF!,($HP48-1)*-1,0),#REF!,0)+($HP48-2),II$9-1)))</x:f>
        <x:v/>
      </x:c>
      <x:c r="IA48" s="173" t="str">
        <x:f ca="1">IF($HP48=0,"",IF(ISBLANK(OFFSET(#REF!,MATCH(OFFSET(#REF!,($HP48-1)*-1,0),#REF!,0)+($HP48-2),IJ$9-1)),"",OFFSET(#REF!,MATCH(OFFSET(#REF!,($HP48-1)*-1,0),#REF!,0)+($HP48-2),IJ$9-1)))</x:f>
        <x:v/>
      </x:c>
      <x:c r="IB48" s="174" t="str">
        <x:f ca="1">IF($HP48=0,"",IF(ISBLANK(OFFSET(#REF!,MATCH(OFFSET(#REF!,($HP48-1)*-1,0),#REF!,0)+($HP48-2),IK$9-1)),"",OFFSET(#REF!,MATCH(OFFSET(#REF!,($HP48-1)*-1,0),#REF!,0)+($HP48-2),IK$9-1)))</x:f>
        <x:v/>
      </x:c>
      <x:c r="IC48" s="175" t="str">
        <x:f ca="1">IF($HP48=0,"",IF(ISBLANK(OFFSET(#REF!,MATCH(OFFSET(#REF!,($HP48-1)*-1,0),#REF!,0)+($HP48-2),IL$9-1)),"",OFFSET(#REF!,MATCH(OFFSET(#REF!,($HP48-1)*-1,0),#REF!,0)+($HP48-2),IL$9-1)))</x:f>
        <x:v/>
      </x:c>
      <x:c r="ID48" s="176" t="str">
        <x:f ca="1">IF($HP48=0,"",IF(ISBLANK(OFFSET(#REF!,MATCH(OFFSET(#REF!,($HP48-1)*-1,0),#REF!,0)+($HP48-2),IM$9-1)),"",OFFSET(#REF!,MATCH(OFFSET(#REF!,($HP48-1)*-1,0),#REF!,0)+($HP48-2),IM$9-1)))</x:f>
        <x:v/>
      </x:c>
    </x:row>
    <x:row r="49" spans="1:193" ht="12.6" hidden="1" customHeight="1" thickBot="1" x14ac:dyDescent="0.25">
      <x:c r="B49" s="237">
        <x:v>18</x:v>
      </x:c>
      <x:c r="C49" s="147"/>
      <x:c r="CI49" s="105"/>
      <x:c r="CJ49" s="105"/>
      <x:c r="CK49" s="105"/>
      <x:c r="CL49" s="105"/>
      <x:c r="CM49" s="105"/>
      <x:c r="CN49" s="105"/>
      <x:c r="CO49" s="105"/>
      <x:c r="DC49" s="293"/>
      <x:c r="DD49" s="293"/>
      <x:c r="DE49" s="293"/>
      <x:c r="DF49" s="293"/>
    </x:row>
    <x:row r="50" spans="1:193" ht="12.6" hidden="1" customHeight="1" thickBot="1" x14ac:dyDescent="0.25">
      <x:c r="A50" s="1319"/>
      <x:c r="B50" s="1319"/>
      <x:c r="C50" s="1319"/>
      <x:c r="D50" s="1319"/>
      <x:c r="E50" s="1319"/>
      <x:c r="F50" s="1319"/>
      <x:c r="G50" s="1319"/>
      <x:c r="H50" s="1319"/>
      <x:c r="I50" s="1319"/>
      <x:c r="J50" s="1319"/>
      <x:c r="K50" s="1319"/>
      <x:c r="L50" s="1319"/>
      <x:c r="M50" s="1319"/>
      <x:c r="N50" s="1319"/>
      <x:c r="O50" s="1321">
        <x:v>2.57</x:v>
      </x:c>
      <x:c r="P50" s="1321">
        <x:v>4.29</x:v>
      </x:c>
      <x:c r="Q50" s="1321">
        <x:v>2.57</x:v>
      </x:c>
      <x:c r="R50" s="1321">
        <x:v>4.29</x:v>
      </x:c>
      <x:c r="S50" s="1319"/>
      <x:c r="T50" s="1319"/>
      <x:c r="U50" s="1319"/>
      <x:c r="V50" s="1319"/>
      <x:c r="W50" s="1319"/>
      <x:c r="X50" s="1319"/>
      <x:c r="Y50" s="1319"/>
      <x:c r="Z50" s="1319"/>
      <x:c r="AA50" s="1319"/>
      <x:c r="BZ50" s="293"/>
      <x:c r="CA50" s="293"/>
      <x:c r="CB50" s="293"/>
      <x:c r="CC50" s="293"/>
      <x:c r="CD50" s="293"/>
      <x:c r="CE50" s="293"/>
      <x:c r="CF50" s="293"/>
      <x:c r="CG50" s="293"/>
      <x:c r="CH50" s="293"/>
      <x:c r="CI50" s="293"/>
      <x:c r="CJ50" s="293"/>
      <x:c r="CK50" s="293"/>
      <x:c r="CL50" s="293"/>
      <x:c r="CM50" s="293"/>
      <x:c r="CN50" s="293"/>
      <x:c r="CO50" s="293"/>
      <x:c r="CP50" s="293"/>
      <x:c r="CQ50" s="293"/>
      <x:c r="CR50" s="293"/>
      <x:c r="CS50" s="293"/>
      <x:c r="CT50" s="293"/>
      <x:c r="CU50" s="309"/>
      <x:c r="CV50" s="336"/>
      <x:c r="CW50" s="336"/>
      <x:c r="CX50" s="293"/>
      <x:c r="CY50" s="293"/>
      <x:c r="CZ50" s="293"/>
      <x:c r="DA50" s="293"/>
      <x:c r="DB50" s="293"/>
      <x:c r="DC50" s="293"/>
      <x:c r="DD50" s="293"/>
      <x:c r="DE50" s="293"/>
      <x:c r="DF50" s="293"/>
      <x:c r="DG50" s="293"/>
      <x:c r="DH50" s="293"/>
      <x:c r="DI50" s="309"/>
      <x:c r="DJ50" s="309"/>
      <x:c r="DK50" s="309"/>
      <x:c r="DL50" s="293"/>
      <x:c r="DM50" s="293"/>
      <x:c r="DN50" s="293"/>
      <x:c r="DO50" s="293"/>
      <x:c r="DP50" s="293"/>
      <x:c r="DQ50" s="293"/>
      <x:c r="DR50" s="293"/>
      <x:c r="DS50" s="293"/>
      <x:c r="DT50" s="293"/>
      <x:c r="DU50" s="293"/>
      <x:c r="DV50" s="293"/>
      <x:c r="DW50" s="293"/>
      <x:c r="DX50" s="293"/>
      <x:c r="DY50" s="293"/>
      <x:c r="DZ50" s="293"/>
      <x:c r="EA50" s="293"/>
      <x:c r="EB50" s="293"/>
      <x:c r="EC50" s="337"/>
      <x:c r="ED50" s="2137" t="s">
        <x:v>472</x:v>
      </x:c>
      <x:c r="EE50" s="2137" t="s">
        <x:v>525</x:v>
      </x:c>
      <x:c r="EF50" s="2137" t="s">
        <x:v>526</x:v>
      </x:c>
      <x:c r="EG50" s="2137" t="s">
        <x:v>527</x:v>
      </x:c>
      <x:c r="EH50" s="2137" t="s">
        <x:v>528</x:v>
      </x:c>
      <x:c r="EI50" s="2137" t="s">
        <x:v>529</x:v>
      </x:c>
      <x:c r="EJ50" s="2137" t="s">
        <x:v>530</x:v>
      </x:c>
      <x:c r="EK50" s="2137" t="s">
        <x:v>531</x:v>
      </x:c>
      <x:c r="EL50" s="2137" t="s">
        <x:v>473</x:v>
      </x:c>
      <x:c r="EM50" s="2137" t="s">
        <x:v>532</x:v>
      </x:c>
      <x:c r="EN50" s="2137" t="s">
        <x:v>583</x:v>
      </x:c>
      <x:c r="EO50" s="2137" t="s">
        <x:v>474</x:v>
      </x:c>
      <x:c r="EP50" s="2137" t="s">
        <x:v>533</x:v>
      </x:c>
      <x:c r="EQ50" s="2137" t="s">
        <x:v>475</x:v>
      </x:c>
      <x:c r="ER50" s="2137" t="s">
        <x:v>534</x:v>
      </x:c>
      <x:c r="ES50" s="2137" t="s">
        <x:v>584</x:v>
      </x:c>
      <x:c r="ET50" s="2137" t="s">
        <x:v>476</x:v>
      </x:c>
      <x:c r="EU50" s="2137" t="s">
        <x:v>477</x:v>
      </x:c>
      <x:c r="EV50" s="293"/>
      <x:c r="EW50" s="293"/>
      <x:c r="EX50" s="293"/>
      <x:c r="EY50" s="293"/>
      <x:c r="EZ50" s="293"/>
      <x:c r="FA50" s="293"/>
      <x:c r="FB50" s="293"/>
      <x:c r="FC50" s="293"/>
      <x:c r="FD50" s="293"/>
      <x:c r="FG50" s="117"/>
      <x:c r="FH50" s="117"/>
      <x:c r="FI50" s="117"/>
      <x:c r="FJ50" s="117"/>
      <x:c r="FK50" s="117"/>
      <x:c r="FL50" s="117"/>
      <x:c r="FM50" s="117"/>
      <x:c r="FN50" s="2210" t="s">
        <x:v>616</x:v>
      </x:c>
      <x:c r="FO50" s="2211"/>
      <x:c r="FP50" s="2211"/>
      <x:c r="FQ50" s="2211"/>
      <x:c r="FR50" s="2211"/>
      <x:c r="FS50" s="2212"/>
      <x:c r="FT50" s="2179" t="s">
        <x:v>617</x:v>
      </x:c>
      <x:c r="FU50" s="2180"/>
      <x:c r="FV50" s="2180"/>
      <x:c r="FW50" s="2180"/>
      <x:c r="FX50" s="2180"/>
      <x:c r="FY50" s="2180"/>
      <x:c r="FZ50" s="2181"/>
      <x:c r="GA50" s="246"/>
      <x:c r="GB50" s="246"/>
      <x:c r="GC50" s="117"/>
      <x:c r="GD50" s="246"/>
      <x:c r="GE50" s="246"/>
      <x:c r="GF50" s="246"/>
      <x:c r="GG50" s="246"/>
      <x:c r="GH50" s="246"/>
      <x:c r="GI50" s="117"/>
      <x:c r="GJ50" s="243"/>
    </x:row>
    <x:row r="51" spans="1:193" ht="12.6" hidden="1" customHeight="1" thickTop="1" thickBot="1" x14ac:dyDescent="0.25">
      <x:c r="BZ51" s="293"/>
      <x:c r="CA51" s="293"/>
      <x:c r="CB51" s="293"/>
      <x:c r="CC51" s="2049" t="s">
        <x:v>614</x:v>
      </x:c>
      <x:c r="CD51" s="2050"/>
      <x:c r="CE51" s="2050"/>
      <x:c r="CF51" s="2050"/>
      <x:c r="CG51" s="2050"/>
      <x:c r="CH51" s="2050"/>
      <x:c r="CI51" s="2050"/>
      <x:c r="CJ51" s="2050"/>
      <x:c r="CK51" s="2051"/>
      <x:c r="CL51" s="2049" t="s">
        <x:v>470</x:v>
      </x:c>
      <x:c r="CM51" s="2050"/>
      <x:c r="CN51" s="2050"/>
      <x:c r="CO51" s="2050"/>
      <x:c r="CP51" s="2050"/>
      <x:c r="CQ51" s="2050"/>
      <x:c r="CR51" s="2050"/>
      <x:c r="CS51" s="2050"/>
      <x:c r="CT51" s="2051"/>
      <x:c r="CU51" s="338"/>
      <x:c r="CV51" s="339"/>
      <x:c r="CW51" s="339"/>
      <x:c r="CX51" s="339"/>
      <x:c r="CY51" s="339"/>
      <x:c r="CZ51" s="339"/>
      <x:c r="DA51" s="339"/>
      <x:c r="DB51" s="339"/>
      <x:c r="DC51" s="339"/>
      <x:c r="DD51" s="339"/>
      <x:c r="DE51" s="339"/>
      <x:c r="DF51" s="339"/>
      <x:c r="DG51" s="339"/>
      <x:c r="DH51" s="339"/>
      <x:c r="DI51" s="339"/>
      <x:c r="DJ51" s="339"/>
      <x:c r="DK51" s="339"/>
      <x:c r="DL51" s="339"/>
      <x:c r="DM51" s="339"/>
      <x:c r="DN51" s="340"/>
      <x:c r="DO51" s="339"/>
      <x:c r="DP51" s="339"/>
      <x:c r="DQ51" s="339"/>
      <x:c r="DR51" s="339"/>
      <x:c r="DS51" s="339"/>
      <x:c r="DT51" s="339"/>
      <x:c r="DU51" s="339"/>
      <x:c r="DV51" s="339"/>
      <x:c r="DW51" s="339"/>
      <x:c r="DX51" s="339"/>
      <x:c r="DY51" s="339"/>
      <x:c r="DZ51" s="339"/>
      <x:c r="EA51" s="339"/>
      <x:c r="EB51" s="341"/>
      <x:c r="EC51" s="342"/>
      <x:c r="ED51" s="2028"/>
      <x:c r="EE51" s="2138"/>
      <x:c r="EF51" s="2138"/>
      <x:c r="EG51" s="2139"/>
      <x:c r="EH51" s="2138"/>
      <x:c r="EI51" s="2138"/>
      <x:c r="EJ51" s="2138"/>
      <x:c r="EK51" s="2028"/>
      <x:c r="EL51" s="2028"/>
      <x:c r="EM51" s="2028"/>
      <x:c r="EN51" s="2138"/>
      <x:c r="EO51" s="2028"/>
      <x:c r="EP51" s="2048"/>
      <x:c r="EQ51" s="2028"/>
      <x:c r="ER51" s="2028"/>
      <x:c r="ES51" s="2028"/>
      <x:c r="ET51" s="2028"/>
      <x:c r="EU51" s="2048"/>
      <x:c r="EV51" s="293"/>
      <x:c r="EW51" s="293"/>
      <x:c r="EX51" s="2200" t="s">
        <x:v>618</x:v>
      </x:c>
      <x:c r="EY51" s="2198" t="s">
        <x:v>619</x:v>
      </x:c>
      <x:c r="EZ51" s="293"/>
      <x:c r="FA51" s="293"/>
      <x:c r="FB51" s="293"/>
      <x:c r="FC51" s="293"/>
      <x:c r="FD51" s="293"/>
      <x:c r="FF51" s="2166" t="s">
        <x:v>947</x:v>
      </x:c>
      <x:c r="FG51" s="2167"/>
      <x:c r="FH51" s="2167"/>
      <x:c r="FI51" s="2167"/>
      <x:c r="FN51" s="2213"/>
      <x:c r="FO51" s="2214"/>
      <x:c r="FP51" s="2214"/>
      <x:c r="FQ51" s="2214"/>
      <x:c r="FR51" s="2214"/>
      <x:c r="FS51" s="2215"/>
      <x:c r="FT51" s="2182"/>
      <x:c r="FU51" s="2183"/>
      <x:c r="FV51" s="2183"/>
      <x:c r="FW51" s="2183"/>
      <x:c r="FX51" s="2183"/>
      <x:c r="FY51" s="2183"/>
      <x:c r="FZ51" s="2184"/>
      <x:c r="GA51" s="102"/>
      <x:c r="GB51" s="102"/>
      <x:c r="GC51" s="102"/>
      <x:c r="GD51" s="102"/>
      <x:c r="GE51" s="102"/>
      <x:c r="GF51" s="102"/>
      <x:c r="GG51" s="104"/>
      <x:c r="GH51" s="104"/>
      <x:c r="GJ51" s="140"/>
    </x:row>
    <x:row r="52" spans="1:193" ht="24.95" hidden="1" customHeight="1" thickTop="1" thickBot="1" x14ac:dyDescent="0.25">
      <x:c r="BZ52" s="293"/>
      <x:c r="CA52" s="293"/>
      <x:c r="CB52" s="2125" t="s">
        <x:v>613</x:v>
      </x:c>
      <x:c r="CC52" s="2042" t="s">
        <x:v>498</x:v>
      </x:c>
      <x:c r="CD52" s="2044" t="s">
        <x:v>499</x:v>
      </x:c>
      <x:c r="CE52" s="2044" t="s">
        <x:v>500</x:v>
      </x:c>
      <x:c r="CF52" s="2044" t="s">
        <x:v>501</x:v>
      </x:c>
      <x:c r="CG52" s="2044" t="s">
        <x:v>560</x:v>
      </x:c>
      <x:c r="CH52" s="2044" t="s">
        <x:v>502</x:v>
      </x:c>
      <x:c r="CI52" s="2044" t="s">
        <x:v>579</x:v>
      </x:c>
      <x:c r="CJ52" s="2044" t="s">
        <x:v>503</x:v>
      </x:c>
      <x:c r="CK52" s="2046" t="s">
        <x:v>504</x:v>
      </x:c>
      <x:c r="CL52" s="2042" t="s">
        <x:v>498</x:v>
      </x:c>
      <x:c r="CM52" s="2044" t="s">
        <x:v>499</x:v>
      </x:c>
      <x:c r="CN52" s="2044" t="s">
        <x:v>505</x:v>
      </x:c>
      <x:c r="CO52" s="2044" t="s">
        <x:v>501</x:v>
      </x:c>
      <x:c r="CP52" s="2044" t="s">
        <x:v>560</x:v>
      </x:c>
      <x:c r="CQ52" s="2044" t="s">
        <x:v>502</x:v>
      </x:c>
      <x:c r="CR52" s="2044" t="s">
        <x:v>579</x:v>
      </x:c>
      <x:c r="CS52" s="2044" t="s">
        <x:v>503</x:v>
      </x:c>
      <x:c r="CT52" s="2046" t="s">
        <x:v>504</x:v>
      </x:c>
      <x:c r="CU52" s="2132" t="s">
        <x:v>491</x:v>
      </x:c>
      <x:c r="CV52" s="2031" t="s">
        <x:v>506</x:v>
      </x:c>
      <x:c r="CW52" s="2031" t="s">
        <x:v>507</x:v>
      </x:c>
      <x:c r="CX52" s="2037" t="s">
        <x:v>508</x:v>
      </x:c>
      <x:c r="CY52" s="2027" t="s">
        <x:v>543</x:v>
      </x:c>
      <x:c r="CZ52" s="2135" t="s">
        <x:v>1015</x:v>
      </x:c>
      <x:c r="DA52" s="2136"/>
      <x:c r="DB52" s="2027" t="s">
        <x:v>510</x:v>
      </x:c>
      <x:c r="DC52" s="2031" t="s">
        <x:v>513</x:v>
      </x:c>
      <x:c r="DD52" s="2031" t="s">
        <x:v>514</x:v>
      </x:c>
      <x:c r="DE52" s="2027" t="s">
        <x:v>544</x:v>
      </x:c>
      <x:c r="DF52" s="2135" t="s">
        <x:v>1016</x:v>
      </x:c>
      <x:c r="DG52" s="2136"/>
      <x:c r="DH52" s="2031" t="s">
        <x:v>512</x:v>
      </x:c>
      <x:c r="DI52" s="2031" t="s">
        <x:v>515</x:v>
      </x:c>
      <x:c r="DJ52" s="2031" t="s">
        <x:v>516</x:v>
      </x:c>
      <x:c r="DK52" s="2031" t="s">
        <x:v>517</x:v>
      </x:c>
      <x:c r="DL52" s="2031" t="s">
        <x:v>545</x:v>
      </x:c>
      <x:c r="DM52" s="2029" t="s">
        <x:v>546</x:v>
      </x:c>
      <x:c r="DN52" s="2030"/>
      <x:c r="DO52" s="2029" t="s">
        <x:v>547</x:v>
      </x:c>
      <x:c r="DP52" s="2036"/>
      <x:c r="DQ52" s="2037" t="s">
        <x:v>548</x:v>
      </x:c>
      <x:c r="DR52" s="2038"/>
      <x:c r="DS52" s="2031" t="s">
        <x:v>568</x:v>
      </x:c>
      <x:c r="DT52" s="2029" t="s">
        <x:v>549</x:v>
      </x:c>
      <x:c r="DU52" s="2030"/>
      <x:c r="DV52" s="2029" t="s">
        <x:v>550</x:v>
      </x:c>
      <x:c r="DW52" s="2036"/>
      <x:c r="DX52" s="2037" t="s">
        <x:v>551</x:v>
      </x:c>
      <x:c r="DY52" s="2038"/>
      <x:c r="DZ52" s="2031" t="s">
        <x:v>12</x:v>
      </x:c>
      <x:c r="EA52" s="2031" t="s">
        <x:v>13</x:v>
      </x:c>
      <x:c r="EB52" s="2031" t="s">
        <x:v>582</x:v>
      </x:c>
      <x:c r="EC52" s="2031" t="s">
        <x:v>581</x:v>
      </x:c>
      <x:c r="ED52" s="2028"/>
      <x:c r="EE52" s="2138"/>
      <x:c r="EF52" s="2138"/>
      <x:c r="EG52" s="2139"/>
      <x:c r="EH52" s="2138"/>
      <x:c r="EI52" s="2138"/>
      <x:c r="EJ52" s="2138"/>
      <x:c r="EK52" s="2028"/>
      <x:c r="EL52" s="2028"/>
      <x:c r="EM52" s="2028"/>
      <x:c r="EN52" s="2138"/>
      <x:c r="EO52" s="2028"/>
      <x:c r="EP52" s="2048"/>
      <x:c r="EQ52" s="2028"/>
      <x:c r="ER52" s="2028"/>
      <x:c r="ES52" s="2028"/>
      <x:c r="ET52" s="2028"/>
      <x:c r="EU52" s="2048"/>
      <x:c r="EV52" s="2031" t="s">
        <x:v>590</x:v>
      </x:c>
      <x:c r="EW52" s="2031" t="s">
        <x:v>591</x:v>
      </x:c>
      <x:c r="EX52" s="2201"/>
      <x:c r="EY52" s="2198"/>
      <x:c r="EZ52" s="2161" t="s">
        <x:v>518</x:v>
      </x:c>
      <x:c r="FA52" s="2163" t="s">
        <x:v>519</x:v>
      </x:c>
      <x:c r="FB52" s="2202" t="s">
        <x:v>682</x:v>
      </x:c>
      <x:c r="FC52" s="2202" t="s">
        <x:v>683</x:v>
      </x:c>
      <x:c r="FD52" s="2159" t="s">
        <x:v>787</x:v>
      </x:c>
      <x:c r="FE52" s="2160"/>
      <x:c r="FF52" s="246" t="s">
        <x:v>948</x:v>
      </x:c>
      <x:c r="FK52" s="2145" t="s">
        <x:v>789</x:v>
      </x:c>
      <x:c r="FL52" s="2147" t="s">
        <x:v>620</x:v>
      </x:c>
      <x:c r="FM52" s="2149" t="s">
        <x:v>490</x:v>
      </x:c>
      <x:c r="FN52" s="2157" t="s">
        <x:v>492</x:v>
      </x:c>
      <x:c r="FO52" s="2164" t="s">
        <x:v>493</x:v>
      </x:c>
      <x:c r="FP52" s="2153" t="s">
        <x:v>494</x:v>
      </x:c>
      <x:c r="FQ52" s="2153" t="s">
        <x:v>495</x:v>
      </x:c>
      <x:c r="FR52" s="2155" t="s">
        <x:v>496</x:v>
      </x:c>
      <x:c r="FS52" s="2151" t="s">
        <x:v>497</x:v>
      </x:c>
      <x:c r="FT52" s="2143" t="s">
        <x:v>642</x:v>
      </x:c>
      <x:c r="FU52" s="2141" t="s">
        <x:v>484</x:v>
      </x:c>
      <x:c r="FV52" s="2141" t="s">
        <x:v>645</x:v>
      </x:c>
      <x:c r="FW52" s="2141" t="s">
        <x:v>644</x:v>
      </x:c>
      <x:c r="FX52" s="2141" t="s">
        <x:v>485</x:v>
      </x:c>
      <x:c r="FY52" s="2141" t="s">
        <x:v>643</x:v>
      </x:c>
      <x:c r="FZ52" s="2141" t="s">
        <x:v>646</x:v>
      </x:c>
      <x:c r="GA52" s="2141" t="s">
        <x:v>486</x:v>
      </x:c>
      <x:c r="GB52" s="2208" t="s">
        <x:v>487</x:v>
      </x:c>
      <x:c r="GC52" s="2206" t="s">
        <x:v>625</x:v>
      </x:c>
      <x:c r="GD52" s="207"/>
      <x:c r="GE52" s="133"/>
      <x:c r="GF52" s="133"/>
      <x:c r="GG52" s="137"/>
      <x:c r="GH52" s="137"/>
      <x:c r="GI52" s="138"/>
      <x:c r="GJ52" s="2204" t="s">
        <x:v>647</x:v>
      </x:c>
    </x:row>
    <x:row r="53" spans="1:193" ht="12.6" hidden="1" customHeight="1" thickTop="1" thickBot="1" x14ac:dyDescent="0.25">
      <x:c r="BZ53" s="293"/>
      <x:c r="CA53" s="293"/>
      <x:c r="CB53" s="2126"/>
      <x:c r="CC53" s="2043"/>
      <x:c r="CD53" s="2048"/>
      <x:c r="CE53" s="2048"/>
      <x:c r="CF53" s="2045"/>
      <x:c r="CG53" s="2045"/>
      <x:c r="CH53" s="2045"/>
      <x:c r="CI53" s="2045"/>
      <x:c r="CJ53" s="2045"/>
      <x:c r="CK53" s="2047"/>
      <x:c r="CL53" s="2043"/>
      <x:c r="CM53" s="2048"/>
      <x:c r="CN53" s="2048"/>
      <x:c r="CO53" s="2045"/>
      <x:c r="CP53" s="2045"/>
      <x:c r="CQ53" s="2045"/>
      <x:c r="CR53" s="2045"/>
      <x:c r="CS53" s="2045"/>
      <x:c r="CT53" s="2047"/>
      <x:c r="CU53" s="2133"/>
      <x:c r="CV53" s="2032"/>
      <x:c r="CW53" s="2131"/>
      <x:c r="CX53" s="2134"/>
      <x:c r="CY53" s="2028"/>
      <x:c r="CZ53" s="343" t="s">
        <x:v>554</x:v>
      </x:c>
      <x:c r="DA53" s="343" t="s">
        <x:v>555</x:v>
      </x:c>
      <x:c r="DB53" s="2028"/>
      <x:c r="DC53" s="2032"/>
      <x:c r="DD53" s="2032"/>
      <x:c r="DE53" s="2028"/>
      <x:c r="DF53" s="343" t="s">
        <x:v>554</x:v>
      </x:c>
      <x:c r="DG53" s="343" t="s">
        <x:v>555</x:v>
      </x:c>
      <x:c r="DH53" s="2032"/>
      <x:c r="DI53" s="2032"/>
      <x:c r="DJ53" s="2032"/>
      <x:c r="DK53" s="2032"/>
      <x:c r="DL53" s="2032"/>
      <x:c r="DM53" s="344" t="s">
        <x:v>521</x:v>
      </x:c>
      <x:c r="DN53" s="344" t="s">
        <x:v>522</x:v>
      </x:c>
      <x:c r="DO53" s="344" t="s">
        <x:v>521</x:v>
      </x:c>
      <x:c r="DP53" s="344" t="s">
        <x:v>522</x:v>
      </x:c>
      <x:c r="DQ53" s="344" t="s">
        <x:v>521</x:v>
      </x:c>
      <x:c r="DR53" s="344" t="s">
        <x:v>522</x:v>
      </x:c>
      <x:c r="DS53" s="2032"/>
      <x:c r="DT53" s="344" t="s">
        <x:v>521</x:v>
      </x:c>
      <x:c r="DU53" s="344" t="s">
        <x:v>522</x:v>
      </x:c>
      <x:c r="DV53" s="344" t="s">
        <x:v>521</x:v>
      </x:c>
      <x:c r="DW53" s="344" t="s">
        <x:v>522</x:v>
      </x:c>
      <x:c r="DX53" s="344" t="s">
        <x:v>521</x:v>
      </x:c>
      <x:c r="DY53" s="344" t="s">
        <x:v>522</x:v>
      </x:c>
      <x:c r="DZ53" s="2032"/>
      <x:c r="EA53" s="2032"/>
      <x:c r="EB53" s="2140"/>
      <x:c r="EC53" s="2140"/>
      <x:c r="ED53" s="2028"/>
      <x:c r="EE53" s="2138"/>
      <x:c r="EF53" s="2138"/>
      <x:c r="EG53" s="2139"/>
      <x:c r="EH53" s="2138"/>
      <x:c r="EI53" s="2138"/>
      <x:c r="EJ53" s="2138"/>
      <x:c r="EK53" s="2028"/>
      <x:c r="EL53" s="2028"/>
      <x:c r="EM53" s="2028"/>
      <x:c r="EN53" s="2138"/>
      <x:c r="EO53" s="2028"/>
      <x:c r="EP53" s="2048"/>
      <x:c r="EQ53" s="2028"/>
      <x:c r="ER53" s="2028"/>
      <x:c r="ES53" s="2028"/>
      <x:c r="ET53" s="2028"/>
      <x:c r="EU53" s="2048"/>
      <x:c r="EV53" s="2032"/>
      <x:c r="EW53" s="2032"/>
      <x:c r="EX53" s="2201"/>
      <x:c r="EY53" s="2199"/>
      <x:c r="EZ53" s="2162"/>
      <x:c r="FA53" s="2047"/>
      <x:c r="FB53" s="2203"/>
      <x:c r="FC53" s="2203"/>
      <x:c r="FD53" s="508" t="s">
        <x:v>606</x:v>
      </x:c>
      <x:c r="FE53" s="509" t="s">
        <x:v>607</x:v>
      </x:c>
      <x:c r="FF53" s="251" t="s">
        <x:v>949</x:v>
      </x:c>
      <x:c r="FG53" s="251" t="s">
        <x:v>950</x:v>
      </x:c>
      <x:c r="FH53" s="251" t="s">
        <x:v>951</x:v>
      </x:c>
      <x:c r="FI53" s="251" t="s">
        <x:v>952</x:v>
      </x:c>
      <x:c r="FK53" s="2146"/>
      <x:c r="FL53" s="2148"/>
      <x:c r="FM53" s="2150"/>
      <x:c r="FN53" s="2158"/>
      <x:c r="FO53" s="2165"/>
      <x:c r="FP53" s="2154"/>
      <x:c r="FQ53" s="2154"/>
      <x:c r="FR53" s="2156"/>
      <x:c r="FS53" s="2152"/>
      <x:c r="FT53" s="2144"/>
      <x:c r="FU53" s="2142"/>
      <x:c r="FV53" s="2142"/>
      <x:c r="FW53" s="2142"/>
      <x:c r="FX53" s="2142"/>
      <x:c r="FY53" s="2142"/>
      <x:c r="FZ53" s="2142"/>
      <x:c r="GA53" s="2142"/>
      <x:c r="GB53" s="2209"/>
      <x:c r="GC53" s="2207"/>
      <x:c r="GD53" s="208" t="s">
        <x:v>623</x:v>
      </x:c>
      <x:c r="GE53" s="142" t="s">
        <x:v>624</x:v>
      </x:c>
      <x:c r="GF53" s="135" t="s">
        <x:v>626</x:v>
      </x:c>
      <x:c r="GG53" s="135" t="s">
        <x:v>627</x:v>
      </x:c>
      <x:c r="GH53" s="135" t="s">
        <x:v>628</x:v>
      </x:c>
      <x:c r="GI53" s="136" t="s">
        <x:v>629</x:v>
      </x:c>
      <x:c r="GJ53" s="2205"/>
      <x:c r="GK53" s="915" t="s">
        <x:v>953</x:v>
      </x:c>
    </x:row>
    <x:row r="54" spans="1:193" ht="12.6" hidden="1" customHeight="1" thickTop="1" x14ac:dyDescent="0.2">
      <x:c r="BZ54" s="293"/>
      <x:c r="CA54" s="293"/>
      <x:c r="CB54" s="345"/>
      <x:c r="CC54" s="346"/>
      <x:c r="CD54" s="347"/>
      <x:c r="CE54" s="347"/>
      <x:c r="CF54" s="347"/>
      <x:c r="CG54" s="347"/>
      <x:c r="CH54" s="347"/>
      <x:c r="CI54" s="347"/>
      <x:c r="CJ54" s="347"/>
      <x:c r="CK54" s="348"/>
      <x:c r="CL54" s="346"/>
      <x:c r="CM54" s="347"/>
      <x:c r="CN54" s="347"/>
      <x:c r="CO54" s="347"/>
      <x:c r="CP54" s="347"/>
      <x:c r="CQ54" s="347"/>
      <x:c r="CR54" s="347"/>
      <x:c r="CS54" s="347"/>
      <x:c r="CT54" s="348"/>
      <x:c r="CU54" s="349"/>
      <x:c r="CV54" s="350"/>
      <x:c r="CW54" s="350"/>
      <x:c r="CX54" s="350"/>
      <x:c r="CY54" s="351"/>
      <x:c r="CZ54" s="351"/>
      <x:c r="DA54" s="351"/>
      <x:c r="DB54" s="350"/>
      <x:c r="DC54" s="350"/>
      <x:c r="DD54" s="352"/>
      <x:c r="DE54" s="350"/>
      <x:c r="DF54" s="351"/>
      <x:c r="DG54" s="351"/>
      <x:c r="DH54" s="350"/>
      <x:c r="DI54" s="350"/>
      <x:c r="DJ54" s="352"/>
      <x:c r="DK54" s="350"/>
      <x:c r="DL54" s="350"/>
      <x:c r="DM54" s="350"/>
      <x:c r="DN54" s="350"/>
      <x:c r="DO54" s="350"/>
      <x:c r="DP54" s="350"/>
      <x:c r="DQ54" s="350"/>
      <x:c r="DR54" s="350"/>
      <x:c r="DS54" s="350"/>
      <x:c r="DT54" s="350"/>
      <x:c r="DU54" s="350"/>
      <x:c r="DV54" s="350"/>
      <x:c r="DW54" s="350"/>
      <x:c r="DX54" s="350"/>
      <x:c r="DY54" s="350"/>
      <x:c r="DZ54" s="350"/>
      <x:c r="EA54" s="350"/>
      <x:c r="EB54" s="353"/>
      <x:c r="EC54" s="354"/>
      <x:c r="ED54" s="353"/>
      <x:c r="EE54" s="353"/>
      <x:c r="EF54" s="353"/>
      <x:c r="EG54" s="353"/>
      <x:c r="EH54" s="353"/>
      <x:c r="EI54" s="353"/>
      <x:c r="EJ54" s="353"/>
      <x:c r="EK54" s="351"/>
      <x:c r="EL54" s="351"/>
      <x:c r="EM54" s="351"/>
      <x:c r="EN54" s="351"/>
      <x:c r="EO54" s="350"/>
      <x:c r="EP54" s="351"/>
      <x:c r="EQ54" s="351"/>
      <x:c r="ER54" s="351"/>
      <x:c r="ES54" s="351"/>
      <x:c r="ET54" s="350"/>
      <x:c r="EU54" s="350"/>
      <x:c r="EV54" s="353"/>
      <x:c r="EW54" s="355"/>
      <x:c r="EX54" s="356"/>
      <x:c r="EY54" s="357"/>
      <x:c r="EZ54" s="358"/>
      <x:c r="FA54" s="359"/>
      <x:c r="FB54" s="360"/>
      <x:c r="FC54" s="361"/>
      <x:c r="FD54" s="523"/>
      <x:c r="FE54" s="524"/>
      <x:c r="FF54" s="754" t="b">
        <x:f t="shared" ref="FF54:FF85" si="106">IF(ISERROR(AR14),TRUE,IF(OR(AR14="",ISBLANK(AR14)),FALSE,IF(ISTEXT(AR14),IF(AND(AR14="P",LEFT(AS14,1)="#"),FALSE,TRUE),IF(ISTEXT(AS14),TRUE,FALSE))))</x:f>
        <x:v>0</x:v>
      </x:c>
      <x:c r="FG54" s="754" t="b">
        <x:f t="shared" ref="FG54:FG85" si="107">IF(ISERROR(AV14),TRUE,IF(OR(AV14="",ISBLANK(AV14)),FALSE,IF(ISTEXT(AV14),IF(AND(AV14="P",LEFT(AW14,1)="#"),FALSE,TRUE),IF(ISTEXT(AW14),TRUE,FALSE))))</x:f>
        <x:v>0</x:v>
      </x:c>
      <x:c r="FH54" s="754" t="b">
        <x:f t="shared" ref="FH54:FH85" si="108">IF(ISERROR(AZ14),TRUE,IF(OR(AZ14="",ISBLANK(AZ14)),FALSE,IF(ISTEXT(AZ14),IF(AND(AZ14="P",LEFT(BA14,1)="#"),FALSE,TRUE),IF(ISTEXT(BA14),TRUE,FALSE))))</x:f>
        <x:v>0</x:v>
      </x:c>
      <x:c r="FI54" s="754" t="b">
        <x:f t="shared" ref="FI54:FI85" si="109">IF(ISERROR(BD14),TRUE,IF(OR(BD14="",ISBLANK(BD14)),FALSE,IF(ISTEXT(BD14),IF(AND(BD14="P",LEFT(BE14,1)="#"),FALSE,TRUE),IF(ISTEXT(BE14),TRUE,FALSE))))</x:f>
        <x:v>0</x:v>
      </x:c>
      <x:c r="FJ54" s="782"/>
      <x:c r="FK54" s="519" t="str">
        <x:f>IF(ISBLANK(DH14),"",DH14)</x:f>
        <x:v/>
      </x:c>
      <x:c r="FL54" s="311" t="e">
        <x:f>VLOOKUP(DH14,$CB$54:$DK$85,36,FALSE)</x:f>
        <x:v>#N/A</x:v>
      </x:c>
      <x:c r="FM54" s="312" t="str">
        <x:f t="shared" ref="FM54:FM85" si="110">IF(ISBLANK(DH15),IF(SUM(DJ15:DN15)=0,"",IF(ISBLANK(DI15),"X","")),"")</x:f>
        <x:v/>
      </x:c>
      <x:c r="FN54" s="263" t="str">
        <x:f>IF(SUM(DJ14:DN14)=0,"",IF(OR(FS54=0,DL14=""),"",CEILING(IF(AND(DJ14="",DK14=""),IF(AND(DM14="",DN14=""),(FS54-FO54*FP54)/2,(DJ14*12+DK14+(DL14*(DM14*12+DN14)))-FO54*FP54),(DJ14*12+DK14))-0.0625,0.125)))</x:f>
        <x:v/>
      </x:c>
      <x:c r="FO54" s="264" t="str">
        <x:f>IF(SUM(DJ14:DN14)=0,"",IF(OR(FS54=0,DL14=""),"",DL14-IF(AND(DJ14="",DK14=""),1,0)-IF(AND(DM14="",DN14="",FM54=""),1,0)))</x:f>
        <x:v/>
      </x:c>
      <x:c r="FP54" s="265" t="str">
        <x:f>IF(SUM(DJ14:DN14)=0,"",IF(OR(FS54=0,DL14=""),"",CEILING(IF(AND(DM14="",DN14=""),IF(DL14=FO54,(FS54-FN54-FQ54)/FO54,(FS54-IF(AND(DJ14="",DK14=""),0,FN54)-IF(FM54="",0,FQ54))/DL14),DM14*12+DN14)-0.0625,0.125)))</x:f>
        <x:v/>
      </x:c>
      <x:c r="FQ54" s="265" t="str">
        <x:f>IF(SUM(DJ14:DN14)=0,"",IF(OR(FS54=0,DL14=""),"",IF(UPPER(FM54)="X",0,FS54-FN54-FO54*FP54)))</x:f>
        <x:v/>
      </x:c>
      <x:c r="FR54" s="313">
        <x:f>IF(FS54="",0,IF(OR(FS54=0,DL14=""),0,FS54-(FN54+FO54*FP54+FQ54)))</x:f>
        <x:v>0</x:v>
      </x:c>
      <x:c r="FS54" s="314" t="str">
        <x:f>IF(SUM(DJ14:DN14)=0,"",VLOOKUP(DH14,CB28:CF45,4,FALSE)*12+VLOOKUP(DH14,CB28:CF45,5,FALSE))</x:f>
        <x:v/>
      </x:c>
      <x:c r="FT54" s="263" t="str">
        <x:f>IF(SUM(DJ14:DN14)=0,"",IF(FU54="","",FL54))</x:f>
        <x:v/>
      </x:c>
      <x:c r="FU54" s="266" t="str">
        <x:f>IF(SUM(DJ14:DN14)=0,"",1)</x:f>
        <x:v/>
      </x:c>
      <x:c r="FV54" s="315" t="str">
        <x:f>IF(FW54="","",CEILING(FW54+GJ54-0.0625,0.125))</x:f>
        <x:v/>
      </x:c>
      <x:c r="FW54" s="267" t="str">
        <x:f>IF(SUM(DJ14:DN14)=0,"",IF(OR(FN54=0,FN54=""),"",(FN54+VLOOKUP(DH14,CB54:CD85,3,FALSE)-VLOOKUP(DH14,CB54:DD85,29,FALSE))/COS(VLOOKUP(DH14,$CB$54:$EU$85,72,FALSE))))</x:f>
        <x:v/>
      </x:c>
      <x:c r="FX54" s="267" t="str">
        <x:f>IF(SUM(DJ14:DN14)=0,"",IF(FO54=0,0,IF(FP54="","",CEILING(FP54/COS(VLOOKUP(FK54,$CB$54:$EU$85,72,FALSE))-0.0625,0.125))))</x:f>
        <x:v/>
      </x:c>
      <x:c r="FY54" s="267" t="str">
        <x:f>IF(SUM(DJ14:DN14)=0,"",IF(OR(FQ54=0,FQ54=""),"",FT54-IF(FW54="",0,FW54)-FO54*FX54))</x:f>
        <x:v/>
      </x:c>
      <x:c r="FZ54" s="267" t="str">
        <x:f>IF(FY54="","",CEILING(FT54-IF(FV54="",0,FV54)-(FO54*FX54)-0.0625,0.125))</x:f>
        <x:v/>
      </x:c>
      <x:c r="GA54" s="267" t="str">
        <x:f>IF(SUM(DJ14:DN14)=0,"",IF(FW54="",0,FW54)+FO54*FX54+IF(FY54="",0,FY54))</x:f>
        <x:v/>
      </x:c>
      <x:c r="GB54" s="268" t="str">
        <x:f ca="1">IF(SUM(DJ14:DN14)=0,"",IF(FY54="","",2+SUM(FO54:OFFSET(FO54,(FU54-1)*-1,0))))</x:f>
        <x:v/>
      </x:c>
      <x:c r="GC54" s="316" t="e">
        <x:f>VLOOKUP(DH14,$CB$54:$CD$85,3,FALSE)</x:f>
        <x:v>#N/A</x:v>
      </x:c>
      <x:c r="GD54" s="317" t="str">
        <x:f t="shared" ref="GD54:GD85" si="111">IF(ISBLANK(DT14),"",MAX(0,DT14+VLOOKUP(FK54,$CB$54:$CD$85,3,FALSE)))</x:f>
        <x:v/>
      </x:c>
      <x:c r="GE54" s="318" t="str">
        <x:f t="shared" ref="GE54:GE85" si="112">IF(ISBLANK(DU14),"",MAX(0,DU14+VLOOKUP(FK54,$CB$54:$CM$85,12,FALSE)))</x:f>
        <x:v/>
      </x:c>
      <x:c r="GF54" s="269" t="str">
        <x:f t="shared" ref="GF54:GF85" si="113">IF(AND(ISBLANK(DV14),ISBLANK(DW14)),"",IF(DV14="P",IF(ISNUMBER(DW14),CONCATENATE("#", DW14),DW14),CEILING((DV14*12+DW14+GC54)/COS(VLOOKUP(FK54,$CB$54:$EU$85,72,FALSE))-0.0625,0.125)))</x:f>
        <x:v/>
      </x:c>
      <x:c r="GG54" s="270" t="str">
        <x:f t="shared" ref="GG54:GG85" si="114">IF(AND(ISBLANK(DZ14),ISBLANK(EA14)),"",IF(DZ14="P",IF(ISNUMBER(EA14),CONCATENATE("#", EA14),EA14),CEILING((DZ14*12+EA14+GC54)/COS(VLOOKUP(FK54,$CB$54:$EU$85,72,FALSE))-0.0625,0.125)))</x:f>
        <x:v/>
      </x:c>
      <x:c r="GH54" s="270" t="str">
        <x:f t="shared" ref="GH54:GH85" si="115">IF(AND(ISBLANK(ED14),ISBLANK(EE14)),"",IF(ED14="P",IF(ISNUMBER(EE14),CONCATENATE("#", EE14),EE14),CEILING((ED14*12+EE14+GC54)/COS(VLOOKUP(FK54,$CB$54:$EU$85,72,FALSE))-0.0625,0.125)))</x:f>
        <x:v/>
      </x:c>
      <x:c r="GI54" s="271" t="str">
        <x:f t="shared" ref="GI54:GI85" si="116">IF(AND(ISBLANK(EH14),ISBLANK(EI14)),"",IF(EH14="P",IF(ISNUMBER(EI14),CONCATENATE("#", EI14),EI14),CEILING((EH14*12+EI14+GC54)/COS(VLOOKUP(FK54,$CB$54:$EU$85,72,FALSE))-0.0625,0.125)))</x:f>
        <x:v/>
      </x:c>
      <x:c r="GJ54" s="319">
        <x:f t="shared" ref="GJ54:GJ84" ca="1" si="117">IF(FY54="",GJ55,(FY54-(FQ54+VLOOKUP(FK54,$CB$54:$EU$85,12,FALSE)-VLOOKUP(FK54,$CB$54:$EU$85,34,FALSE))/COS(VLOOKUP(FK54,$CB$54:$EU$85,72,FALSE)))/2)</x:f>
        <x:v>0</x:v>
      </x:c>
      <x:c r="GK54" s="916" t="str">
        <x:f t="shared" ref="GK54:GK85" ca="1" si="118">CONCATENATE(IF(AND(AD14&lt;&gt;"",AE14&lt;&gt;""),IF(AD14*12+AE14+IF(VLOOKUP(BX14,$BJ$14:$BN$45,5,FALSE)="BG",AG14*12+AH14,0)&lt;VLOOKUP(BX14,$BJ$14:$BM$45,4,FALSE)/$EX$5,"A",""),""),IF(AND(AI14&lt;&gt;"",AJ14&lt;&gt;""),IF(AI14*12+AJ14+IF(VLOOKUP(BX14,$BJ$14:$BN$45,5,FALSE)="BG",AG14*12+AH14,0)&lt;VLOOKUP(BX14,$BJ$14:$BM$45,4,FALSE)/$EX$5,"B",""),""))</x:f>
        <x:v/>
      </x:c>
    </x:row>
    <x:row r="55" spans="1:193" ht="12.6" hidden="1" customHeight="1" x14ac:dyDescent="0.2">
      <x:c r="BZ55" s="293"/>
      <x:c r="CA55" s="293"/>
      <x:c r="CB55" s="345"/>
      <x:c r="CC55" s="346"/>
      <x:c r="CD55" s="347"/>
      <x:c r="CE55" s="347"/>
      <x:c r="CF55" s="347"/>
      <x:c r="CG55" s="347"/>
      <x:c r="CH55" s="347"/>
      <x:c r="CI55" s="347"/>
      <x:c r="CJ55" s="347"/>
      <x:c r="CK55" s="348"/>
      <x:c r="CL55" s="346"/>
      <x:c r="CM55" s="347"/>
      <x:c r="CN55" s="347"/>
      <x:c r="CO55" s="347"/>
      <x:c r="CP55" s="347"/>
      <x:c r="CQ55" s="347"/>
      <x:c r="CR55" s="347"/>
      <x:c r="CS55" s="347"/>
      <x:c r="CT55" s="348"/>
      <x:c r="CU55" s="349"/>
      <x:c r="CV55" s="350"/>
      <x:c r="CW55" s="350"/>
      <x:c r="CX55" s="350"/>
      <x:c r="CY55" s="351"/>
      <x:c r="CZ55" s="351"/>
      <x:c r="DA55" s="351"/>
      <x:c r="DB55" s="350"/>
      <x:c r="DC55" s="350"/>
      <x:c r="DD55" s="352"/>
      <x:c r="DE55" s="350"/>
      <x:c r="DF55" s="351"/>
      <x:c r="DG55" s="351"/>
      <x:c r="DH55" s="350"/>
      <x:c r="DI55" s="350"/>
      <x:c r="DJ55" s="352"/>
      <x:c r="DK55" s="350"/>
      <x:c r="DL55" s="350"/>
      <x:c r="DM55" s="350"/>
      <x:c r="DN55" s="350"/>
      <x:c r="DO55" s="350"/>
      <x:c r="DP55" s="350"/>
      <x:c r="DQ55" s="350"/>
      <x:c r="DR55" s="350"/>
      <x:c r="DS55" s="350"/>
      <x:c r="DT55" s="350"/>
      <x:c r="DU55" s="350"/>
      <x:c r="DV55" s="350"/>
      <x:c r="DW55" s="350"/>
      <x:c r="DX55" s="350"/>
      <x:c r="DY55" s="350"/>
      <x:c r="DZ55" s="350"/>
      <x:c r="EA55" s="350"/>
      <x:c r="EB55" s="353"/>
      <x:c r="EC55" s="354"/>
      <x:c r="ED55" s="353"/>
      <x:c r="EE55" s="353"/>
      <x:c r="EF55" s="353"/>
      <x:c r="EG55" s="353"/>
      <x:c r="EH55" s="353"/>
      <x:c r="EI55" s="353"/>
      <x:c r="EJ55" s="353"/>
      <x:c r="EK55" s="351"/>
      <x:c r="EL55" s="351"/>
      <x:c r="EM55" s="351"/>
      <x:c r="EN55" s="351"/>
      <x:c r="EO55" s="350"/>
      <x:c r="EP55" s="351"/>
      <x:c r="EQ55" s="351"/>
      <x:c r="ER55" s="351"/>
      <x:c r="ES55" s="351"/>
      <x:c r="ET55" s="350"/>
      <x:c r="EU55" s="350"/>
      <x:c r="EV55" s="353"/>
      <x:c r="EW55" s="353"/>
      <x:c r="EX55" s="356"/>
      <x:c r="EY55" s="362"/>
      <x:c r="EZ55" s="346"/>
      <x:c r="FA55" s="359"/>
      <x:c r="FB55" s="363"/>
      <x:c r="FC55" s="364"/>
      <x:c r="FD55" s="525"/>
      <x:c r="FE55" s="526"/>
      <x:c r="FF55" s="754" t="b">
        <x:f t="shared" si="106"/>
        <x:v>0</x:v>
      </x:c>
      <x:c r="FG55" s="754" t="b">
        <x:f t="shared" si="107"/>
        <x:v>0</x:v>
      </x:c>
      <x:c r="FH55" s="754" t="b">
        <x:f t="shared" si="108"/>
        <x:v>0</x:v>
      </x:c>
      <x:c r="FI55" s="917" t="b">
        <x:f t="shared" si="109"/>
        <x:v>0</x:v>
      </x:c>
      <x:c r="FJ55" s="920" t="str">
        <x:f t="shared" ref="FJ55:FJ85" si="119">IF(AND(COUNTA(DH15:EK15)&gt;0,FK55=FK54,FK55&lt;&gt;""),"G","")</x:f>
        <x:v/>
      </x:c>
      <x:c r="FK55" s="919" t="str">
        <x:f t="shared" ref="FK55:FK85" si="120">IF(ISBLANK(DH15),FK54,DH15)</x:f>
        <x:v/>
      </x:c>
      <x:c r="FL55" s="320" t="e">
        <x:f t="shared" ref="FL55:FL85" si="121">IF(ISERROR(VLOOKUP(DH15,$CB$54:$DK$85,36,FALSE)),FL54,VLOOKUP(DH15,$CB$54:$DK$85,36,FALSE))</x:f>
        <x:v>#N/A</x:v>
      </x:c>
      <x:c r="FM55" s="312" t="str">
        <x:f t="shared" si="110"/>
        <x:v/>
      </x:c>
      <x:c r="FN55" s="272" t="str">
        <x:f t="shared" ref="FN55:FN85" ca="1" si="122">IF(OR(FS55=0,DL15=""),"",IF(UPPER(FM54)="X",0,CEILING(IF(AND(DJ15="",DK15=""),IF(UPPER(FM55)="X",FP55,IF(AND(DM15="",DN15=""),(FS55-FO55*FP55)/2,(DJ15*12+DK15+(DL15*(DM15*12+DN15)))-FO55*FP55)),(DJ15*12+DK15))-0.0625,0.125)))</x:f>
        <x:v/>
      </x:c>
      <x:c r="FO55" s="273" t="str">
        <x:f t="shared" ref="FO55:FO85" ca="1" si="123">IF(OR(FS55=0,DL15=""),"",DL15-IF(AND(DJ15="",DK15="",FM54&lt;&gt;"X"),1,0)-IF(AND(DM15="",DN15="",FM55=""),1,0))</x:f>
        <x:v/>
      </x:c>
      <x:c r="FP55" s="274" t="str">
        <x:f t="shared" ref="FP55:FP85" ca="1" si="124">IF(OR(FS55=0,DL15=""),"",CEILING(IF(AND(DM15="",DN15=""),IF(DL15=FO55,(FS55-FN55-FQ55)/FO55,(FS55-IF(AND(DJ15="",DK15=""),0,FN55)-IF(FM55="",0,FQ55))/DL15),DM15*12+DN15)-0.0625,0.125))</x:f>
        <x:v/>
      </x:c>
      <x:c r="FQ55" s="274" t="str">
        <x:f t="shared" ref="FQ55:FQ85" ca="1" si="125">IF(OR(FS55=0,DL15=""),"",IF(UPPER(FM55)="X",0,FS55-FN55-FO55*FP55))</x:f>
        <x:v/>
      </x:c>
      <x:c r="FR55" s="321">
        <x:f t="shared" ref="FR55:FR85" ca="1" si="126">IF(OR(FS55=0,DL15=""),0,FS55-(FN55+FO55*FP55+FQ55))</x:f>
        <x:v>0</x:v>
      </x:c>
      <x:c r="FS55" s="322">
        <x:f t="shared" ref="FS55:FS85" ca="1" si="127">IF(ISBLANK(DH15),IF(FR54=0,IF(OR(DI15="F",DI15="N"),OFFSET(FS54,(-1*(FU54-1)),0),0),FR54),VLOOKUP(DH15,$CB$28:$CF$45,4,FALSE)*12+VLOOKUP(DH15,$CB$28:$CF$45,5,FALSE))</x:f>
        <x:v>0</x:v>
      </x:c>
      <x:c r="FT55" s="272" t="str">
        <x:f ca="1">IF(FU55="","",IF(FU55=1,IF(FL55="",OFFSET(FL55,(-1*FU54),0),FL55),FT54-GA54))</x:f>
        <x:v/>
      </x:c>
      <x:c r="FU55" s="275" t="str">
        <x:f ca="1">IF(FS55=0,"",IF(FR54=0,1,FU54+1))</x:f>
        <x:v/>
      </x:c>
      <x:c r="FV55" s="323" t="str">
        <x:f ca="1">IF(FW55="","",CEILING(FW55+GJ55-0.0625,0.125))</x:f>
        <x:v/>
      </x:c>
      <x:c r="FW55" s="276" t="str">
        <x:f t="shared" ref="FW55:FW85" ca="1" si="128">IF(OR(FN55=0,FN55=""),"",(FN55+VLOOKUP(FK55,$CB$54:$CD$85,3,FALSE)-VLOOKUP(FK55,$CB$54:$DD$85,29,FALSE))/COS(VLOOKUP(FK55,$CB$54:$EU$85,72,FALSE)))</x:f>
        <x:v/>
      </x:c>
      <x:c r="FX55" s="276" t="str">
        <x:f t="shared" ref="FX55:FX85" ca="1" si="129">IF(FO55=0,0,IF(FP55="","",CEILING(FP55/COS(VLOOKUP(FK55,$CB$54:$EU$85,72,FALSE))-0.0625,0.125)))</x:f>
        <x:v/>
      </x:c>
      <x:c r="FY55" s="276" t="str">
        <x:f ca="1">IF(OR(FQ55=0,FQ55=""),"",FT55-IF(FW55="",0,FW55)-FO55*FX55)</x:f>
        <x:v/>
      </x:c>
      <x:c r="FZ55" s="276" t="str">
        <x:f t="shared" ref="FZ55:FZ85" ca="1" si="130">IF(FY55="","",CEILING(FT55-IF(FV55="",0,FV55)-(FO55*FX55)-0.0625,0.125))</x:f>
        <x:v/>
      </x:c>
      <x:c r="GA55" s="276" t="str">
        <x:f ca="1">IF(FP55="","",IF(FW55="",0,FW55)+FO55*FX55+IF(FY55="",0,FY55))</x:f>
        <x:v/>
      </x:c>
      <x:c r="GB55" s="277" t="str">
        <x:f ca="1">IF(FY55="","",2+SUM(FO55:OFFSET(FO55,(FU55-1)*-1,0)))</x:f>
        <x:v/>
      </x:c>
      <x:c r="GC55" s="316" t="e">
        <x:f t="shared" ref="GC55:GC85" si="131">IF(ISERROR(VLOOKUP(DH15,$CB$54:$CD$85,3,FALSE)),GC54,VLOOKUP(DH15,$CB$54:$CD$85,3,FALSE))</x:f>
        <x:v>#N/A</x:v>
      </x:c>
      <x:c r="GD55" s="324" t="str">
        <x:f t="shared" si="111"/>
        <x:v/>
      </x:c>
      <x:c r="GE55" s="325" t="str">
        <x:f t="shared" si="112"/>
        <x:v/>
      </x:c>
      <x:c r="GF55" s="278" t="str">
        <x:f t="shared" si="113"/>
        <x:v/>
      </x:c>
      <x:c r="GG55" s="279" t="str">
        <x:f t="shared" si="114"/>
        <x:v/>
      </x:c>
      <x:c r="GH55" s="279" t="str">
        <x:f t="shared" si="115"/>
        <x:v/>
      </x:c>
      <x:c r="GI55" s="280" t="str">
        <x:f t="shared" si="116"/>
        <x:v/>
      </x:c>
      <x:c r="GJ55" s="326">
        <x:f t="shared" ca="1" si="117"/>
        <x:v>0</x:v>
      </x:c>
      <x:c r="GK55" s="913" t="str">
        <x:f t="shared" ca="1" si="118"/>
        <x:v/>
      </x:c>
    </x:row>
    <x:row r="56" spans="1:193" ht="12.6" hidden="1" customHeight="1" x14ac:dyDescent="0.2">
      <x:c r="BZ56" s="293"/>
      <x:c r="CA56" s="293"/>
      <x:c r="CB56" s="345"/>
      <x:c r="CC56" s="346"/>
      <x:c r="CD56" s="347"/>
      <x:c r="CE56" s="347"/>
      <x:c r="CF56" s="347"/>
      <x:c r="CG56" s="347"/>
      <x:c r="CH56" s="347"/>
      <x:c r="CI56" s="347"/>
      <x:c r="CJ56" s="347"/>
      <x:c r="CK56" s="348"/>
      <x:c r="CL56" s="346"/>
      <x:c r="CM56" s="347"/>
      <x:c r="CN56" s="347"/>
      <x:c r="CO56" s="347"/>
      <x:c r="CP56" s="347"/>
      <x:c r="CQ56" s="347"/>
      <x:c r="CR56" s="347"/>
      <x:c r="CS56" s="347"/>
      <x:c r="CT56" s="348"/>
      <x:c r="CU56" s="349"/>
      <x:c r="CV56" s="350"/>
      <x:c r="CW56" s="350"/>
      <x:c r="CX56" s="350"/>
      <x:c r="CY56" s="351"/>
      <x:c r="CZ56" s="351"/>
      <x:c r="DA56" s="351"/>
      <x:c r="DB56" s="350"/>
      <x:c r="DC56" s="350"/>
      <x:c r="DD56" s="352"/>
      <x:c r="DE56" s="350"/>
      <x:c r="DF56" s="351"/>
      <x:c r="DG56" s="351"/>
      <x:c r="DH56" s="350"/>
      <x:c r="DI56" s="350"/>
      <x:c r="DJ56" s="352"/>
      <x:c r="DK56" s="350"/>
      <x:c r="DL56" s="350"/>
      <x:c r="DM56" s="350"/>
      <x:c r="DN56" s="350"/>
      <x:c r="DO56" s="350"/>
      <x:c r="DP56" s="350"/>
      <x:c r="DQ56" s="350"/>
      <x:c r="DR56" s="350"/>
      <x:c r="DS56" s="350"/>
      <x:c r="DT56" s="350"/>
      <x:c r="DU56" s="350"/>
      <x:c r="DV56" s="350"/>
      <x:c r="DW56" s="350"/>
      <x:c r="DX56" s="350"/>
      <x:c r="DY56" s="350"/>
      <x:c r="DZ56" s="350"/>
      <x:c r="EA56" s="350"/>
      <x:c r="EB56" s="353"/>
      <x:c r="EC56" s="354"/>
      <x:c r="ED56" s="353"/>
      <x:c r="EE56" s="353"/>
      <x:c r="EF56" s="353"/>
      <x:c r="EG56" s="353"/>
      <x:c r="EH56" s="353"/>
      <x:c r="EI56" s="353"/>
      <x:c r="EJ56" s="353"/>
      <x:c r="EK56" s="351"/>
      <x:c r="EL56" s="351"/>
      <x:c r="EM56" s="351"/>
      <x:c r="EN56" s="351"/>
      <x:c r="EO56" s="350"/>
      <x:c r="EP56" s="351"/>
      <x:c r="EQ56" s="351"/>
      <x:c r="ER56" s="351"/>
      <x:c r="ES56" s="351"/>
      <x:c r="ET56" s="350"/>
      <x:c r="EU56" s="350"/>
      <x:c r="EV56" s="353"/>
      <x:c r="EW56" s="353"/>
      <x:c r="EX56" s="356"/>
      <x:c r="EY56" s="362"/>
      <x:c r="EZ56" s="346"/>
      <x:c r="FA56" s="359"/>
      <x:c r="FB56" s="363"/>
      <x:c r="FC56" s="364"/>
      <x:c r="FD56" s="525"/>
      <x:c r="FE56" s="526"/>
      <x:c r="FF56" s="754" t="b">
        <x:f t="shared" si="106"/>
        <x:v>0</x:v>
      </x:c>
      <x:c r="FG56" s="754" t="b">
        <x:f t="shared" si="107"/>
        <x:v>0</x:v>
      </x:c>
      <x:c r="FH56" s="754" t="b">
        <x:f t="shared" si="108"/>
        <x:v>0</x:v>
      </x:c>
      <x:c r="FI56" s="917" t="b">
        <x:f t="shared" si="109"/>
        <x:v>0</x:v>
      </x:c>
      <x:c r="FJ56" s="920" t="str">
        <x:f t="shared" si="119"/>
        <x:v/>
      </x:c>
      <x:c r="FK56" s="919" t="str">
        <x:f t="shared" si="120"/>
        <x:v/>
      </x:c>
      <x:c r="FL56" s="320" t="e">
        <x:f t="shared" si="121"/>
        <x:v>#N/A</x:v>
      </x:c>
      <x:c r="FM56" s="312" t="str">
        <x:f t="shared" si="110"/>
        <x:v/>
      </x:c>
      <x:c r="FN56" s="272" t="str">
        <x:f t="shared" ca="1" si="122"/>
        <x:v/>
      </x:c>
      <x:c r="FO56" s="273" t="str">
        <x:f t="shared" ca="1" si="123"/>
        <x:v/>
      </x:c>
      <x:c r="FP56" s="274" t="str">
        <x:f t="shared" ca="1" si="124"/>
        <x:v/>
      </x:c>
      <x:c r="FQ56" s="274" t="str">
        <x:f t="shared" ca="1" si="125"/>
        <x:v/>
      </x:c>
      <x:c r="FR56" s="321">
        <x:f t="shared" ca="1" si="126"/>
        <x:v>0</x:v>
      </x:c>
      <x:c r="FS56" s="322">
        <x:f t="shared" ca="1" si="127"/>
        <x:v>0</x:v>
      </x:c>
      <x:c r="FT56" s="272" t="str">
        <x:f t="shared" ref="FT56:FT85" ca="1" si="132">IF(FU56="","",IF(FU56=1,IF(FL56="",OFFSET(FL56,(-1*FU55),0),FL56),FT55-GA55))</x:f>
        <x:v/>
      </x:c>
      <x:c r="FU56" s="1385" t="str">
        <x:f t="shared" ref="FU56:FU85" ca="1" si="133">IF(FS56=0,"",IF(FR55=0,1,FU55+1))</x:f>
        <x:v/>
      </x:c>
      <x:c r="FV56" s="323" t="str">
        <x:f t="shared" ref="FV56:FV85" ca="1" si="134">IF(FW56="","",CEILING(FW56+GJ56-0.0625,0.125))</x:f>
        <x:v/>
      </x:c>
      <x:c r="FW56" s="276" t="str">
        <x:f t="shared" ca="1" si="128"/>
        <x:v/>
      </x:c>
      <x:c r="FX56" s="276" t="str">
        <x:f t="shared" ca="1" si="129"/>
        <x:v/>
      </x:c>
      <x:c r="FY56" s="276" t="str">
        <x:f t="shared" ref="FY56:FY85" ca="1" si="135">IF(OR(FQ56=0,FQ56=""),"",FT56-IF(FW56="",0,FW56)-FO56*FX56)</x:f>
        <x:v/>
      </x:c>
      <x:c r="FZ56" s="276" t="str">
        <x:f t="shared" ca="1" si="130"/>
        <x:v/>
      </x:c>
      <x:c r="GA56" s="276" t="str">
        <x:f t="shared" ref="GA56:GA85" ca="1" si="136">IF(FP56="","",IF(FW56="",0,FW56)+FO56*FX56+IF(FY56="",0,FY56))</x:f>
        <x:v/>
      </x:c>
      <x:c r="GB56" s="277" t="str">
        <x:f ca="1">IF(FY56="","",2+SUM(FO56:OFFSET(FO56,(FU56-1)*-1,0)))</x:f>
        <x:v/>
      </x:c>
      <x:c r="GC56" s="316" t="e">
        <x:f t="shared" si="131"/>
        <x:v>#N/A</x:v>
      </x:c>
      <x:c r="GD56" s="324" t="str">
        <x:f t="shared" si="111"/>
        <x:v/>
      </x:c>
      <x:c r="GE56" s="325" t="str">
        <x:f t="shared" si="112"/>
        <x:v/>
      </x:c>
      <x:c r="GF56" s="278" t="str">
        <x:f t="shared" si="113"/>
        <x:v/>
      </x:c>
      <x:c r="GG56" s="279" t="str">
        <x:f t="shared" si="114"/>
        <x:v/>
      </x:c>
      <x:c r="GH56" s="279" t="str">
        <x:f t="shared" si="115"/>
        <x:v/>
      </x:c>
      <x:c r="GI56" s="280" t="str">
        <x:f t="shared" si="116"/>
        <x:v/>
      </x:c>
      <x:c r="GJ56" s="326">
        <x:f t="shared" ca="1" si="117"/>
        <x:v>0</x:v>
      </x:c>
      <x:c r="GK56" s="913" t="str">
        <x:f t="shared" ca="1" si="118"/>
        <x:v/>
      </x:c>
    </x:row>
    <x:row r="57" spans="1:193" ht="12.6" hidden="1" customHeight="1" x14ac:dyDescent="0.2">
      <x:c r="BZ57" s="293"/>
      <x:c r="CA57" s="293"/>
      <x:c r="CB57" s="345"/>
      <x:c r="CC57" s="346"/>
      <x:c r="CD57" s="347"/>
      <x:c r="CE57" s="347"/>
      <x:c r="CF57" s="347"/>
      <x:c r="CG57" s="347"/>
      <x:c r="CH57" s="347"/>
      <x:c r="CI57" s="347"/>
      <x:c r="CJ57" s="347"/>
      <x:c r="CK57" s="348"/>
      <x:c r="CL57" s="346"/>
      <x:c r="CM57" s="347"/>
      <x:c r="CN57" s="347"/>
      <x:c r="CO57" s="347"/>
      <x:c r="CP57" s="347"/>
      <x:c r="CQ57" s="347"/>
      <x:c r="CR57" s="347"/>
      <x:c r="CS57" s="347"/>
      <x:c r="CT57" s="348"/>
      <x:c r="CU57" s="349"/>
      <x:c r="CV57" s="350"/>
      <x:c r="CW57" s="350"/>
      <x:c r="CX57" s="350"/>
      <x:c r="CY57" s="351"/>
      <x:c r="CZ57" s="351"/>
      <x:c r="DA57" s="351"/>
      <x:c r="DB57" s="350"/>
      <x:c r="DC57" s="350"/>
      <x:c r="DD57" s="352"/>
      <x:c r="DE57" s="350"/>
      <x:c r="DF57" s="351"/>
      <x:c r="DG57" s="351"/>
      <x:c r="DH57" s="350"/>
      <x:c r="DI57" s="350"/>
      <x:c r="DJ57" s="352"/>
      <x:c r="DK57" s="350"/>
      <x:c r="DL57" s="350"/>
      <x:c r="DM57" s="350"/>
      <x:c r="DN57" s="350"/>
      <x:c r="DO57" s="350"/>
      <x:c r="DP57" s="350"/>
      <x:c r="DQ57" s="350"/>
      <x:c r="DR57" s="350"/>
      <x:c r="DS57" s="350"/>
      <x:c r="DT57" s="350"/>
      <x:c r="DU57" s="350"/>
      <x:c r="DV57" s="350"/>
      <x:c r="DW57" s="350"/>
      <x:c r="DX57" s="350"/>
      <x:c r="DY57" s="350"/>
      <x:c r="DZ57" s="350"/>
      <x:c r="EA57" s="350"/>
      <x:c r="EB57" s="353"/>
      <x:c r="EC57" s="354"/>
      <x:c r="ED57" s="353"/>
      <x:c r="EE57" s="353"/>
      <x:c r="EF57" s="353"/>
      <x:c r="EG57" s="353"/>
      <x:c r="EH57" s="353"/>
      <x:c r="EI57" s="353"/>
      <x:c r="EJ57" s="353"/>
      <x:c r="EK57" s="351"/>
      <x:c r="EL57" s="351"/>
      <x:c r="EM57" s="351"/>
      <x:c r="EN57" s="351"/>
      <x:c r="EO57" s="350"/>
      <x:c r="EP57" s="351"/>
      <x:c r="EQ57" s="351"/>
      <x:c r="ER57" s="351"/>
      <x:c r="ES57" s="351"/>
      <x:c r="ET57" s="350"/>
      <x:c r="EU57" s="350"/>
      <x:c r="EV57" s="353"/>
      <x:c r="EW57" s="353"/>
      <x:c r="EX57" s="356"/>
      <x:c r="EY57" s="362"/>
      <x:c r="EZ57" s="346"/>
      <x:c r="FA57" s="359"/>
      <x:c r="FB57" s="363"/>
      <x:c r="FC57" s="364"/>
      <x:c r="FD57" s="525"/>
      <x:c r="FE57" s="526"/>
      <x:c r="FF57" s="754" t="b">
        <x:f t="shared" si="106"/>
        <x:v>0</x:v>
      </x:c>
      <x:c r="FG57" s="754" t="b">
        <x:f t="shared" si="107"/>
        <x:v>0</x:v>
      </x:c>
      <x:c r="FH57" s="754" t="b">
        <x:f t="shared" si="108"/>
        <x:v>0</x:v>
      </x:c>
      <x:c r="FI57" s="917" t="b">
        <x:f t="shared" si="109"/>
        <x:v>0</x:v>
      </x:c>
      <x:c r="FJ57" s="920" t="str">
        <x:f t="shared" si="119"/>
        <x:v/>
      </x:c>
      <x:c r="FK57" s="919" t="str">
        <x:f t="shared" si="120"/>
        <x:v/>
      </x:c>
      <x:c r="FL57" s="320" t="e">
        <x:f t="shared" si="121"/>
        <x:v>#N/A</x:v>
      </x:c>
      <x:c r="FM57" s="312" t="str">
        <x:f t="shared" si="110"/>
        <x:v/>
      </x:c>
      <x:c r="FN57" s="272" t="str">
        <x:f t="shared" ca="1" si="122"/>
        <x:v/>
      </x:c>
      <x:c r="FO57" s="273" t="str">
        <x:f t="shared" ca="1" si="123"/>
        <x:v/>
      </x:c>
      <x:c r="FP57" s="274" t="str">
        <x:f t="shared" ca="1" si="124"/>
        <x:v/>
      </x:c>
      <x:c r="FQ57" s="274" t="str">
        <x:f t="shared" ca="1" si="125"/>
        <x:v/>
      </x:c>
      <x:c r="FR57" s="321">
        <x:f t="shared" ca="1" si="126"/>
        <x:v>0</x:v>
      </x:c>
      <x:c r="FS57" s="322">
        <x:f t="shared" ca="1" si="127"/>
        <x:v>0</x:v>
      </x:c>
      <x:c r="FT57" s="272" t="str">
        <x:f t="shared" ca="1" si="132"/>
        <x:v/>
      </x:c>
      <x:c r="FU57" s="1385" t="str">
        <x:f t="shared" ca="1" si="133"/>
        <x:v/>
      </x:c>
      <x:c r="FV57" s="323" t="str">
        <x:f t="shared" ca="1" si="134"/>
        <x:v/>
      </x:c>
      <x:c r="FW57" s="276" t="str">
        <x:f t="shared" ca="1" si="128"/>
        <x:v/>
      </x:c>
      <x:c r="FX57" s="276" t="str">
        <x:f t="shared" ca="1" si="129"/>
        <x:v/>
      </x:c>
      <x:c r="FY57" s="276" t="str">
        <x:f t="shared" ca="1" si="135"/>
        <x:v/>
      </x:c>
      <x:c r="FZ57" s="276" t="str">
        <x:f t="shared" ca="1" si="130"/>
        <x:v/>
      </x:c>
      <x:c r="GA57" s="276" t="str">
        <x:f t="shared" ca="1" si="136"/>
        <x:v/>
      </x:c>
      <x:c r="GB57" s="277" t="str">
        <x:f ca="1">IF(FY57="","",2+SUM(FO57:OFFSET(FO57,(FU57-1)*-1,0)))</x:f>
        <x:v/>
      </x:c>
      <x:c r="GC57" s="316" t="e">
        <x:f t="shared" si="131"/>
        <x:v>#N/A</x:v>
      </x:c>
      <x:c r="GD57" s="324" t="str">
        <x:f t="shared" si="111"/>
        <x:v/>
      </x:c>
      <x:c r="GE57" s="325" t="str">
        <x:f t="shared" si="112"/>
        <x:v/>
      </x:c>
      <x:c r="GF57" s="278" t="str">
        <x:f t="shared" si="113"/>
        <x:v/>
      </x:c>
      <x:c r="GG57" s="279" t="str">
        <x:f t="shared" si="114"/>
        <x:v/>
      </x:c>
      <x:c r="GH57" s="279" t="str">
        <x:f t="shared" si="115"/>
        <x:v/>
      </x:c>
      <x:c r="GI57" s="280" t="str">
        <x:f t="shared" si="116"/>
        <x:v/>
      </x:c>
      <x:c r="GJ57" s="326">
        <x:f t="shared" ca="1" si="117"/>
        <x:v>0</x:v>
      </x:c>
      <x:c r="GK57" s="913" t="str">
        <x:f t="shared" ca="1" si="118"/>
        <x:v/>
      </x:c>
    </x:row>
    <x:row r="58" spans="1:193" ht="12.6" hidden="1" customHeight="1" x14ac:dyDescent="0.2">
      <x:c r="BZ58" s="293"/>
      <x:c r="CA58" s="293"/>
      <x:c r="CB58" s="345"/>
      <x:c r="CC58" s="346"/>
      <x:c r="CD58" s="347"/>
      <x:c r="CE58" s="347"/>
      <x:c r="CF58" s="347"/>
      <x:c r="CG58" s="347"/>
      <x:c r="CH58" s="347"/>
      <x:c r="CI58" s="347"/>
      <x:c r="CJ58" s="347"/>
      <x:c r="CK58" s="348"/>
      <x:c r="CL58" s="346"/>
      <x:c r="CM58" s="347"/>
      <x:c r="CN58" s="347"/>
      <x:c r="CO58" s="347"/>
      <x:c r="CP58" s="347"/>
      <x:c r="CQ58" s="347"/>
      <x:c r="CR58" s="347"/>
      <x:c r="CS58" s="347"/>
      <x:c r="CT58" s="348"/>
      <x:c r="CU58" s="349"/>
      <x:c r="CV58" s="350"/>
      <x:c r="CW58" s="350"/>
      <x:c r="CX58" s="350"/>
      <x:c r="CY58" s="351"/>
      <x:c r="CZ58" s="351"/>
      <x:c r="DA58" s="351"/>
      <x:c r="DB58" s="350"/>
      <x:c r="DC58" s="350"/>
      <x:c r="DD58" s="352"/>
      <x:c r="DE58" s="350"/>
      <x:c r="DF58" s="351"/>
      <x:c r="DG58" s="351"/>
      <x:c r="DH58" s="350"/>
      <x:c r="DI58" s="350"/>
      <x:c r="DJ58" s="352"/>
      <x:c r="DK58" s="350"/>
      <x:c r="DL58" s="350"/>
      <x:c r="DM58" s="350"/>
      <x:c r="DN58" s="350"/>
      <x:c r="DO58" s="350"/>
      <x:c r="DP58" s="350"/>
      <x:c r="DQ58" s="350"/>
      <x:c r="DR58" s="350"/>
      <x:c r="DS58" s="350"/>
      <x:c r="DT58" s="350"/>
      <x:c r="DU58" s="350"/>
      <x:c r="DV58" s="350"/>
      <x:c r="DW58" s="350"/>
      <x:c r="DX58" s="350"/>
      <x:c r="DY58" s="350"/>
      <x:c r="DZ58" s="350"/>
      <x:c r="EA58" s="350"/>
      <x:c r="EB58" s="353"/>
      <x:c r="EC58" s="354"/>
      <x:c r="ED58" s="353"/>
      <x:c r="EE58" s="353"/>
      <x:c r="EF58" s="353"/>
      <x:c r="EG58" s="353"/>
      <x:c r="EH58" s="353"/>
      <x:c r="EI58" s="353"/>
      <x:c r="EJ58" s="353"/>
      <x:c r="EK58" s="351"/>
      <x:c r="EL58" s="351"/>
      <x:c r="EM58" s="351"/>
      <x:c r="EN58" s="351"/>
      <x:c r="EO58" s="350"/>
      <x:c r="EP58" s="351"/>
      <x:c r="EQ58" s="351"/>
      <x:c r="ER58" s="351"/>
      <x:c r="ES58" s="351"/>
      <x:c r="ET58" s="350"/>
      <x:c r="EU58" s="350"/>
      <x:c r="EV58" s="353"/>
      <x:c r="EW58" s="353"/>
      <x:c r="EX58" s="356"/>
      <x:c r="EY58" s="362"/>
      <x:c r="EZ58" s="346"/>
      <x:c r="FA58" s="359"/>
      <x:c r="FB58" s="363"/>
      <x:c r="FC58" s="364"/>
      <x:c r="FD58" s="525"/>
      <x:c r="FE58" s="526"/>
      <x:c r="FF58" s="754" t="b">
        <x:f t="shared" si="106"/>
        <x:v>0</x:v>
      </x:c>
      <x:c r="FG58" s="754" t="b">
        <x:f t="shared" si="107"/>
        <x:v>0</x:v>
      </x:c>
      <x:c r="FH58" s="754" t="b">
        <x:f t="shared" si="108"/>
        <x:v>0</x:v>
      </x:c>
      <x:c r="FI58" s="917" t="b">
        <x:f t="shared" si="109"/>
        <x:v>0</x:v>
      </x:c>
      <x:c r="FJ58" s="920" t="str">
        <x:f t="shared" si="119"/>
        <x:v/>
      </x:c>
      <x:c r="FK58" s="919" t="str">
        <x:f t="shared" si="120"/>
        <x:v/>
      </x:c>
      <x:c r="FL58" s="320" t="e">
        <x:f t="shared" si="121"/>
        <x:v>#N/A</x:v>
      </x:c>
      <x:c r="FM58" s="312" t="str">
        <x:f t="shared" si="110"/>
        <x:v/>
      </x:c>
      <x:c r="FN58" s="272" t="str">
        <x:f t="shared" ca="1" si="122"/>
        <x:v/>
      </x:c>
      <x:c r="FO58" s="273" t="str">
        <x:f t="shared" ca="1" si="123"/>
        <x:v/>
      </x:c>
      <x:c r="FP58" s="274" t="str">
        <x:f t="shared" ca="1" si="124"/>
        <x:v/>
      </x:c>
      <x:c r="FQ58" s="274" t="str">
        <x:f t="shared" ca="1" si="125"/>
        <x:v/>
      </x:c>
      <x:c r="FR58" s="321">
        <x:f t="shared" ca="1" si="126"/>
        <x:v>0</x:v>
      </x:c>
      <x:c r="FS58" s="322">
        <x:f t="shared" ca="1" si="127"/>
        <x:v>0</x:v>
      </x:c>
      <x:c r="FT58" s="272" t="str">
        <x:f t="shared" ca="1" si="132"/>
        <x:v/>
      </x:c>
      <x:c r="FU58" s="275" t="str">
        <x:f t="shared" ca="1" si="133"/>
        <x:v/>
      </x:c>
      <x:c r="FV58" s="323" t="str">
        <x:f t="shared" ca="1" si="134"/>
        <x:v/>
      </x:c>
      <x:c r="FW58" s="276" t="str">
        <x:f t="shared" ca="1" si="128"/>
        <x:v/>
      </x:c>
      <x:c r="FX58" s="276" t="str">
        <x:f t="shared" ca="1" si="129"/>
        <x:v/>
      </x:c>
      <x:c r="FY58" s="276" t="str">
        <x:f t="shared" ca="1" si="135"/>
        <x:v/>
      </x:c>
      <x:c r="FZ58" s="276" t="str">
        <x:f t="shared" ca="1" si="130"/>
        <x:v/>
      </x:c>
      <x:c r="GA58" s="276" t="str">
        <x:f t="shared" ca="1" si="136"/>
        <x:v/>
      </x:c>
      <x:c r="GB58" s="277" t="str">
        <x:f ca="1">IF(FY58="","",2+SUM(FO58:OFFSET(FO58,(FU58-1)*-1,0)))</x:f>
        <x:v/>
      </x:c>
      <x:c r="GC58" s="316" t="e">
        <x:f t="shared" si="131"/>
        <x:v>#N/A</x:v>
      </x:c>
      <x:c r="GD58" s="324" t="str">
        <x:f t="shared" si="111"/>
        <x:v/>
      </x:c>
      <x:c r="GE58" s="325" t="str">
        <x:f t="shared" si="112"/>
        <x:v/>
      </x:c>
      <x:c r="GF58" s="278" t="str">
        <x:f t="shared" si="113"/>
        <x:v/>
      </x:c>
      <x:c r="GG58" s="279" t="str">
        <x:f t="shared" si="114"/>
        <x:v/>
      </x:c>
      <x:c r="GH58" s="279" t="str">
        <x:f t="shared" si="115"/>
        <x:v/>
      </x:c>
      <x:c r="GI58" s="280" t="str">
        <x:f t="shared" si="116"/>
        <x:v/>
      </x:c>
      <x:c r="GJ58" s="326">
        <x:f t="shared" ca="1" si="117"/>
        <x:v>0</x:v>
      </x:c>
      <x:c r="GK58" s="913" t="str">
        <x:f t="shared" ca="1" si="118"/>
        <x:v/>
      </x:c>
    </x:row>
    <x:row r="59" spans="1:193" ht="12.6" hidden="1" customHeight="1" x14ac:dyDescent="0.2">
      <x:c r="BZ59" s="293"/>
      <x:c r="CA59" s="293"/>
      <x:c r="CB59" s="345"/>
      <x:c r="CC59" s="346"/>
      <x:c r="CD59" s="347"/>
      <x:c r="CE59" s="347"/>
      <x:c r="CF59" s="347"/>
      <x:c r="CG59" s="347"/>
      <x:c r="CH59" s="347"/>
      <x:c r="CI59" s="347"/>
      <x:c r="CJ59" s="347"/>
      <x:c r="CK59" s="348"/>
      <x:c r="CL59" s="346"/>
      <x:c r="CM59" s="347"/>
      <x:c r="CN59" s="347"/>
      <x:c r="CO59" s="347"/>
      <x:c r="CP59" s="347"/>
      <x:c r="CQ59" s="347"/>
      <x:c r="CR59" s="347"/>
      <x:c r="CS59" s="347"/>
      <x:c r="CT59" s="348"/>
      <x:c r="CU59" s="349"/>
      <x:c r="CV59" s="350"/>
      <x:c r="CW59" s="350"/>
      <x:c r="CX59" s="350"/>
      <x:c r="CY59" s="351"/>
      <x:c r="CZ59" s="351"/>
      <x:c r="DA59" s="351"/>
      <x:c r="DB59" s="350"/>
      <x:c r="DC59" s="350"/>
      <x:c r="DD59" s="352"/>
      <x:c r="DE59" s="350"/>
      <x:c r="DF59" s="351"/>
      <x:c r="DG59" s="351"/>
      <x:c r="DH59" s="350"/>
      <x:c r="DI59" s="350"/>
      <x:c r="DJ59" s="352"/>
      <x:c r="DK59" s="350"/>
      <x:c r="DL59" s="350"/>
      <x:c r="DM59" s="350"/>
      <x:c r="DN59" s="350"/>
      <x:c r="DO59" s="350"/>
      <x:c r="DP59" s="350"/>
      <x:c r="DQ59" s="350"/>
      <x:c r="DR59" s="350"/>
      <x:c r="DS59" s="350"/>
      <x:c r="DT59" s="350"/>
      <x:c r="DU59" s="350"/>
      <x:c r="DV59" s="350"/>
      <x:c r="DW59" s="350"/>
      <x:c r="DX59" s="350"/>
      <x:c r="DY59" s="350"/>
      <x:c r="DZ59" s="350"/>
      <x:c r="EA59" s="350"/>
      <x:c r="EB59" s="353"/>
      <x:c r="EC59" s="354"/>
      <x:c r="ED59" s="353"/>
      <x:c r="EE59" s="353"/>
      <x:c r="EF59" s="353"/>
      <x:c r="EG59" s="353"/>
      <x:c r="EH59" s="353"/>
      <x:c r="EI59" s="353"/>
      <x:c r="EJ59" s="353"/>
      <x:c r="EK59" s="351"/>
      <x:c r="EL59" s="351"/>
      <x:c r="EM59" s="351"/>
      <x:c r="EN59" s="351"/>
      <x:c r="EO59" s="350"/>
      <x:c r="EP59" s="351"/>
      <x:c r="EQ59" s="351"/>
      <x:c r="ER59" s="351"/>
      <x:c r="ES59" s="351"/>
      <x:c r="ET59" s="350"/>
      <x:c r="EU59" s="350"/>
      <x:c r="EV59" s="353"/>
      <x:c r="EW59" s="353"/>
      <x:c r="EX59" s="356"/>
      <x:c r="EY59" s="362"/>
      <x:c r="EZ59" s="346"/>
      <x:c r="FA59" s="359"/>
      <x:c r="FB59" s="363"/>
      <x:c r="FC59" s="364"/>
      <x:c r="FD59" s="525"/>
      <x:c r="FE59" s="526"/>
      <x:c r="FF59" s="754" t="b">
        <x:f t="shared" si="106"/>
        <x:v>0</x:v>
      </x:c>
      <x:c r="FG59" s="754" t="b">
        <x:f t="shared" si="107"/>
        <x:v>0</x:v>
      </x:c>
      <x:c r="FH59" s="754" t="b">
        <x:f t="shared" si="108"/>
        <x:v>0</x:v>
      </x:c>
      <x:c r="FI59" s="917" t="b">
        <x:f t="shared" si="109"/>
        <x:v>0</x:v>
      </x:c>
      <x:c r="FJ59" s="920" t="str">
        <x:f t="shared" si="119"/>
        <x:v/>
      </x:c>
      <x:c r="FK59" s="919" t="str">
        <x:f t="shared" si="120"/>
        <x:v/>
      </x:c>
      <x:c r="FL59" s="320" t="e">
        <x:f t="shared" si="121"/>
        <x:v>#N/A</x:v>
      </x:c>
      <x:c r="FM59" s="312" t="str">
        <x:f t="shared" si="110"/>
        <x:v/>
      </x:c>
      <x:c r="FN59" s="272" t="str">
        <x:f t="shared" ca="1" si="122"/>
        <x:v/>
      </x:c>
      <x:c r="FO59" s="273" t="str">
        <x:f t="shared" ca="1" si="123"/>
        <x:v/>
      </x:c>
      <x:c r="FP59" s="274" t="str">
        <x:f t="shared" ca="1" si="124"/>
        <x:v/>
      </x:c>
      <x:c r="FQ59" s="274" t="str">
        <x:f t="shared" ca="1" si="125"/>
        <x:v/>
      </x:c>
      <x:c r="FR59" s="321">
        <x:f t="shared" ca="1" si="126"/>
        <x:v>0</x:v>
      </x:c>
      <x:c r="FS59" s="322">
        <x:f t="shared" ca="1" si="127"/>
        <x:v>0</x:v>
      </x:c>
      <x:c r="FT59" s="272" t="str">
        <x:f t="shared" ca="1" si="132"/>
        <x:v/>
      </x:c>
      <x:c r="FU59" s="275" t="str">
        <x:f t="shared" ca="1" si="133"/>
        <x:v/>
      </x:c>
      <x:c r="FV59" s="323" t="str">
        <x:f t="shared" ca="1" si="134"/>
        <x:v/>
      </x:c>
      <x:c r="FW59" s="276" t="str">
        <x:f t="shared" ca="1" si="128"/>
        <x:v/>
      </x:c>
      <x:c r="FX59" s="276" t="str">
        <x:f t="shared" ca="1" si="129"/>
        <x:v/>
      </x:c>
      <x:c r="FY59" s="276" t="str">
        <x:f t="shared" ca="1" si="135"/>
        <x:v/>
      </x:c>
      <x:c r="FZ59" s="276" t="str">
        <x:f t="shared" ca="1" si="130"/>
        <x:v/>
      </x:c>
      <x:c r="GA59" s="276" t="str">
        <x:f t="shared" ca="1" si="136"/>
        <x:v/>
      </x:c>
      <x:c r="GB59" s="277" t="str">
        <x:f ca="1">IF(FY59="","",2+SUM(FO59:OFFSET(FO59,(FU59-1)*-1,0)))</x:f>
        <x:v/>
      </x:c>
      <x:c r="GC59" s="316" t="e">
        <x:f t="shared" si="131"/>
        <x:v>#N/A</x:v>
      </x:c>
      <x:c r="GD59" s="324" t="str">
        <x:f t="shared" si="111"/>
        <x:v/>
      </x:c>
      <x:c r="GE59" s="325" t="str">
        <x:f t="shared" si="112"/>
        <x:v/>
      </x:c>
      <x:c r="GF59" s="278" t="str">
        <x:f t="shared" si="113"/>
        <x:v/>
      </x:c>
      <x:c r="GG59" s="279" t="str">
        <x:f t="shared" si="114"/>
        <x:v/>
      </x:c>
      <x:c r="GH59" s="279" t="str">
        <x:f t="shared" si="115"/>
        <x:v/>
      </x:c>
      <x:c r="GI59" s="280" t="str">
        <x:f t="shared" si="116"/>
        <x:v/>
      </x:c>
      <x:c r="GJ59" s="326">
        <x:f t="shared" ca="1" si="117"/>
        <x:v>0</x:v>
      </x:c>
      <x:c r="GK59" s="913" t="str">
        <x:f t="shared" ca="1" si="118"/>
        <x:v/>
      </x:c>
    </x:row>
    <x:row r="60" spans="1:193" ht="12.6" hidden="1" customHeight="1" x14ac:dyDescent="0.2">
      <x:c r="A60" s="892" t="s">
        <x:v>1178</x:v>
      </x:c>
      <x:c r="BZ60" s="293"/>
      <x:c r="CA60" s="293"/>
      <x:c r="CB60" s="345"/>
      <x:c r="CC60" s="346"/>
      <x:c r="CD60" s="347"/>
      <x:c r="CE60" s="347"/>
      <x:c r="CF60" s="347"/>
      <x:c r="CG60" s="347"/>
      <x:c r="CH60" s="347"/>
      <x:c r="CI60" s="347"/>
      <x:c r="CJ60" s="347"/>
      <x:c r="CK60" s="348"/>
      <x:c r="CL60" s="346"/>
      <x:c r="CM60" s="347"/>
      <x:c r="CN60" s="347"/>
      <x:c r="CO60" s="347"/>
      <x:c r="CP60" s="347"/>
      <x:c r="CQ60" s="347"/>
      <x:c r="CR60" s="347"/>
      <x:c r="CS60" s="347"/>
      <x:c r="CT60" s="348"/>
      <x:c r="CU60" s="349"/>
      <x:c r="CV60" s="350"/>
      <x:c r="CW60" s="350"/>
      <x:c r="CX60" s="350"/>
      <x:c r="CY60" s="351"/>
      <x:c r="CZ60" s="351"/>
      <x:c r="DA60" s="351"/>
      <x:c r="DB60" s="350"/>
      <x:c r="DC60" s="350"/>
      <x:c r="DD60" s="352"/>
      <x:c r="DE60" s="350"/>
      <x:c r="DF60" s="351"/>
      <x:c r="DG60" s="351"/>
      <x:c r="DH60" s="350"/>
      <x:c r="DI60" s="350"/>
      <x:c r="DJ60" s="352"/>
      <x:c r="DK60" s="350"/>
      <x:c r="DL60" s="350"/>
      <x:c r="DM60" s="350"/>
      <x:c r="DN60" s="350"/>
      <x:c r="DO60" s="350"/>
      <x:c r="DP60" s="350"/>
      <x:c r="DQ60" s="350"/>
      <x:c r="DR60" s="350"/>
      <x:c r="DS60" s="350"/>
      <x:c r="DT60" s="350"/>
      <x:c r="DU60" s="350"/>
      <x:c r="DV60" s="350"/>
      <x:c r="DW60" s="350"/>
      <x:c r="DX60" s="350"/>
      <x:c r="DY60" s="350"/>
      <x:c r="DZ60" s="350"/>
      <x:c r="EA60" s="350"/>
      <x:c r="EB60" s="353"/>
      <x:c r="EC60" s="354"/>
      <x:c r="ED60" s="353"/>
      <x:c r="EE60" s="353"/>
      <x:c r="EF60" s="353"/>
      <x:c r="EG60" s="353"/>
      <x:c r="EH60" s="353"/>
      <x:c r="EI60" s="353"/>
      <x:c r="EJ60" s="353"/>
      <x:c r="EK60" s="351"/>
      <x:c r="EL60" s="351"/>
      <x:c r="EM60" s="351"/>
      <x:c r="EN60" s="351"/>
      <x:c r="EO60" s="350"/>
      <x:c r="EP60" s="351"/>
      <x:c r="EQ60" s="351"/>
      <x:c r="ER60" s="351"/>
      <x:c r="ES60" s="351"/>
      <x:c r="ET60" s="350"/>
      <x:c r="EU60" s="350"/>
      <x:c r="EV60" s="353"/>
      <x:c r="EW60" s="353"/>
      <x:c r="EX60" s="356"/>
      <x:c r="EY60" s="362"/>
      <x:c r="EZ60" s="346"/>
      <x:c r="FA60" s="359"/>
      <x:c r="FB60" s="363"/>
      <x:c r="FC60" s="364"/>
      <x:c r="FD60" s="525"/>
      <x:c r="FE60" s="526"/>
      <x:c r="FF60" s="754" t="b">
        <x:f t="shared" si="106"/>
        <x:v>0</x:v>
      </x:c>
      <x:c r="FG60" s="754" t="b">
        <x:f t="shared" si="107"/>
        <x:v>0</x:v>
      </x:c>
      <x:c r="FH60" s="754" t="b">
        <x:f t="shared" si="108"/>
        <x:v>0</x:v>
      </x:c>
      <x:c r="FI60" s="917" t="b">
        <x:f t="shared" si="109"/>
        <x:v>0</x:v>
      </x:c>
      <x:c r="FJ60" s="920" t="str">
        <x:f t="shared" si="119"/>
        <x:v/>
      </x:c>
      <x:c r="FK60" s="919" t="str">
        <x:f t="shared" si="120"/>
        <x:v/>
      </x:c>
      <x:c r="FL60" s="320" t="e">
        <x:f t="shared" si="121"/>
        <x:v>#N/A</x:v>
      </x:c>
      <x:c r="FM60" s="312" t="str">
        <x:f t="shared" si="110"/>
        <x:v/>
      </x:c>
      <x:c r="FN60" s="272" t="str">
        <x:f t="shared" ca="1" si="122"/>
        <x:v/>
      </x:c>
      <x:c r="FO60" s="273" t="str">
        <x:f t="shared" ca="1" si="123"/>
        <x:v/>
      </x:c>
      <x:c r="FP60" s="274" t="str">
        <x:f t="shared" ca="1" si="124"/>
        <x:v/>
      </x:c>
      <x:c r="FQ60" s="274" t="str">
        <x:f t="shared" ca="1" si="125"/>
        <x:v/>
      </x:c>
      <x:c r="FR60" s="321">
        <x:f t="shared" ca="1" si="126"/>
        <x:v>0</x:v>
      </x:c>
      <x:c r="FS60" s="322">
        <x:f t="shared" ca="1" si="127"/>
        <x:v>0</x:v>
      </x:c>
      <x:c r="FT60" s="272" t="str">
        <x:f t="shared" ca="1" si="132"/>
        <x:v/>
      </x:c>
      <x:c r="FU60" s="275" t="str">
        <x:f t="shared" ca="1" si="133"/>
        <x:v/>
      </x:c>
      <x:c r="FV60" s="323" t="str">
        <x:f t="shared" ca="1" si="134"/>
        <x:v/>
      </x:c>
      <x:c r="FW60" s="276" t="str">
        <x:f t="shared" ca="1" si="128"/>
        <x:v/>
      </x:c>
      <x:c r="FX60" s="276" t="str">
        <x:f t="shared" ca="1" si="129"/>
        <x:v/>
      </x:c>
      <x:c r="FY60" s="276" t="str">
        <x:f t="shared" ca="1" si="135"/>
        <x:v/>
      </x:c>
      <x:c r="FZ60" s="276" t="str">
        <x:f t="shared" ca="1" si="130"/>
        <x:v/>
      </x:c>
      <x:c r="GA60" s="276" t="str">
        <x:f t="shared" ca="1" si="136"/>
        <x:v/>
      </x:c>
      <x:c r="GB60" s="277" t="str">
        <x:f ca="1">IF(FY60="","",2+SUM(FO60:OFFSET(FO60,(FU60-1)*-1,0)))</x:f>
        <x:v/>
      </x:c>
      <x:c r="GC60" s="316" t="e">
        <x:f t="shared" si="131"/>
        <x:v>#N/A</x:v>
      </x:c>
      <x:c r="GD60" s="324" t="str">
        <x:f t="shared" si="111"/>
        <x:v/>
      </x:c>
      <x:c r="GE60" s="325" t="str">
        <x:f t="shared" si="112"/>
        <x:v/>
      </x:c>
      <x:c r="GF60" s="278" t="str">
        <x:f t="shared" si="113"/>
        <x:v/>
      </x:c>
      <x:c r="GG60" s="279" t="str">
        <x:f t="shared" si="114"/>
        <x:v/>
      </x:c>
      <x:c r="GH60" s="279" t="str">
        <x:f t="shared" si="115"/>
        <x:v/>
      </x:c>
      <x:c r="GI60" s="280" t="str">
        <x:f t="shared" si="116"/>
        <x:v/>
      </x:c>
      <x:c r="GJ60" s="326">
        <x:f t="shared" ca="1" si="117"/>
        <x:v>0</x:v>
      </x:c>
      <x:c r="GK60" s="913" t="str">
        <x:f t="shared" ca="1" si="118"/>
        <x:v/>
      </x:c>
    </x:row>
    <x:row r="61" spans="1:193" ht="12.6" hidden="1" customHeight="1" x14ac:dyDescent="0.2">
      <x:c r="A61" s="894" t="s">
        <x:v>1620</x:v>
      </x:c>
      <x:c r="BZ61" s="293"/>
      <x:c r="CA61" s="293"/>
      <x:c r="CB61" s="345"/>
      <x:c r="CC61" s="346"/>
      <x:c r="CD61" s="347"/>
      <x:c r="CE61" s="347"/>
      <x:c r="CF61" s="347"/>
      <x:c r="CG61" s="347"/>
      <x:c r="CH61" s="347"/>
      <x:c r="CI61" s="347"/>
      <x:c r="CJ61" s="347"/>
      <x:c r="CK61" s="348"/>
      <x:c r="CL61" s="346"/>
      <x:c r="CM61" s="347"/>
      <x:c r="CN61" s="347"/>
      <x:c r="CO61" s="347"/>
      <x:c r="CP61" s="347"/>
      <x:c r="CQ61" s="347"/>
      <x:c r="CR61" s="347"/>
      <x:c r="CS61" s="347"/>
      <x:c r="CT61" s="348"/>
      <x:c r="CU61" s="349"/>
      <x:c r="CV61" s="350"/>
      <x:c r="CW61" s="350"/>
      <x:c r="CX61" s="350"/>
      <x:c r="CY61" s="351"/>
      <x:c r="CZ61" s="351"/>
      <x:c r="DA61" s="351"/>
      <x:c r="DB61" s="350"/>
      <x:c r="DC61" s="350"/>
      <x:c r="DD61" s="352"/>
      <x:c r="DE61" s="350"/>
      <x:c r="DF61" s="351"/>
      <x:c r="DG61" s="351"/>
      <x:c r="DH61" s="350"/>
      <x:c r="DI61" s="350"/>
      <x:c r="DJ61" s="352"/>
      <x:c r="DK61" s="350"/>
      <x:c r="DL61" s="350"/>
      <x:c r="DM61" s="350"/>
      <x:c r="DN61" s="350"/>
      <x:c r="DO61" s="350"/>
      <x:c r="DP61" s="350"/>
      <x:c r="DQ61" s="350"/>
      <x:c r="DR61" s="350"/>
      <x:c r="DS61" s="350"/>
      <x:c r="DT61" s="350"/>
      <x:c r="DU61" s="350"/>
      <x:c r="DV61" s="350"/>
      <x:c r="DW61" s="350"/>
      <x:c r="DX61" s="350"/>
      <x:c r="DY61" s="350"/>
      <x:c r="DZ61" s="350"/>
      <x:c r="EA61" s="350"/>
      <x:c r="EB61" s="353"/>
      <x:c r="EC61" s="354"/>
      <x:c r="ED61" s="353"/>
      <x:c r="EE61" s="353"/>
      <x:c r="EF61" s="353"/>
      <x:c r="EG61" s="353"/>
      <x:c r="EH61" s="353"/>
      <x:c r="EI61" s="353"/>
      <x:c r="EJ61" s="353"/>
      <x:c r="EK61" s="351"/>
      <x:c r="EL61" s="351"/>
      <x:c r="EM61" s="351"/>
      <x:c r="EN61" s="351"/>
      <x:c r="EO61" s="350"/>
      <x:c r="EP61" s="351"/>
      <x:c r="EQ61" s="351"/>
      <x:c r="ER61" s="351"/>
      <x:c r="ES61" s="351"/>
      <x:c r="ET61" s="350"/>
      <x:c r="EU61" s="350"/>
      <x:c r="EV61" s="353"/>
      <x:c r="EW61" s="353"/>
      <x:c r="EX61" s="356"/>
      <x:c r="EY61" s="362"/>
      <x:c r="EZ61" s="346"/>
      <x:c r="FA61" s="359"/>
      <x:c r="FB61" s="363"/>
      <x:c r="FC61" s="364"/>
      <x:c r="FD61" s="525"/>
      <x:c r="FE61" s="526"/>
      <x:c r="FF61" s="754" t="b">
        <x:f t="shared" si="106"/>
        <x:v>0</x:v>
      </x:c>
      <x:c r="FG61" s="754" t="b">
        <x:f t="shared" si="107"/>
        <x:v>0</x:v>
      </x:c>
      <x:c r="FH61" s="754" t="b">
        <x:f t="shared" si="108"/>
        <x:v>0</x:v>
      </x:c>
      <x:c r="FI61" s="917" t="b">
        <x:f t="shared" si="109"/>
        <x:v>0</x:v>
      </x:c>
      <x:c r="FJ61" s="920" t="str">
        <x:f t="shared" si="119"/>
        <x:v/>
      </x:c>
      <x:c r="FK61" s="919" t="str">
        <x:f t="shared" si="120"/>
        <x:v/>
      </x:c>
      <x:c r="FL61" s="320" t="e">
        <x:f t="shared" si="121"/>
        <x:v>#N/A</x:v>
      </x:c>
      <x:c r="FM61" s="312" t="str">
        <x:f t="shared" si="110"/>
        <x:v/>
      </x:c>
      <x:c r="FN61" s="272" t="str">
        <x:f t="shared" ca="1" si="122"/>
        <x:v/>
      </x:c>
      <x:c r="FO61" s="273" t="str">
        <x:f t="shared" ca="1" si="123"/>
        <x:v/>
      </x:c>
      <x:c r="FP61" s="274" t="str">
        <x:f t="shared" ca="1" si="124"/>
        <x:v/>
      </x:c>
      <x:c r="FQ61" s="274" t="str">
        <x:f t="shared" ca="1" si="125"/>
        <x:v/>
      </x:c>
      <x:c r="FR61" s="321">
        <x:f t="shared" ca="1" si="126"/>
        <x:v>0</x:v>
      </x:c>
      <x:c r="FS61" s="322">
        <x:f t="shared" ca="1" si="127"/>
        <x:v>0</x:v>
      </x:c>
      <x:c r="FT61" s="272" t="str">
        <x:f t="shared" ca="1" si="132"/>
        <x:v/>
      </x:c>
      <x:c r="FU61" s="275" t="str">
        <x:f t="shared" ca="1" si="133"/>
        <x:v/>
      </x:c>
      <x:c r="FV61" s="323" t="str">
        <x:f t="shared" ca="1" si="134"/>
        <x:v/>
      </x:c>
      <x:c r="FW61" s="276" t="str">
        <x:f t="shared" ca="1" si="128"/>
        <x:v/>
      </x:c>
      <x:c r="FX61" s="276" t="str">
        <x:f t="shared" ca="1" si="129"/>
        <x:v/>
      </x:c>
      <x:c r="FY61" s="276" t="str">
        <x:f t="shared" ca="1" si="135"/>
        <x:v/>
      </x:c>
      <x:c r="FZ61" s="276" t="str">
        <x:f t="shared" ca="1" si="130"/>
        <x:v/>
      </x:c>
      <x:c r="GA61" s="276" t="str">
        <x:f t="shared" ca="1" si="136"/>
        <x:v/>
      </x:c>
      <x:c r="GB61" s="277" t="str">
        <x:f ca="1">IF(FY61="","",2+SUM(FO61:OFFSET(FO61,(FU61-1)*-1,0)))</x:f>
        <x:v/>
      </x:c>
      <x:c r="GC61" s="316" t="e">
        <x:f t="shared" si="131"/>
        <x:v>#N/A</x:v>
      </x:c>
      <x:c r="GD61" s="324" t="str">
        <x:f t="shared" si="111"/>
        <x:v/>
      </x:c>
      <x:c r="GE61" s="325" t="str">
        <x:f t="shared" si="112"/>
        <x:v/>
      </x:c>
      <x:c r="GF61" s="278" t="str">
        <x:f t="shared" si="113"/>
        <x:v/>
      </x:c>
      <x:c r="GG61" s="279" t="str">
        <x:f t="shared" si="114"/>
        <x:v/>
      </x:c>
      <x:c r="GH61" s="279" t="str">
        <x:f t="shared" si="115"/>
        <x:v/>
      </x:c>
      <x:c r="GI61" s="280" t="str">
        <x:f t="shared" si="116"/>
        <x:v/>
      </x:c>
      <x:c r="GJ61" s="326">
        <x:f t="shared" ca="1" si="117"/>
        <x:v>0</x:v>
      </x:c>
      <x:c r="GK61" s="913" t="str">
        <x:f t="shared" ca="1" si="118"/>
        <x:v/>
      </x:c>
    </x:row>
    <x:row r="62" spans="1:193" ht="12.6" hidden="1" customHeight="1" x14ac:dyDescent="0.2">
      <x:c r="BZ62" s="293"/>
      <x:c r="CA62" s="293"/>
      <x:c r="CB62" s="345"/>
      <x:c r="CC62" s="346"/>
      <x:c r="CD62" s="347"/>
      <x:c r="CE62" s="347"/>
      <x:c r="CF62" s="347"/>
      <x:c r="CG62" s="347"/>
      <x:c r="CH62" s="347"/>
      <x:c r="CI62" s="347"/>
      <x:c r="CJ62" s="347"/>
      <x:c r="CK62" s="348"/>
      <x:c r="CL62" s="346"/>
      <x:c r="CM62" s="347"/>
      <x:c r="CN62" s="347"/>
      <x:c r="CO62" s="347"/>
      <x:c r="CP62" s="347"/>
      <x:c r="CQ62" s="347"/>
      <x:c r="CR62" s="347"/>
      <x:c r="CS62" s="347"/>
      <x:c r="CT62" s="348"/>
      <x:c r="CU62" s="349"/>
      <x:c r="CV62" s="350"/>
      <x:c r="CW62" s="350"/>
      <x:c r="CX62" s="350"/>
      <x:c r="CY62" s="351"/>
      <x:c r="CZ62" s="351"/>
      <x:c r="DA62" s="351"/>
      <x:c r="DB62" s="350"/>
      <x:c r="DC62" s="350"/>
      <x:c r="DD62" s="352"/>
      <x:c r="DE62" s="350"/>
      <x:c r="DF62" s="351"/>
      <x:c r="DG62" s="351"/>
      <x:c r="DH62" s="350"/>
      <x:c r="DI62" s="350"/>
      <x:c r="DJ62" s="352"/>
      <x:c r="DK62" s="350"/>
      <x:c r="DL62" s="350"/>
      <x:c r="DM62" s="350"/>
      <x:c r="DN62" s="350"/>
      <x:c r="DO62" s="350"/>
      <x:c r="DP62" s="350"/>
      <x:c r="DQ62" s="350"/>
      <x:c r="DR62" s="350"/>
      <x:c r="DS62" s="350"/>
      <x:c r="DT62" s="350"/>
      <x:c r="DU62" s="350"/>
      <x:c r="DV62" s="350"/>
      <x:c r="DW62" s="350"/>
      <x:c r="DX62" s="350"/>
      <x:c r="DY62" s="350"/>
      <x:c r="DZ62" s="350"/>
      <x:c r="EA62" s="350"/>
      <x:c r="EB62" s="353"/>
      <x:c r="EC62" s="354"/>
      <x:c r="ED62" s="353"/>
      <x:c r="EE62" s="353"/>
      <x:c r="EF62" s="353"/>
      <x:c r="EG62" s="353"/>
      <x:c r="EH62" s="353"/>
      <x:c r="EI62" s="353"/>
      <x:c r="EJ62" s="353"/>
      <x:c r="EK62" s="351"/>
      <x:c r="EL62" s="351"/>
      <x:c r="EM62" s="351"/>
      <x:c r="EN62" s="351"/>
      <x:c r="EO62" s="350"/>
      <x:c r="EP62" s="351"/>
      <x:c r="EQ62" s="351"/>
      <x:c r="ER62" s="351"/>
      <x:c r="ES62" s="351"/>
      <x:c r="ET62" s="350"/>
      <x:c r="EU62" s="350"/>
      <x:c r="EV62" s="353"/>
      <x:c r="EW62" s="353"/>
      <x:c r="EX62" s="356"/>
      <x:c r="EY62" s="362"/>
      <x:c r="EZ62" s="346"/>
      <x:c r="FA62" s="359"/>
      <x:c r="FB62" s="363"/>
      <x:c r="FC62" s="364"/>
      <x:c r="FD62" s="525"/>
      <x:c r="FE62" s="526"/>
      <x:c r="FF62" s="754" t="b">
        <x:f t="shared" si="106"/>
        <x:v>0</x:v>
      </x:c>
      <x:c r="FG62" s="754" t="b">
        <x:f t="shared" si="107"/>
        <x:v>0</x:v>
      </x:c>
      <x:c r="FH62" s="754" t="b">
        <x:f t="shared" si="108"/>
        <x:v>0</x:v>
      </x:c>
      <x:c r="FI62" s="917" t="b">
        <x:f t="shared" si="109"/>
        <x:v>0</x:v>
      </x:c>
      <x:c r="FJ62" s="920" t="str">
        <x:f t="shared" si="119"/>
        <x:v/>
      </x:c>
      <x:c r="FK62" s="919" t="str">
        <x:f t="shared" si="120"/>
        <x:v/>
      </x:c>
      <x:c r="FL62" s="320" t="e">
        <x:f t="shared" si="121"/>
        <x:v>#N/A</x:v>
      </x:c>
      <x:c r="FM62" s="312" t="str">
        <x:f t="shared" si="110"/>
        <x:v/>
      </x:c>
      <x:c r="FN62" s="272" t="str">
        <x:f t="shared" ca="1" si="122"/>
        <x:v/>
      </x:c>
      <x:c r="FO62" s="273" t="str">
        <x:f t="shared" ca="1" si="123"/>
        <x:v/>
      </x:c>
      <x:c r="FP62" s="274" t="str">
        <x:f t="shared" ca="1" si="124"/>
        <x:v/>
      </x:c>
      <x:c r="FQ62" s="274" t="str">
        <x:f t="shared" ca="1" si="125"/>
        <x:v/>
      </x:c>
      <x:c r="FR62" s="321">
        <x:f t="shared" ca="1" si="126"/>
        <x:v>0</x:v>
      </x:c>
      <x:c r="FS62" s="322">
        <x:f t="shared" ca="1" si="127"/>
        <x:v>0</x:v>
      </x:c>
      <x:c r="FT62" s="272" t="str">
        <x:f t="shared" ca="1" si="132"/>
        <x:v/>
      </x:c>
      <x:c r="FU62" s="275" t="str">
        <x:f t="shared" ca="1" si="133"/>
        <x:v/>
      </x:c>
      <x:c r="FV62" s="323" t="str">
        <x:f t="shared" ca="1" si="134"/>
        <x:v/>
      </x:c>
      <x:c r="FW62" s="276" t="str">
        <x:f t="shared" ca="1" si="128"/>
        <x:v/>
      </x:c>
      <x:c r="FX62" s="276" t="str">
        <x:f t="shared" ca="1" si="129"/>
        <x:v/>
      </x:c>
      <x:c r="FY62" s="276" t="str">
        <x:f t="shared" ca="1" si="135"/>
        <x:v/>
      </x:c>
      <x:c r="FZ62" s="276" t="str">
        <x:f t="shared" ca="1" si="130"/>
        <x:v/>
      </x:c>
      <x:c r="GA62" s="276" t="str">
        <x:f t="shared" ca="1" si="136"/>
        <x:v/>
      </x:c>
      <x:c r="GB62" s="277" t="str">
        <x:f ca="1">IF(FY62="","",2+SUM(FO62:OFFSET(FO62,(FU62-1)*-1,0)))</x:f>
        <x:v/>
      </x:c>
      <x:c r="GC62" s="316" t="e">
        <x:f t="shared" si="131"/>
        <x:v>#N/A</x:v>
      </x:c>
      <x:c r="GD62" s="324" t="str">
        <x:f t="shared" si="111"/>
        <x:v/>
      </x:c>
      <x:c r="GE62" s="325" t="str">
        <x:f t="shared" si="112"/>
        <x:v/>
      </x:c>
      <x:c r="GF62" s="278" t="str">
        <x:f t="shared" si="113"/>
        <x:v/>
      </x:c>
      <x:c r="GG62" s="279" t="str">
        <x:f t="shared" si="114"/>
        <x:v/>
      </x:c>
      <x:c r="GH62" s="279" t="str">
        <x:f t="shared" si="115"/>
        <x:v/>
      </x:c>
      <x:c r="GI62" s="280" t="str">
        <x:f t="shared" si="116"/>
        <x:v/>
      </x:c>
      <x:c r="GJ62" s="326">
        <x:f t="shared" ca="1" si="117"/>
        <x:v>0</x:v>
      </x:c>
      <x:c r="GK62" s="913" t="str">
        <x:f t="shared" ca="1" si="118"/>
        <x:v/>
      </x:c>
    </x:row>
    <x:row r="63" spans="1:193" ht="12.6" hidden="1" customHeight="1" x14ac:dyDescent="0.2">
      <x:c r="BZ63" s="293"/>
      <x:c r="CA63" s="293"/>
      <x:c r="CB63" s="345"/>
      <x:c r="CC63" s="346"/>
      <x:c r="CD63" s="347"/>
      <x:c r="CE63" s="347"/>
      <x:c r="CF63" s="347"/>
      <x:c r="CG63" s="347"/>
      <x:c r="CH63" s="347"/>
      <x:c r="CI63" s="347"/>
      <x:c r="CJ63" s="347"/>
      <x:c r="CK63" s="348"/>
      <x:c r="CL63" s="346"/>
      <x:c r="CM63" s="347"/>
      <x:c r="CN63" s="347"/>
      <x:c r="CO63" s="347"/>
      <x:c r="CP63" s="347"/>
      <x:c r="CQ63" s="347"/>
      <x:c r="CR63" s="347"/>
      <x:c r="CS63" s="347"/>
      <x:c r="CT63" s="348"/>
      <x:c r="CU63" s="349"/>
      <x:c r="CV63" s="350"/>
      <x:c r="CW63" s="350"/>
      <x:c r="CX63" s="350"/>
      <x:c r="CY63" s="351"/>
      <x:c r="CZ63" s="351"/>
      <x:c r="DA63" s="351"/>
      <x:c r="DB63" s="350"/>
      <x:c r="DC63" s="350"/>
      <x:c r="DD63" s="352"/>
      <x:c r="DE63" s="350"/>
      <x:c r="DF63" s="351"/>
      <x:c r="DG63" s="351"/>
      <x:c r="DH63" s="350"/>
      <x:c r="DI63" s="350"/>
      <x:c r="DJ63" s="352"/>
      <x:c r="DK63" s="350"/>
      <x:c r="DL63" s="350"/>
      <x:c r="DM63" s="350"/>
      <x:c r="DN63" s="350"/>
      <x:c r="DO63" s="350"/>
      <x:c r="DP63" s="350"/>
      <x:c r="DQ63" s="350"/>
      <x:c r="DR63" s="350"/>
      <x:c r="DS63" s="350"/>
      <x:c r="DT63" s="350"/>
      <x:c r="DU63" s="350"/>
      <x:c r="DV63" s="350"/>
      <x:c r="DW63" s="350"/>
      <x:c r="DX63" s="350"/>
      <x:c r="DY63" s="350"/>
      <x:c r="DZ63" s="350"/>
      <x:c r="EA63" s="350"/>
      <x:c r="EB63" s="353"/>
      <x:c r="EC63" s="354"/>
      <x:c r="ED63" s="353"/>
      <x:c r="EE63" s="353"/>
      <x:c r="EF63" s="353"/>
      <x:c r="EG63" s="353"/>
      <x:c r="EH63" s="353"/>
      <x:c r="EI63" s="353"/>
      <x:c r="EJ63" s="353"/>
      <x:c r="EK63" s="351"/>
      <x:c r="EL63" s="351"/>
      <x:c r="EM63" s="351"/>
      <x:c r="EN63" s="351"/>
      <x:c r="EO63" s="350"/>
      <x:c r="EP63" s="351"/>
      <x:c r="EQ63" s="351"/>
      <x:c r="ER63" s="351"/>
      <x:c r="ES63" s="351"/>
      <x:c r="ET63" s="350"/>
      <x:c r="EU63" s="350"/>
      <x:c r="EV63" s="353"/>
      <x:c r="EW63" s="353"/>
      <x:c r="EX63" s="356"/>
      <x:c r="EY63" s="362"/>
      <x:c r="EZ63" s="346"/>
      <x:c r="FA63" s="359"/>
      <x:c r="FB63" s="363"/>
      <x:c r="FC63" s="364"/>
      <x:c r="FD63" s="525"/>
      <x:c r="FE63" s="526"/>
      <x:c r="FF63" s="754" t="b">
        <x:f t="shared" si="106"/>
        <x:v>0</x:v>
      </x:c>
      <x:c r="FG63" s="754" t="b">
        <x:f t="shared" si="107"/>
        <x:v>0</x:v>
      </x:c>
      <x:c r="FH63" s="754" t="b">
        <x:f t="shared" si="108"/>
        <x:v>0</x:v>
      </x:c>
      <x:c r="FI63" s="917" t="b">
        <x:f t="shared" si="109"/>
        <x:v>0</x:v>
      </x:c>
      <x:c r="FJ63" s="920" t="str">
        <x:f t="shared" si="119"/>
        <x:v/>
      </x:c>
      <x:c r="FK63" s="919" t="str">
        <x:f t="shared" si="120"/>
        <x:v/>
      </x:c>
      <x:c r="FL63" s="320" t="e">
        <x:f t="shared" si="121"/>
        <x:v>#N/A</x:v>
      </x:c>
      <x:c r="FM63" s="312" t="str">
        <x:f t="shared" si="110"/>
        <x:v/>
      </x:c>
      <x:c r="FN63" s="272" t="str">
        <x:f t="shared" ca="1" si="122"/>
        <x:v/>
      </x:c>
      <x:c r="FO63" s="273" t="str">
        <x:f t="shared" ca="1" si="123"/>
        <x:v/>
      </x:c>
      <x:c r="FP63" s="274" t="str">
        <x:f t="shared" ca="1" si="124"/>
        <x:v/>
      </x:c>
      <x:c r="FQ63" s="274" t="str">
        <x:f t="shared" ca="1" si="125"/>
        <x:v/>
      </x:c>
      <x:c r="FR63" s="321">
        <x:f t="shared" ca="1" si="126"/>
        <x:v>0</x:v>
      </x:c>
      <x:c r="FS63" s="322">
        <x:f t="shared" ca="1" si="127"/>
        <x:v>0</x:v>
      </x:c>
      <x:c r="FT63" s="272" t="str">
        <x:f t="shared" ca="1" si="132"/>
        <x:v/>
      </x:c>
      <x:c r="FU63" s="275" t="str">
        <x:f t="shared" ca="1" si="133"/>
        <x:v/>
      </x:c>
      <x:c r="FV63" s="323" t="str">
        <x:f t="shared" ca="1" si="134"/>
        <x:v/>
      </x:c>
      <x:c r="FW63" s="276" t="str">
        <x:f t="shared" ca="1" si="128"/>
        <x:v/>
      </x:c>
      <x:c r="FX63" s="276" t="str">
        <x:f t="shared" ca="1" si="129"/>
        <x:v/>
      </x:c>
      <x:c r="FY63" s="276" t="str">
        <x:f t="shared" ca="1" si="135"/>
        <x:v/>
      </x:c>
      <x:c r="FZ63" s="276" t="str">
        <x:f t="shared" ca="1" si="130"/>
        <x:v/>
      </x:c>
      <x:c r="GA63" s="276" t="str">
        <x:f t="shared" ca="1" si="136"/>
        <x:v/>
      </x:c>
      <x:c r="GB63" s="277" t="str">
        <x:f ca="1">IF(FY63="","",2+SUM(FO63:OFFSET(FO63,(FU63-1)*-1,0)))</x:f>
        <x:v/>
      </x:c>
      <x:c r="GC63" s="316" t="e">
        <x:f t="shared" si="131"/>
        <x:v>#N/A</x:v>
      </x:c>
      <x:c r="GD63" s="324" t="str">
        <x:f t="shared" si="111"/>
        <x:v/>
      </x:c>
      <x:c r="GE63" s="325" t="str">
        <x:f t="shared" si="112"/>
        <x:v/>
      </x:c>
      <x:c r="GF63" s="278" t="str">
        <x:f t="shared" si="113"/>
        <x:v/>
      </x:c>
      <x:c r="GG63" s="279" t="str">
        <x:f t="shared" si="114"/>
        <x:v/>
      </x:c>
      <x:c r="GH63" s="279" t="str">
        <x:f t="shared" si="115"/>
        <x:v/>
      </x:c>
      <x:c r="GI63" s="280" t="str">
        <x:f t="shared" si="116"/>
        <x:v/>
      </x:c>
      <x:c r="GJ63" s="326">
        <x:f t="shared" ca="1" si="117"/>
        <x:v>0</x:v>
      </x:c>
      <x:c r="GK63" s="913" t="str">
        <x:f t="shared" ca="1" si="118"/>
        <x:v/>
      </x:c>
    </x:row>
    <x:row r="64" spans="1:193" ht="12.6" hidden="1" customHeight="1" x14ac:dyDescent="0.2">
      <x:c r="BZ64" s="293"/>
      <x:c r="CA64" s="293"/>
      <x:c r="CB64" s="345"/>
      <x:c r="CC64" s="346"/>
      <x:c r="CD64" s="347"/>
      <x:c r="CE64" s="347"/>
      <x:c r="CF64" s="347"/>
      <x:c r="CG64" s="347"/>
      <x:c r="CH64" s="347"/>
      <x:c r="CI64" s="347"/>
      <x:c r="CJ64" s="347"/>
      <x:c r="CK64" s="348"/>
      <x:c r="CL64" s="346"/>
      <x:c r="CM64" s="347"/>
      <x:c r="CN64" s="347"/>
      <x:c r="CO64" s="347"/>
      <x:c r="CP64" s="347"/>
      <x:c r="CQ64" s="347"/>
      <x:c r="CR64" s="347"/>
      <x:c r="CS64" s="347"/>
      <x:c r="CT64" s="348"/>
      <x:c r="CU64" s="349"/>
      <x:c r="CV64" s="350"/>
      <x:c r="CW64" s="350"/>
      <x:c r="CX64" s="350"/>
      <x:c r="CY64" s="351"/>
      <x:c r="CZ64" s="351"/>
      <x:c r="DA64" s="351"/>
      <x:c r="DB64" s="350"/>
      <x:c r="DC64" s="350"/>
      <x:c r="DD64" s="352"/>
      <x:c r="DE64" s="350"/>
      <x:c r="DF64" s="351"/>
      <x:c r="DG64" s="351"/>
      <x:c r="DH64" s="350"/>
      <x:c r="DI64" s="350"/>
      <x:c r="DJ64" s="352"/>
      <x:c r="DK64" s="350"/>
      <x:c r="DL64" s="350"/>
      <x:c r="DM64" s="350"/>
      <x:c r="DN64" s="350"/>
      <x:c r="DO64" s="350"/>
      <x:c r="DP64" s="350"/>
      <x:c r="DQ64" s="350"/>
      <x:c r="DR64" s="350"/>
      <x:c r="DS64" s="350"/>
      <x:c r="DT64" s="350"/>
      <x:c r="DU64" s="350"/>
      <x:c r="DV64" s="350"/>
      <x:c r="DW64" s="350"/>
      <x:c r="DX64" s="350"/>
      <x:c r="DY64" s="350"/>
      <x:c r="DZ64" s="350"/>
      <x:c r="EA64" s="350"/>
      <x:c r="EB64" s="353"/>
      <x:c r="EC64" s="354"/>
      <x:c r="ED64" s="353"/>
      <x:c r="EE64" s="353"/>
      <x:c r="EF64" s="353"/>
      <x:c r="EG64" s="353"/>
      <x:c r="EH64" s="353"/>
      <x:c r="EI64" s="353"/>
      <x:c r="EJ64" s="353"/>
      <x:c r="EK64" s="351"/>
      <x:c r="EL64" s="351"/>
      <x:c r="EM64" s="351"/>
      <x:c r="EN64" s="351"/>
      <x:c r="EO64" s="350"/>
      <x:c r="EP64" s="351"/>
      <x:c r="EQ64" s="351"/>
      <x:c r="ER64" s="351"/>
      <x:c r="ES64" s="351"/>
      <x:c r="ET64" s="350"/>
      <x:c r="EU64" s="350"/>
      <x:c r="EV64" s="353"/>
      <x:c r="EW64" s="353"/>
      <x:c r="EX64" s="356"/>
      <x:c r="EY64" s="362"/>
      <x:c r="EZ64" s="346"/>
      <x:c r="FA64" s="359"/>
      <x:c r="FB64" s="363"/>
      <x:c r="FC64" s="364"/>
      <x:c r="FD64" s="525"/>
      <x:c r="FE64" s="526"/>
      <x:c r="FF64" s="754" t="b">
        <x:f t="shared" si="106"/>
        <x:v>0</x:v>
      </x:c>
      <x:c r="FG64" s="754" t="b">
        <x:f t="shared" si="107"/>
        <x:v>0</x:v>
      </x:c>
      <x:c r="FH64" s="754" t="b">
        <x:f t="shared" si="108"/>
        <x:v>0</x:v>
      </x:c>
      <x:c r="FI64" s="917" t="b">
        <x:f t="shared" si="109"/>
        <x:v>0</x:v>
      </x:c>
      <x:c r="FJ64" s="920" t="str">
        <x:f t="shared" si="119"/>
        <x:v/>
      </x:c>
      <x:c r="FK64" s="919" t="str">
        <x:f t="shared" si="120"/>
        <x:v/>
      </x:c>
      <x:c r="FL64" s="320" t="e">
        <x:f t="shared" si="121"/>
        <x:v>#N/A</x:v>
      </x:c>
      <x:c r="FM64" s="312" t="str">
        <x:f t="shared" si="110"/>
        <x:v/>
      </x:c>
      <x:c r="FN64" s="272" t="str">
        <x:f t="shared" ca="1" si="122"/>
        <x:v/>
      </x:c>
      <x:c r="FO64" s="273" t="str">
        <x:f t="shared" ca="1" si="123"/>
        <x:v/>
      </x:c>
      <x:c r="FP64" s="274" t="str">
        <x:f t="shared" ca="1" si="124"/>
        <x:v/>
      </x:c>
      <x:c r="FQ64" s="274" t="str">
        <x:f t="shared" ca="1" si="125"/>
        <x:v/>
      </x:c>
      <x:c r="FR64" s="321">
        <x:f t="shared" ca="1" si="126"/>
        <x:v>0</x:v>
      </x:c>
      <x:c r="FS64" s="322">
        <x:f t="shared" ca="1" si="127"/>
        <x:v>0</x:v>
      </x:c>
      <x:c r="FT64" s="272" t="str">
        <x:f t="shared" ca="1" si="132"/>
        <x:v/>
      </x:c>
      <x:c r="FU64" s="275" t="str">
        <x:f t="shared" ca="1" si="133"/>
        <x:v/>
      </x:c>
      <x:c r="FV64" s="323" t="str">
        <x:f t="shared" ca="1" si="134"/>
        <x:v/>
      </x:c>
      <x:c r="FW64" s="276" t="str">
        <x:f t="shared" ca="1" si="128"/>
        <x:v/>
      </x:c>
      <x:c r="FX64" s="276" t="str">
        <x:f t="shared" ca="1" si="129"/>
        <x:v/>
      </x:c>
      <x:c r="FY64" s="276" t="str">
        <x:f t="shared" ca="1" si="135"/>
        <x:v/>
      </x:c>
      <x:c r="FZ64" s="276" t="str">
        <x:f t="shared" ca="1" si="130"/>
        <x:v/>
      </x:c>
      <x:c r="GA64" s="276" t="str">
        <x:f t="shared" ca="1" si="136"/>
        <x:v/>
      </x:c>
      <x:c r="GB64" s="277" t="str">
        <x:f ca="1">IF(FY64="","",2+SUM(FO64:OFFSET(FO64,(FU64-1)*-1,0)))</x:f>
        <x:v/>
      </x:c>
      <x:c r="GC64" s="316" t="e">
        <x:f t="shared" si="131"/>
        <x:v>#N/A</x:v>
      </x:c>
      <x:c r="GD64" s="324" t="str">
        <x:f t="shared" si="111"/>
        <x:v/>
      </x:c>
      <x:c r="GE64" s="325" t="str">
        <x:f t="shared" si="112"/>
        <x:v/>
      </x:c>
      <x:c r="GF64" s="278" t="str">
        <x:f t="shared" si="113"/>
        <x:v/>
      </x:c>
      <x:c r="GG64" s="279" t="str">
        <x:f t="shared" si="114"/>
        <x:v/>
      </x:c>
      <x:c r="GH64" s="279" t="str">
        <x:f t="shared" si="115"/>
        <x:v/>
      </x:c>
      <x:c r="GI64" s="280" t="str">
        <x:f t="shared" si="116"/>
        <x:v/>
      </x:c>
      <x:c r="GJ64" s="326">
        <x:f t="shared" ca="1" si="117"/>
        <x:v>0</x:v>
      </x:c>
      <x:c r="GK64" s="913" t="str">
        <x:f t="shared" ca="1" si="118"/>
        <x:v/>
      </x:c>
    </x:row>
    <x:row r="65" spans="78:196" ht="12.6" hidden="1" customHeight="1" x14ac:dyDescent="0.2">
      <x:c r="BZ65" s="293"/>
      <x:c r="CA65" s="293"/>
      <x:c r="CB65" s="345"/>
      <x:c r="CC65" s="346"/>
      <x:c r="CD65" s="347"/>
      <x:c r="CE65" s="347"/>
      <x:c r="CF65" s="347"/>
      <x:c r="CG65" s="347"/>
      <x:c r="CH65" s="347"/>
      <x:c r="CI65" s="347"/>
      <x:c r="CJ65" s="347"/>
      <x:c r="CK65" s="348"/>
      <x:c r="CL65" s="346"/>
      <x:c r="CM65" s="347"/>
      <x:c r="CN65" s="347"/>
      <x:c r="CO65" s="347"/>
      <x:c r="CP65" s="347"/>
      <x:c r="CQ65" s="347"/>
      <x:c r="CR65" s="347"/>
      <x:c r="CS65" s="347"/>
      <x:c r="CT65" s="348"/>
      <x:c r="CU65" s="349"/>
      <x:c r="CV65" s="350"/>
      <x:c r="CW65" s="350"/>
      <x:c r="CX65" s="350"/>
      <x:c r="CY65" s="351"/>
      <x:c r="CZ65" s="351"/>
      <x:c r="DA65" s="351"/>
      <x:c r="DB65" s="350"/>
      <x:c r="DC65" s="350"/>
      <x:c r="DD65" s="352"/>
      <x:c r="DE65" s="350"/>
      <x:c r="DF65" s="351"/>
      <x:c r="DG65" s="351"/>
      <x:c r="DH65" s="350"/>
      <x:c r="DI65" s="350"/>
      <x:c r="DJ65" s="352"/>
      <x:c r="DK65" s="350"/>
      <x:c r="DL65" s="350"/>
      <x:c r="DM65" s="350"/>
      <x:c r="DN65" s="350"/>
      <x:c r="DO65" s="350"/>
      <x:c r="DP65" s="350"/>
      <x:c r="DQ65" s="350"/>
      <x:c r="DR65" s="350"/>
      <x:c r="DS65" s="350"/>
      <x:c r="DT65" s="350"/>
      <x:c r="DU65" s="350"/>
      <x:c r="DV65" s="350"/>
      <x:c r="DW65" s="350"/>
      <x:c r="DX65" s="350"/>
      <x:c r="DY65" s="350"/>
      <x:c r="DZ65" s="350"/>
      <x:c r="EA65" s="350"/>
      <x:c r="EB65" s="353"/>
      <x:c r="EC65" s="354"/>
      <x:c r="ED65" s="353"/>
      <x:c r="EE65" s="353"/>
      <x:c r="EF65" s="353"/>
      <x:c r="EG65" s="353"/>
      <x:c r="EH65" s="353"/>
      <x:c r="EI65" s="353"/>
      <x:c r="EJ65" s="353"/>
      <x:c r="EK65" s="351"/>
      <x:c r="EL65" s="351"/>
      <x:c r="EM65" s="351"/>
      <x:c r="EN65" s="351"/>
      <x:c r="EO65" s="350"/>
      <x:c r="EP65" s="351"/>
      <x:c r="EQ65" s="351"/>
      <x:c r="ER65" s="351"/>
      <x:c r="ES65" s="351"/>
      <x:c r="ET65" s="350"/>
      <x:c r="EU65" s="350"/>
      <x:c r="EV65" s="353"/>
      <x:c r="EW65" s="353"/>
      <x:c r="EX65" s="356"/>
      <x:c r="EY65" s="362"/>
      <x:c r="EZ65" s="346"/>
      <x:c r="FA65" s="359"/>
      <x:c r="FB65" s="363"/>
      <x:c r="FC65" s="364"/>
      <x:c r="FD65" s="525"/>
      <x:c r="FE65" s="526"/>
      <x:c r="FF65" s="754" t="b">
        <x:f t="shared" si="106"/>
        <x:v>0</x:v>
      </x:c>
      <x:c r="FG65" s="754" t="b">
        <x:f t="shared" si="107"/>
        <x:v>0</x:v>
      </x:c>
      <x:c r="FH65" s="754" t="b">
        <x:f t="shared" si="108"/>
        <x:v>0</x:v>
      </x:c>
      <x:c r="FI65" s="917" t="b">
        <x:f t="shared" si="109"/>
        <x:v>0</x:v>
      </x:c>
      <x:c r="FJ65" s="920" t="str">
        <x:f t="shared" si="119"/>
        <x:v/>
      </x:c>
      <x:c r="FK65" s="919" t="str">
        <x:f t="shared" si="120"/>
        <x:v/>
      </x:c>
      <x:c r="FL65" s="320" t="e">
        <x:f t="shared" si="121"/>
        <x:v>#N/A</x:v>
      </x:c>
      <x:c r="FM65" s="312" t="str">
        <x:f t="shared" si="110"/>
        <x:v/>
      </x:c>
      <x:c r="FN65" s="272" t="str">
        <x:f t="shared" ca="1" si="122"/>
        <x:v/>
      </x:c>
      <x:c r="FO65" s="273" t="str">
        <x:f t="shared" ca="1" si="123"/>
        <x:v/>
      </x:c>
      <x:c r="FP65" s="274" t="str">
        <x:f t="shared" ca="1" si="124"/>
        <x:v/>
      </x:c>
      <x:c r="FQ65" s="274" t="str">
        <x:f t="shared" ca="1" si="125"/>
        <x:v/>
      </x:c>
      <x:c r="FR65" s="321">
        <x:f t="shared" ca="1" si="126"/>
        <x:v>0</x:v>
      </x:c>
      <x:c r="FS65" s="322">
        <x:f t="shared" ca="1" si="127"/>
        <x:v>0</x:v>
      </x:c>
      <x:c r="FT65" s="272" t="str">
        <x:f t="shared" ca="1" si="132"/>
        <x:v/>
      </x:c>
      <x:c r="FU65" s="275" t="str">
        <x:f t="shared" ca="1" si="133"/>
        <x:v/>
      </x:c>
      <x:c r="FV65" s="323" t="str">
        <x:f t="shared" ca="1" si="134"/>
        <x:v/>
      </x:c>
      <x:c r="FW65" s="276" t="str">
        <x:f t="shared" ca="1" si="128"/>
        <x:v/>
      </x:c>
      <x:c r="FX65" s="276" t="str">
        <x:f t="shared" ca="1" si="129"/>
        <x:v/>
      </x:c>
      <x:c r="FY65" s="276" t="str">
        <x:f t="shared" ca="1" si="135"/>
        <x:v/>
      </x:c>
      <x:c r="FZ65" s="276" t="str">
        <x:f t="shared" ca="1" si="130"/>
        <x:v/>
      </x:c>
      <x:c r="GA65" s="276" t="str">
        <x:f t="shared" ca="1" si="136"/>
        <x:v/>
      </x:c>
      <x:c r="GB65" s="277" t="str">
        <x:f ca="1">IF(FY65="","",2+SUM(FO65:OFFSET(FO65,(FU65-1)*-1,0)))</x:f>
        <x:v/>
      </x:c>
      <x:c r="GC65" s="316" t="e">
        <x:f t="shared" si="131"/>
        <x:v>#N/A</x:v>
      </x:c>
      <x:c r="GD65" s="324" t="str">
        <x:f t="shared" si="111"/>
        <x:v/>
      </x:c>
      <x:c r="GE65" s="325" t="str">
        <x:f t="shared" si="112"/>
        <x:v/>
      </x:c>
      <x:c r="GF65" s="278" t="str">
        <x:f t="shared" si="113"/>
        <x:v/>
      </x:c>
      <x:c r="GG65" s="279" t="str">
        <x:f t="shared" si="114"/>
        <x:v/>
      </x:c>
      <x:c r="GH65" s="279" t="str">
        <x:f t="shared" si="115"/>
        <x:v/>
      </x:c>
      <x:c r="GI65" s="280" t="str">
        <x:f t="shared" si="116"/>
        <x:v/>
      </x:c>
      <x:c r="GJ65" s="326">
        <x:f t="shared" ca="1" si="117"/>
        <x:v>0</x:v>
      </x:c>
      <x:c r="GK65" s="913" t="str">
        <x:f t="shared" ca="1" si="118"/>
        <x:v/>
      </x:c>
    </x:row>
    <x:row r="66" spans="78:196" ht="12.6" hidden="1" customHeight="1" x14ac:dyDescent="0.2">
      <x:c r="BZ66" s="293"/>
      <x:c r="CA66" s="293"/>
      <x:c r="CB66" s="345"/>
      <x:c r="CC66" s="346"/>
      <x:c r="CD66" s="347"/>
      <x:c r="CE66" s="347"/>
      <x:c r="CF66" s="347"/>
      <x:c r="CG66" s="347"/>
      <x:c r="CH66" s="347"/>
      <x:c r="CI66" s="347"/>
      <x:c r="CJ66" s="347"/>
      <x:c r="CK66" s="348"/>
      <x:c r="CL66" s="346"/>
      <x:c r="CM66" s="347"/>
      <x:c r="CN66" s="347"/>
      <x:c r="CO66" s="347"/>
      <x:c r="CP66" s="347"/>
      <x:c r="CQ66" s="347"/>
      <x:c r="CR66" s="347"/>
      <x:c r="CS66" s="347"/>
      <x:c r="CT66" s="348"/>
      <x:c r="CU66" s="349"/>
      <x:c r="CV66" s="350"/>
      <x:c r="CW66" s="350"/>
      <x:c r="CX66" s="350"/>
      <x:c r="CY66" s="351"/>
      <x:c r="CZ66" s="351"/>
      <x:c r="DA66" s="351"/>
      <x:c r="DB66" s="350"/>
      <x:c r="DC66" s="350"/>
      <x:c r="DD66" s="352"/>
      <x:c r="DE66" s="350"/>
      <x:c r="DF66" s="351"/>
      <x:c r="DG66" s="351"/>
      <x:c r="DH66" s="350"/>
      <x:c r="DI66" s="350"/>
      <x:c r="DJ66" s="352"/>
      <x:c r="DK66" s="350"/>
      <x:c r="DL66" s="350"/>
      <x:c r="DM66" s="350"/>
      <x:c r="DN66" s="350"/>
      <x:c r="DO66" s="350"/>
      <x:c r="DP66" s="350"/>
      <x:c r="DQ66" s="350"/>
      <x:c r="DR66" s="350"/>
      <x:c r="DS66" s="350"/>
      <x:c r="DT66" s="350"/>
      <x:c r="DU66" s="350"/>
      <x:c r="DV66" s="350"/>
      <x:c r="DW66" s="350"/>
      <x:c r="DX66" s="350"/>
      <x:c r="DY66" s="350"/>
      <x:c r="DZ66" s="350"/>
      <x:c r="EA66" s="350"/>
      <x:c r="EB66" s="353"/>
      <x:c r="EC66" s="354"/>
      <x:c r="ED66" s="353"/>
      <x:c r="EE66" s="353"/>
      <x:c r="EF66" s="353"/>
      <x:c r="EG66" s="353"/>
      <x:c r="EH66" s="353"/>
      <x:c r="EI66" s="353"/>
      <x:c r="EJ66" s="353"/>
      <x:c r="EK66" s="351"/>
      <x:c r="EL66" s="351"/>
      <x:c r="EM66" s="351"/>
      <x:c r="EN66" s="351"/>
      <x:c r="EO66" s="350"/>
      <x:c r="EP66" s="351"/>
      <x:c r="EQ66" s="351"/>
      <x:c r="ER66" s="351"/>
      <x:c r="ES66" s="351"/>
      <x:c r="ET66" s="350"/>
      <x:c r="EU66" s="350"/>
      <x:c r="EV66" s="353"/>
      <x:c r="EW66" s="353"/>
      <x:c r="EX66" s="356"/>
      <x:c r="EY66" s="362"/>
      <x:c r="EZ66" s="346"/>
      <x:c r="FA66" s="359"/>
      <x:c r="FB66" s="363"/>
      <x:c r="FC66" s="364"/>
      <x:c r="FD66" s="525"/>
      <x:c r="FE66" s="526"/>
      <x:c r="FF66" s="754" t="b">
        <x:f t="shared" si="106"/>
        <x:v>0</x:v>
      </x:c>
      <x:c r="FG66" s="754" t="b">
        <x:f t="shared" si="107"/>
        <x:v>0</x:v>
      </x:c>
      <x:c r="FH66" s="754" t="b">
        <x:f t="shared" si="108"/>
        <x:v>0</x:v>
      </x:c>
      <x:c r="FI66" s="917" t="b">
        <x:f t="shared" si="109"/>
        <x:v>0</x:v>
      </x:c>
      <x:c r="FJ66" s="920" t="str">
        <x:f t="shared" si="119"/>
        <x:v/>
      </x:c>
      <x:c r="FK66" s="919" t="str">
        <x:f t="shared" si="120"/>
        <x:v/>
      </x:c>
      <x:c r="FL66" s="320" t="e">
        <x:f t="shared" si="121"/>
        <x:v>#N/A</x:v>
      </x:c>
      <x:c r="FM66" s="312" t="str">
        <x:f t="shared" si="110"/>
        <x:v/>
      </x:c>
      <x:c r="FN66" s="272" t="str">
        <x:f t="shared" ca="1" si="122"/>
        <x:v/>
      </x:c>
      <x:c r="FO66" s="273" t="str">
        <x:f t="shared" ca="1" si="123"/>
        <x:v/>
      </x:c>
      <x:c r="FP66" s="274" t="str">
        <x:f t="shared" ca="1" si="124"/>
        <x:v/>
      </x:c>
      <x:c r="FQ66" s="274" t="str">
        <x:f t="shared" ca="1" si="125"/>
        <x:v/>
      </x:c>
      <x:c r="FR66" s="321">
        <x:f t="shared" ca="1" si="126"/>
        <x:v>0</x:v>
      </x:c>
      <x:c r="FS66" s="322">
        <x:f t="shared" ca="1" si="127"/>
        <x:v>0</x:v>
      </x:c>
      <x:c r="FT66" s="272" t="str">
        <x:f t="shared" ca="1" si="132"/>
        <x:v/>
      </x:c>
      <x:c r="FU66" s="275" t="str">
        <x:f t="shared" ca="1" si="133"/>
        <x:v/>
      </x:c>
      <x:c r="FV66" s="323" t="str">
        <x:f t="shared" ca="1" si="134"/>
        <x:v/>
      </x:c>
      <x:c r="FW66" s="276" t="str">
        <x:f t="shared" ca="1" si="128"/>
        <x:v/>
      </x:c>
      <x:c r="FX66" s="276" t="str">
        <x:f t="shared" ca="1" si="129"/>
        <x:v/>
      </x:c>
      <x:c r="FY66" s="276" t="str">
        <x:f t="shared" ca="1" si="135"/>
        <x:v/>
      </x:c>
      <x:c r="FZ66" s="276" t="str">
        <x:f t="shared" ca="1" si="130"/>
        <x:v/>
      </x:c>
      <x:c r="GA66" s="276" t="str">
        <x:f t="shared" ca="1" si="136"/>
        <x:v/>
      </x:c>
      <x:c r="GB66" s="277" t="str">
        <x:f ca="1">IF(FY66="","",2+SUM(FO66:OFFSET(FO66,(FU66-1)*-1,0)))</x:f>
        <x:v/>
      </x:c>
      <x:c r="GC66" s="316" t="e">
        <x:f t="shared" si="131"/>
        <x:v>#N/A</x:v>
      </x:c>
      <x:c r="GD66" s="324" t="str">
        <x:f t="shared" si="111"/>
        <x:v/>
      </x:c>
      <x:c r="GE66" s="325" t="str">
        <x:f t="shared" si="112"/>
        <x:v/>
      </x:c>
      <x:c r="GF66" s="278" t="str">
        <x:f t="shared" si="113"/>
        <x:v/>
      </x:c>
      <x:c r="GG66" s="279" t="str">
        <x:f t="shared" si="114"/>
        <x:v/>
      </x:c>
      <x:c r="GH66" s="279" t="str">
        <x:f t="shared" si="115"/>
        <x:v/>
      </x:c>
      <x:c r="GI66" s="280" t="str">
        <x:f t="shared" si="116"/>
        <x:v/>
      </x:c>
      <x:c r="GJ66" s="326">
        <x:f t="shared" ca="1" si="117"/>
        <x:v>0</x:v>
      </x:c>
      <x:c r="GK66" s="913" t="str">
        <x:f t="shared" ca="1" si="118"/>
        <x:v/>
      </x:c>
    </x:row>
    <x:row r="67" spans="78:196" ht="12.6" hidden="1" customHeight="1" x14ac:dyDescent="0.2">
      <x:c r="BZ67" s="293"/>
      <x:c r="CA67" s="293"/>
      <x:c r="CB67" s="345"/>
      <x:c r="CC67" s="346"/>
      <x:c r="CD67" s="347"/>
      <x:c r="CE67" s="347"/>
      <x:c r="CF67" s="347"/>
      <x:c r="CG67" s="347"/>
      <x:c r="CH67" s="347"/>
      <x:c r="CI67" s="347"/>
      <x:c r="CJ67" s="347"/>
      <x:c r="CK67" s="348"/>
      <x:c r="CL67" s="346"/>
      <x:c r="CM67" s="347"/>
      <x:c r="CN67" s="347"/>
      <x:c r="CO67" s="347"/>
      <x:c r="CP67" s="347"/>
      <x:c r="CQ67" s="347"/>
      <x:c r="CR67" s="347"/>
      <x:c r="CS67" s="347"/>
      <x:c r="CT67" s="348"/>
      <x:c r="CU67" s="349"/>
      <x:c r="CV67" s="350"/>
      <x:c r="CW67" s="350"/>
      <x:c r="CX67" s="350"/>
      <x:c r="CY67" s="351"/>
      <x:c r="CZ67" s="351"/>
      <x:c r="DA67" s="351"/>
      <x:c r="DB67" s="350"/>
      <x:c r="DC67" s="350"/>
      <x:c r="DD67" s="352"/>
      <x:c r="DE67" s="350"/>
      <x:c r="DF67" s="351"/>
      <x:c r="DG67" s="351"/>
      <x:c r="DH67" s="350"/>
      <x:c r="DI67" s="350"/>
      <x:c r="DJ67" s="352"/>
      <x:c r="DK67" s="350"/>
      <x:c r="DL67" s="350"/>
      <x:c r="DM67" s="350"/>
      <x:c r="DN67" s="350"/>
      <x:c r="DO67" s="350"/>
      <x:c r="DP67" s="350"/>
      <x:c r="DQ67" s="350"/>
      <x:c r="DR67" s="350"/>
      <x:c r="DS67" s="350"/>
      <x:c r="DT67" s="350"/>
      <x:c r="DU67" s="350"/>
      <x:c r="DV67" s="350"/>
      <x:c r="DW67" s="350"/>
      <x:c r="DX67" s="350"/>
      <x:c r="DY67" s="350"/>
      <x:c r="DZ67" s="350"/>
      <x:c r="EA67" s="350"/>
      <x:c r="EB67" s="353"/>
      <x:c r="EC67" s="354"/>
      <x:c r="ED67" s="353"/>
      <x:c r="EE67" s="353"/>
      <x:c r="EF67" s="353"/>
      <x:c r="EG67" s="353"/>
      <x:c r="EH67" s="353"/>
      <x:c r="EI67" s="353"/>
      <x:c r="EJ67" s="353"/>
      <x:c r="EK67" s="351"/>
      <x:c r="EL67" s="351"/>
      <x:c r="EM67" s="351"/>
      <x:c r="EN67" s="351"/>
      <x:c r="EO67" s="350"/>
      <x:c r="EP67" s="351"/>
      <x:c r="EQ67" s="351"/>
      <x:c r="ER67" s="351"/>
      <x:c r="ES67" s="351"/>
      <x:c r="ET67" s="350"/>
      <x:c r="EU67" s="350"/>
      <x:c r="EV67" s="353"/>
      <x:c r="EW67" s="353"/>
      <x:c r="EX67" s="356"/>
      <x:c r="EY67" s="362"/>
      <x:c r="EZ67" s="346"/>
      <x:c r="FA67" s="359"/>
      <x:c r="FB67" s="363"/>
      <x:c r="FC67" s="364"/>
      <x:c r="FD67" s="525"/>
      <x:c r="FE67" s="526"/>
      <x:c r="FF67" s="754" t="b">
        <x:f t="shared" si="106"/>
        <x:v>0</x:v>
      </x:c>
      <x:c r="FG67" s="754" t="b">
        <x:f t="shared" si="107"/>
        <x:v>0</x:v>
      </x:c>
      <x:c r="FH67" s="754" t="b">
        <x:f t="shared" si="108"/>
        <x:v>0</x:v>
      </x:c>
      <x:c r="FI67" s="917" t="b">
        <x:f t="shared" si="109"/>
        <x:v>0</x:v>
      </x:c>
      <x:c r="FJ67" s="920" t="str">
        <x:f t="shared" si="119"/>
        <x:v/>
      </x:c>
      <x:c r="FK67" s="919" t="str">
        <x:f t="shared" si="120"/>
        <x:v/>
      </x:c>
      <x:c r="FL67" s="320" t="e">
        <x:f t="shared" si="121"/>
        <x:v>#N/A</x:v>
      </x:c>
      <x:c r="FM67" s="312" t="str">
        <x:f t="shared" si="110"/>
        <x:v/>
      </x:c>
      <x:c r="FN67" s="272" t="str">
        <x:f t="shared" ca="1" si="122"/>
        <x:v/>
      </x:c>
      <x:c r="FO67" s="273" t="str">
        <x:f t="shared" ca="1" si="123"/>
        <x:v/>
      </x:c>
      <x:c r="FP67" s="274" t="str">
        <x:f t="shared" ca="1" si="124"/>
        <x:v/>
      </x:c>
      <x:c r="FQ67" s="274" t="str">
        <x:f t="shared" ca="1" si="125"/>
        <x:v/>
      </x:c>
      <x:c r="FR67" s="321">
        <x:f t="shared" ca="1" si="126"/>
        <x:v>0</x:v>
      </x:c>
      <x:c r="FS67" s="322">
        <x:f t="shared" ca="1" si="127"/>
        <x:v>0</x:v>
      </x:c>
      <x:c r="FT67" s="272" t="str">
        <x:f t="shared" ca="1" si="132"/>
        <x:v/>
      </x:c>
      <x:c r="FU67" s="275" t="str">
        <x:f t="shared" ca="1" si="133"/>
        <x:v/>
      </x:c>
      <x:c r="FV67" s="323" t="str">
        <x:f t="shared" ca="1" si="134"/>
        <x:v/>
      </x:c>
      <x:c r="FW67" s="276" t="str">
        <x:f t="shared" ca="1" si="128"/>
        <x:v/>
      </x:c>
      <x:c r="FX67" s="276" t="str">
        <x:f t="shared" ca="1" si="129"/>
        <x:v/>
      </x:c>
      <x:c r="FY67" s="276" t="str">
        <x:f t="shared" ca="1" si="135"/>
        <x:v/>
      </x:c>
      <x:c r="FZ67" s="276" t="str">
        <x:f t="shared" ca="1" si="130"/>
        <x:v/>
      </x:c>
      <x:c r="GA67" s="276" t="str">
        <x:f t="shared" ca="1" si="136"/>
        <x:v/>
      </x:c>
      <x:c r="GB67" s="277" t="str">
        <x:f ca="1">IF(FY67="","",2+SUM(FO67:OFFSET(FO67,(FU67-1)*-1,0)))</x:f>
        <x:v/>
      </x:c>
      <x:c r="GC67" s="316" t="e">
        <x:f t="shared" si="131"/>
        <x:v>#N/A</x:v>
      </x:c>
      <x:c r="GD67" s="324" t="str">
        <x:f t="shared" si="111"/>
        <x:v/>
      </x:c>
      <x:c r="GE67" s="325" t="str">
        <x:f t="shared" si="112"/>
        <x:v/>
      </x:c>
      <x:c r="GF67" s="278" t="str">
        <x:f t="shared" si="113"/>
        <x:v/>
      </x:c>
      <x:c r="GG67" s="279" t="str">
        <x:f t="shared" si="114"/>
        <x:v/>
      </x:c>
      <x:c r="GH67" s="279" t="str">
        <x:f t="shared" si="115"/>
        <x:v/>
      </x:c>
      <x:c r="GI67" s="280" t="str">
        <x:f t="shared" si="116"/>
        <x:v/>
      </x:c>
      <x:c r="GJ67" s="326">
        <x:f t="shared" ca="1" si="117"/>
        <x:v>0</x:v>
      </x:c>
      <x:c r="GK67" s="913" t="str">
        <x:f t="shared" ca="1" si="118"/>
        <x:v/>
      </x:c>
    </x:row>
    <x:row r="68" spans="78:196" ht="12.6" hidden="1" customHeight="1" x14ac:dyDescent="0.2">
      <x:c r="BZ68" s="293"/>
      <x:c r="CA68" s="293"/>
      <x:c r="CB68" s="365" t="str">
        <x:f t="shared" ref="CB68:CB85" si="137">IF(CB28="","",CB28)</x:f>
        <x:v/>
      </x:c>
      <x:c r="CC68" s="1304" t="str">
        <x:f>IF(CG28="","",VLOOKUP(CG28,SectInfo!$B:$N,12,FALSE))</x:f>
        <x:v/>
      </x:c>
      <x:c r="CD68" s="1305" t="str">
        <x:f>IF(ISBLANK(CN28),IF(CG28="","",VLOOKUP(CG28,SectInfo!$B:$N,13,FALSE)),CN28)</x:f>
        <x:v/>
      </x:c>
      <x:c r="CE68" s="1305" t="str">
        <x:f>IF(CG28="","",IF(VLOOKUP(CG28,SectInfo!$B:$N,5,FALSE)="","R",UPPER(VLOOKUP(CG28,SectInfo!$B:$N,5,FALSE))))</x:f>
        <x:v/>
      </x:c>
      <x:c r="CF68" s="1305" t="str">
        <x:f>IF(ISBLANK(CP28),IF(CG28="","",VLOOKUP(CG28,SectInfo!$B:$N,6,FALSE)),CP28)</x:f>
        <x:v/>
      </x:c>
      <x:c r="CG68" s="1305" t="str">
        <x:f>IF(CG28="","",IF(VLOOKUP(CG28,SectInfo!$B:$N,10,FALSE)="","",(VLOOKUP(CG28,SectInfo!$B:$N,10,FALSE)*-1)))</x:f>
        <x:v/>
      </x:c>
      <x:c r="CH68" s="1305" t="str">
        <x:f>IF(CG28="","",IF(VLOOKUP(CG28,SectInfo!$B:$N,7,FALSE)="","",(VLOOKUP(CG28,SectInfo!$B:$N,7,FALSE)*-1)))</x:f>
        <x:v/>
      </x:c>
      <x:c r="CI68" s="1305" t="str">
        <x:f>IF(CG28="","",IF(VLOOKUP(CG28,SectInfo!$B:$N,8,FALSE)="",$FC$4,(VLOOKUP(CG28,SectInfo!$B:$N,8,FALSE))))</x:f>
        <x:v/>
      </x:c>
      <x:c r="CJ68" s="1305" t="str">
        <x:f>IF(CG28="","",VLOOKUP(CG28,SectInfo!$B:$N,9,FALSE))</x:f>
        <x:v/>
      </x:c>
      <x:c r="CK68" s="1306">
        <x:f t="shared" ref="CK68:CK85" si="138">CM28*-1</x:f>
        <x:v>0</x:v>
      </x:c>
      <x:c r="CL68" s="1304" t="str">
        <x:f>IF(CQ28="","",VLOOKUP(CQ28,SectInfo!$B:$N,12,FALSE))</x:f>
        <x:v/>
      </x:c>
      <x:c r="CM68" s="1305" t="str">
        <x:f>IF(ISBLANK(CX28),IF(CQ28="","",VLOOKUP(CQ28,SectInfo!$B:$N,13,FALSE)),CX28)</x:f>
        <x:v/>
      </x:c>
      <x:c r="CN68" s="1305" t="str">
        <x:f>IF(CQ28="","",IF(VLOOKUP(CQ28,SectInfo!$B:$N,5,FALSE)="","R",UPPER(VLOOKUP(CQ28,SectInfo!$B:$N,5,FALSE))))</x:f>
        <x:v/>
      </x:c>
      <x:c r="CO68" s="1305" t="str">
        <x:f>IF(ISBLANK(CZ28),IF(CQ28="","",VLOOKUP(CQ28,SectInfo!$B:$N,6,FALSE)),CZ28)</x:f>
        <x:v/>
      </x:c>
      <x:c r="CP68" s="1305" t="str">
        <x:f>IF(CQ28="","",IF(VLOOKUP(CQ28,SectInfo!$B:$N,10,FALSE)="","",(VLOOKUP(CQ28,SectInfo!$B:$N,10,FALSE)*-1)))</x:f>
        <x:v/>
      </x:c>
      <x:c r="CQ68" s="367" t="str">
        <x:f>IF(CQ28="","",IF(VLOOKUP(CQ28,SectInfo!$B:$N,7,FALSE)="","",(VLOOKUP(CQ28,SectInfo!$B:$N,7,FALSE)*-1)))</x:f>
        <x:v/>
      </x:c>
      <x:c r="CR68" s="367" t="str">
        <x:f>IF(CQ28="","",IF(VLOOKUP(CQ28,SectInfo!$B:$N,8,FALSE)="",$FC$4,(VLOOKUP(CQ28,SectInfo!$B:$N,8,FALSE))))</x:f>
        <x:v/>
      </x:c>
      <x:c r="CS68" s="367" t="str">
        <x:f>IF(CQ28="","",VLOOKUP(CQ28,SectInfo!$B:$N,9,FALSE))</x:f>
        <x:v/>
      </x:c>
      <x:c r="CT68" s="368">
        <x:f t="shared" ref="CT68:CT85" si="139">CW28*-1</x:f>
        <x:v>0</x:v>
      </x:c>
      <x:c r="CU68" s="369">
        <x:f t="shared" ref="CU68:CU85" si="140">IF(DA28="",0,ATAN(DA28/12))</x:f>
        <x:v>0</x:v>
      </x:c>
      <x:c r="CV68" s="274" t="str">
        <x:f t="shared" ref="CV68:CV85" si="141">IF(OR(CD68="",CE28="",CM68=""),"",CEILING(IF(AND(CE28="",CF28=""),"",((CE28*12+CF28)+CD68+CM68)/COS(EU68))-0.0625,0.125))</x:f>
        <x:v/>
      </x:c>
      <x:c r="CW68" s="274" t="str">
        <x:f t="shared" ref="CW68:CW85" si="142">IF(CF68="","",IF(ABS(EM68)&lt;ABS($FA$2),CF68,IF(EM68=0,CF68,CEILING((CF68+((DC68-CD68)/12)*EM68)-0.0625,0.125))))</x:f>
        <x:v/>
      </x:c>
      <x:c r="CX68" s="873" t="str">
        <x:f t="shared" ref="CX68:CX85" si="143">IF(CO68="","",IF(ABS(ER68)&lt;ABS($FA$2),CO68,IF(ER68=0,CO68,CEILING((CO68+((DI68-CM68)/12)*ER68)-0.0625,0.125))))</x:f>
        <x:v/>
      </x:c>
      <x:c r="CY68" s="874">
        <x:f t="shared" ref="CY68:CY85" si="144">RADIANS(ABS(CL28))</x:f>
        <x:v>0</x:v>
      </x:c>
      <x:c r="CZ68" s="874">
        <x:f t="shared" ref="CZ68:CZ85" si="145">MIN(IF(CH28&gt;0,CH28/2,MAX(CI28/2,CJ68)),IF(CI28&gt;0,CI28/2,MAX(CH28/2,CJ68)),IF(CJ68&gt;0,CJ68,MAX(CI28/2,CH28/2)))/IF(OR(CC68="C",AND(CC68="M",$FG$1="N")),1,COS(CY68))</x:f>
        <x:v>0</x:v>
      </x:c>
      <x:c r="DA68" s="874" t="str">
        <x:f t="shared" ref="DA68:DA85" si="146">IF(CD68="","",IF(CJ68&gt;=0,MAX(CH28/2,CI28/2,CJ68),CJ68)/IF(OR(CC68="C",AND(CC68="M",$FG$1="N")),1,COS(CY68)))</x:f>
        <x:v/>
      </x:c>
      <x:c r="DB68" s="1310" t="str">
        <x:f>IF(CD68="","",CD68+DA68+($EY$4*TAN(CY68)))</x:f>
        <x:v/>
      </x:c>
      <x:c r="DC68" s="1310" t="str">
        <x:f t="shared" ref="DC68:DC85" si="147">IF(CD68="","",IF(NOT(ISBLANK(CO28)),CD68-CO28,MAX(IF(AND(CZ68&gt;=$FB$4,DA68&lt;=$FA$4,OR($FA$1=1,$FA$1=4)),CD68,IF(OR($FA$1=3,$FA$1=4),DB68-$FA$4,DB68+MAX(($FA$4-$FB$4)-(DA68-CZ68)-$EY$4/2*TAN(CY68),0)-$FA$4))-EO68,0)))</x:f>
        <x:v/>
      </x:c>
      <x:c r="DD68" s="1311">
        <x:f>IF(CD68="",0,IF(DC68/COS(EU68)&lt;0.0625,0,CEILING(DC68/COS(EU68)-0.03125,0.125)))</x:f>
        <x:v>0</x:v>
      </x:c>
      <x:c r="DE68" s="1310">
        <x:f t="shared" ref="DE68:DE85" si="148">RADIANS(ABS(CV28))</x:f>
        <x:v>0</x:v>
      </x:c>
      <x:c r="DF68" s="1312">
        <x:f t="shared" ref="DF68:DF85" si="149">MIN(IF(CR28&gt;0,CR28/2,MAX(CS28/2,CS68)),IF(CS28&gt;0,CS28/2,MAX(CR28/2,CS68)),IF(CS68&gt;0,CS68,MAX(CS28/2,CR28/2)))/IF(OR(CL68="C",AND(CL68="M",$FG$1="N")),1,COS(DE68))</x:f>
        <x:v>0</x:v>
      </x:c>
      <x:c r="DG68" s="1312" t="str">
        <x:f t="shared" ref="DG68:DG85" si="150">IF(CM68="","",IF(CS68&gt;=0,MAX(CR28/2,CS28/2,CS68),CS68)/IF(OR(CL68="C",AND(CL68="M",$FG$1="N")),1,COS(DE68)))</x:f>
        <x:v/>
      </x:c>
      <x:c r="DH68" s="1310" t="str">
        <x:f>IF(CM68="","",CM68+DG68+($EY$4*TAN(DE68)))</x:f>
        <x:v/>
      </x:c>
      <x:c r="DI68" s="1310" t="str">
        <x:f t="shared" ref="DI68:DI85" si="151">IF(CM68="","",IF(NOT(ISBLANK(CY28)),CM68-CY28,MAX(IF(AND(DF68&gt;=$FB$4,DG68&lt;=$FA$4,OR($FA$1=1,$FA$1=4)),CM68,IF(OR($FA$1=3,$FA$1=4),DH68-$FA$4,DH68+MAX(($FA$4-$FB$4)-(DG68-DF68)-$EY$4/2*TAN(DE68),0)-$FA$4))-ET68,0)-CY28))</x:f>
        <x:v/>
      </x:c>
      <x:c r="DJ68" s="1311">
        <x:f>IF(CM68="",0,IF(DI68/COS(EU68)&lt;0.0625,0,CEILING(DI68/COS(EU68)-0.03125,0.125)))</x:f>
        <x:v>0</x:v>
      </x:c>
      <x:c r="DK68" s="1310" t="str">
        <x:f>IF(CV68="","",CEILING(CV68-DD68-DJ68-0.0625,0.125))</x:f>
        <x:v/>
      </x:c>
      <x:c r="DL68" s="1310" t="str">
        <x:f>IF(AND(EG68="",CH68=""),"",IF(EG68="ERR","ERR",IF(ISNUMBER(EG68),(EG68/2)*-1,CH68)))</x:f>
        <x:v/>
      </x:c>
      <x:c r="DM68" s="1310" t="str">
        <x:f t="shared" ref="DM68:DM85" si="152">IF(DL68="ERR","ERR",IF(DL68="","",IF(CR68*TAN(CY68)&lt;=($FE$4-($FD$4-0.0625)),CD68-(DL68-EO68)/IF(OR(CC68="C",AND(CC68="M",$FG$1="N")),1,COS(CY68))-IF(MID(CE68,1,1)="R",0,DC68),(ABS(DL68-EO68)/IF(OR(CC68="C",AND(CC68="M",$FG$1="N")),1,COS(CY68))+CD68)-((CR68/2)*TAN(CY68))-IF(MID(CE68,1,1)="R",0,DC68))))</x:f>
        <x:v/>
      </x:c>
      <x:c r="DN68" s="1310" t="str">
        <x:f t="shared" ref="DN68:DN85" si="153">IF(DL68="ERR","ERR",IF(DL68="","",IF(CI68*TAN(CY68)&lt;=($FE$4-($FD$4-0.0625)),CD68-(DL68-EO68)/IF(OR(CC68="C",AND(CC68="M",$FG$1="N")),1,COS(CY68))-IF(MID(CE68,1,1)="R",0,DC68),(ABS(DL68-EO68)/IF(OR(CC68="C",AND(CC68="M",$FG$1="N")),1,COS(CY68))+CD68)+((CI68/2)*TAN(CY68))-IF(MID(CE68,1,1)="R",0,DC68))))</x:f>
        <x:v/>
      </x:c>
      <x:c r="DO68" s="889" t="str">
        <x:f t="shared" ref="DO68:DO85" si="154">IF(ISBLANK(CO28),IF(DM68&lt;$EX$6+($FD$4-0.0625)/2,"ERR",IF(DM68&lt;$EX$6+$FE$4/2,($FE$4/2+$EX$6),IF(DM68&lt;$FA$4+IF(MID(CE68,1,1)="R",DC68+CO28,0)-$FE$4/2-$EX$6,DM68,IF(DM68&lt;=$FA$4+IF(MID(CE68,1,1)="R",DC68,0)-($FD$4-0.0625)/2-$EX$6,$FA$4+IF(MID(CE68,1,1)="R",DC68,0)-($FE$4/2+$EX$6),"ERR")))),DM68)</x:f>
        <x:v>ERR</x:v>
      </x:c>
      <x:c r="DP68" s="889" t="str">
        <x:f t="shared" ref="DP68:DP85" si="155">IF(ISBLANK(CO28),IF(DN68&lt;$EX$6+($FD$4-0.0625)/2,"ERR",IF(DN68&lt;0.5+$FE$4/2,($FE$4/2+$EX$6),IF(DN68&lt;$FA$4+IF(MID(CE68,1,1)="R",DC68+CO28,0)-$FE$4/2-$EX$6,DN68,IF(DN68&lt;=$FA$4+IF(MID(CE68,1,1)="R",DC68,0)-($FD$4-0.0625)/2-$EX$6,$FA$4+IF(MID(CE68,1,1)="R",DC68,0)-($FE$4/2+$EX$6),"ERR")))),DN68)</x:f>
        <x:v>ERR</x:v>
      </x:c>
      <x:c r="DQ68" s="1310" t="str">
        <x:f>IF(ISERROR(DM68),"ERR",IF(DM68="","",IF(DO68="ERR","ERR",CEILING(DO68-0.0625,0.125))))</x:f>
        <x:v/>
      </x:c>
      <x:c r="DR68" s="1310" t="str">
        <x:f>IF(ISERROR(DN68),"ERR",IF(DN68="","",IF(DP68="ERR","ERR",CEILING(DP68-0.0625,0.125))))</x:f>
        <x:v/>
      </x:c>
      <x:c r="DS68" s="1310" t="str">
        <x:f>IF(AND(EJ68="",CQ68=""),"",IF(EJ68="ERR","ERR",IF(ISNUMBER(EJ68),(EJ68/2)*-1,CQ68)))</x:f>
        <x:v/>
      </x:c>
      <x:c r="DT68" s="1310" t="str">
        <x:f t="shared" ref="DT68:DT85" si="156">IF(DS68="ERR","ERR",IF(DS68="","",IF(CR68*TAN(DE68)&lt;=($FE$4-($FD$4-0.0625)),CM68-(DS68-ET68)/IF(OR(CL68="C",AND(CL68="M",$FG$1="N")),1,COS(DE68))-IF(MID(CN68,1,1)="R",0,DI68),(ABS(DS68-ET68)/IF(OR(CL68="C",AND(CL68="M",$FG$1="N")),1,COS(DE68))+CM68)-((CR68/2)*TAN(DE68))-IF(MID(CN68,1,1)="R",0,DI68))))</x:f>
        <x:v/>
      </x:c>
      <x:c r="DU68" s="1310" t="str">
        <x:f t="shared" ref="DU68:DU85" si="157">IF(DS68="ERR","ERR",IF(DS68="","",IF(CR68*TAN(DE68)&lt;=($FE$4-($FD$4-0.0625)),CM68-(DS68-ET68)/IF(OR(CL68="C",AND(CL68="M",$FG$1="N")),1,COS(DE68))-IF(MID(CN68,1,1)="R",0,DI68),(ABS(DS68-ET68)/IF(OR(CL68="C",AND(CL68="M",$FG$1="N")),1,COS(DE68))+CM68)+((CR68/2)*TAN(DE68))-IF(MID(CN68,1,1)="R",0,DI68))))</x:f>
        <x:v/>
      </x:c>
      <x:c r="DV68" s="889" t="str">
        <x:f t="shared" ref="DV68:DV85" si="158">IF(ISBLANK(CY28),IF(DT68&lt;$EX$6+($FD$4-0.0625)/2,"ERR",IF(DT68&lt;$EX$6+$FE$4/2,($FE$4/2+$EX$6),IF(DT68&lt;$FA$4+IF(MID(CN68,1,1)="R",DI68+CY28,0)-$FE$4/2-$EX$6,DT68,IF(DT68&lt;=$FA$4+IF(MID(CN68,1,1)="R",DI68,0)-($FD$4-0.0625)/2-$EX$6,$FA$4+IF(MID(CN68,1,1)="R",DI68,0)-($FE$4/2+$EX$6),"ERR")))),DT68)</x:f>
        <x:v>ERR</x:v>
      </x:c>
      <x:c r="DW68" s="889" t="str">
        <x:f t="shared" ref="DW68:DW85" si="159">IF(ISBLANK(CY28),IF(DU68&lt;$EX$6+($FD$4-0.0625)/2,"ERR",IF(DU68&lt;0.5+$FE$4/2,($FE$4/2+$EX$6),IF(DU68&lt;$FA$4+IF(MID(CN68,1,1)="R",DI68+CY28,0)-$FE$4/2-$EX$6,DU68,IF(DU68&lt;=$FA$4+IF(MID(CN68,1,1)="R",DI68,0)-($FD$4-0.0625)/2-$EX$6,$FA$4+IF(MID(CN68,1,1)="R",DI68,0)-($FE$4/2+$EX$6),"ERR")))),DU68)</x:f>
        <x:v>ERR</x:v>
      </x:c>
      <x:c r="DX68" s="873" t="str">
        <x:f>IF(ISERROR(DT68),"ERR",IF(DT68="","",IF(DV68="ERR","ERR",CEILING(DV68-0.0625,0.125))))</x:f>
        <x:v/>
      </x:c>
      <x:c r="DY68" s="873" t="str">
        <x:f>IF(ISERROR(DU68),"ERR",IF(DU68="","",IF(DW68="ERR","ERR",CEILING(DW68-0.0625,0.125))))</x:f>
        <x:v/>
      </x:c>
      <x:c r="DZ68" s="873" t="str">
        <x:f>IF(CG68="","",IF((CD68-CG68)/COS(CU68)-FB68&lt;=-0.0625,CEILING((CD68-CG68)/COS(CU68)-FB68+0.0625,-0.125),IF((CD68-CG68)/COS(CU68)-FB68&gt;=0.0625,CEILING((CD68-CG68)/COS(CU68)-FB68-0.0625,0.125),0)))</x:f>
        <x:v/>
      </x:c>
      <x:c r="EA68" s="873" t="str">
        <x:f>IF(CP68="","",IF((CM68-CP68)/COS(CU68)-FC68&lt;=-0.0625,CEILING((CM68-CP68)/COS(CU68)-FC68+0.0625,-0.125),IF((CM68-CP68)/COS(CU68)-FC68&gt;=0.0625,CEILING((CM68-CP68)/COS(CU68)-FC68-0.0625,0.125),0)))</x:f>
        <x:v/>
      </x:c>
      <x:c r="EB68" s="876" t="str">
        <x:f t="shared" ref="EB68:EB85" si="160">IF(CD28="","",$FC$4)</x:f>
        <x:v/>
      </x:c>
      <x:c r="EC68" s="877" t="str">
        <x:f>IF(AND(DR68="",DY68=""),"",IF(OR(CI68=EB68,CR68=EB68),EB68,CI68))</x:f>
        <x:v/>
      </x:c>
      <x:c r="ED68" s="876" t="str">
        <x:f t="shared" ref="ED68:ED85" si="161">IF(DA28="","",CEILING(($EZ$4/COS(CU68)+$FA$4/12*ABS(DA28)+0.5),0.125))</x:f>
        <x:v/>
      </x:c>
      <x:c r="EE68" s="876" t="str">
        <x:f t="shared" ref="EE68:EE85" si="162">(IF(CC68="B",MIN(CJ28:CK28),""))</x:f>
        <x:v/>
      </x:c>
      <x:c r="EF68" s="876" t="str">
        <x:f t="shared" ref="EF68:EF85" si="163">(IF(CC68="B",MAX(CJ28:CK28),""))</x:f>
        <x:v/>
      </x:c>
      <x:c r="EG68" s="876" t="str">
        <x:f t="shared" ref="EG68:EG85" si="164">IF(EE68="","",IF((EF68-EE68)/2&lt;=($FE$4-($FD$4-0.0625)),(EE68+EF68)/2,"ERR"))</x:f>
        <x:v/>
      </x:c>
      <x:c r="EH68" s="876" t="str">
        <x:f t="shared" ref="EH68:EH85" si="165">IF(CL68="B",MIN(CT28:CU28),"")</x:f>
        <x:v/>
      </x:c>
      <x:c r="EI68" s="876" t="str">
        <x:f t="shared" ref="EI68:EI85" si="166">IF(CL68="B",MAX(CT28:CU28),"")</x:f>
        <x:v/>
      </x:c>
      <x:c r="EJ68" s="876" t="str">
        <x:f t="shared" ref="EJ68:EJ85" si="167">IF(EH68="","",IF((EI68-EH68)/2&lt;=($FE$4-($FD$4-0.0625)),(EH68+EI68)/2,"ERR"))</x:f>
        <x:v/>
      </x:c>
      <x:c r="EK68" s="874">
        <x:f>IF(CK68="",0,ATAN(CK68/12))</x:f>
        <x:v>0</x:v>
      </x:c>
      <x:c r="EL68" s="874">
        <x:f>CU68-EK68</x:f>
        <x:v>0</x:v>
      </x:c>
      <x:c r="EM68" s="874">
        <x:f t="shared" ref="EM68:EM85" si="168">TAN(EL68)*12</x:f>
        <x:v>0</x:v>
      </x:c>
      <x:c r="EN68" s="874" t="str">
        <x:f t="shared" ref="EN68:EN85" si="169">IF(ABS(EM68)&lt;$FA$2,"",IF(EM68&gt;0,CEILING(EM68-0.0625,0.125),CEILING(EM68+0.0625,-0.125)))</x:f>
        <x:v/>
      </x:c>
      <x:c r="EO68" s="873" t="str">
        <x:f>IF(CF68="","",CF68*TAN(EK68))</x:f>
        <x:v/>
      </x:c>
      <x:c r="EP68" s="874">
        <x:f>IF(CT68="",0,ATAN(CT68/12))</x:f>
        <x:v>0</x:v>
      </x:c>
      <x:c r="EQ68" s="874">
        <x:f>CU68+EP68</x:f>
        <x:v>0</x:v>
      </x:c>
      <x:c r="ER68" s="874">
        <x:f t="shared" ref="ER68:ER85" si="170">TAN(EQ68)*-12</x:f>
        <x:v>0</x:v>
      </x:c>
      <x:c r="ES68" s="874" t="str">
        <x:f t="shared" ref="ES68:ES85" si="171">IF(ABS(ER68)&lt;$FA$2,"",IF(ER68&gt;0,CEILING(ER68-0.0625,0.125),CEILING(ER68+0.0625,-0.125)))</x:f>
        <x:v/>
      </x:c>
      <x:c r="ET68" s="873" t="str">
        <x:f>IF(CO68="","",CO68*TAN(EP68))</x:f>
        <x:v/>
      </x:c>
      <x:c r="EU68" s="873">
        <x:f t="shared" ref="EU68:EU85" si="172">IF((CE28*12+CF28)/COS(CU68)-(CE28*12+CF28)&lt;$FE$2,0,CU68)</x:f>
        <x:v>0</x:v>
      </x:c>
      <x:c r="EV68" s="876" t="e">
        <x:f t="shared" ref="EV68:EV85" si="173">MIN(IF(CH28&gt;0,CH28/2,MAX(CI28/2,CJ68)),IF(CI28&gt;0,CI28/2,MAX(CH28/2,CJ68)),IF(CJ68&gt;0,CJ68,MAX(CI28/2,CH28/2)))/COS(CY68)+CD68-DC68</x:f>
        <x:v>#VALUE!</x:v>
      </x:c>
      <x:c r="EW68" s="876" t="e">
        <x:f t="shared" ref="EW68:EW85" si="174">MIN(IF(CR28&gt;0,CR28/2,MAX(CS28/2,CS68)),IF(CS28&gt;0,CS28/2,MAX(CR28/2,CS68)),IF(CS68&gt;0,CS68,MAX(CS28/2,CR28/2)))/COS(DE68)+CM68-DI68</x:f>
        <x:v>#VALUE!</x:v>
      </x:c>
      <x:c r="EX68" s="942" t="str">
        <x:f t="shared" ref="EX68:EX85" si="175">IF(CD28="","",IF(EZ68&lt;1.2,5+$EX$4,IF(EZ68&lt;1.79,6+$EX$4,IF(EZ68&lt;2.3,7+$EX$4,IF(EZ68&lt;3.76,8+$EX$4,IF(EZ68&lt;4.76,10+$EY$4,IF(EZ68&lt;8.45,12+$EY$4,"ERR")))))))</x:f>
        <x:v/>
      </x:c>
      <x:c r="EY68" s="879">
        <x:f>TRUNC(IF(FA68&lt;1.03,25.667,IF(FA68&lt;1.2,29.667,IF(FA68&lt;1.79,33.583,IF(FA68&lt;2.3,37.75,IF(FA68&lt;3.76,42,IF(FA68&lt;4.76,50.167,IF(FA68&lt;8.45,58.167,"ERR"))))))))</x:f>
        <x:v>25</x:v>
      </x:c>
      <x:c r="EZ68" s="959">
        <x:f t="shared" ref="EZ68:EZ85" si="176">(0.03*BP28*((CE28+CF28/12)/BO28)*(BO28^2-IF(ISEVEN(BO28),0,1)))/BM28</x:f>
        <x:v>0</x:v>
      </x:c>
      <x:c r="FA68" s="960">
        <x:f t="shared" ref="FA68:FA85" si="177">(0.026*BP28*((CE28+CF28/12)/BO28)*(BO28^2-IF(ISEVEN(BO28),0,1)))/BM28</x:f>
        <x:v>0</x:v>
      </x:c>
      <x:c r="FB68" s="880" t="str">
        <x:f t="shared" ref="FB68:FB85" si="178">IF(CG68="","",IF(ABS(DA28*((BM28-IF(DA28&gt;0,$FF$4,0))/12))&gt;$CX$2,DA28*((BM28-IF(DA28&gt;0,$FF$4,0))/12),0))</x:f>
        <x:v/>
      </x:c>
      <x:c r="FC68" s="881" t="str">
        <x:f t="shared" ref="FC68:FC85" si="179">IF(CP68="","",IF(ABS(DA28*((BM28-IF(DA28&lt;0,$FF$4,0))/12))&gt;$CX$2,DA28*((BM28-IF(DA28&lt;0,$FF$4,0))/12)*-1,0))</x:f>
        <x:v/>
      </x:c>
      <x:c r="FD68" s="512">
        <x:f t="shared" ref="FD68:FD85" si="180">IF(CF68="",0,MAX(0,DB68-$FA$4))</x:f>
        <x:v>0</x:v>
      </x:c>
      <x:c r="FE68" s="513">
        <x:f t="shared" ref="FE68:FE85" si="181">IF(CO68="",0,MAX(0,DH68-$FA$4))</x:f>
        <x:v>0</x:v>
      </x:c>
      <x:c r="FF68" s="754" t="b">
        <x:f t="shared" si="106"/>
        <x:v>0</x:v>
      </x:c>
      <x:c r="FG68" s="754" t="b">
        <x:f t="shared" si="107"/>
        <x:v>0</x:v>
      </x:c>
      <x:c r="FH68" s="754" t="b">
        <x:f t="shared" si="108"/>
        <x:v>0</x:v>
      </x:c>
      <x:c r="FI68" s="917" t="b">
        <x:f t="shared" si="109"/>
        <x:v>0</x:v>
      </x:c>
      <x:c r="FJ68" s="920" t="str">
        <x:f t="shared" si="119"/>
        <x:v/>
      </x:c>
      <x:c r="FK68" s="919" t="str">
        <x:f t="shared" si="120"/>
        <x:v/>
      </x:c>
      <x:c r="FL68" s="320" t="e">
        <x:f t="shared" si="121"/>
        <x:v>#N/A</x:v>
      </x:c>
      <x:c r="FM68" s="312" t="str">
        <x:f t="shared" si="110"/>
        <x:v/>
      </x:c>
      <x:c r="FN68" s="272" t="str">
        <x:f t="shared" ca="1" si="122"/>
        <x:v/>
      </x:c>
      <x:c r="FO68" s="273" t="str">
        <x:f t="shared" ca="1" si="123"/>
        <x:v/>
      </x:c>
      <x:c r="FP68" s="274" t="str">
        <x:f t="shared" ca="1" si="124"/>
        <x:v/>
      </x:c>
      <x:c r="FQ68" s="274" t="str">
        <x:f t="shared" ca="1" si="125"/>
        <x:v/>
      </x:c>
      <x:c r="FR68" s="321">
        <x:f t="shared" ca="1" si="126"/>
        <x:v>0</x:v>
      </x:c>
      <x:c r="FS68" s="322">
        <x:f t="shared" ca="1" si="127"/>
        <x:v>0</x:v>
      </x:c>
      <x:c r="FT68" s="272" t="str">
        <x:f t="shared" ca="1" si="132"/>
        <x:v/>
      </x:c>
      <x:c r="FU68" s="275" t="str">
        <x:f t="shared" ca="1" si="133"/>
        <x:v/>
      </x:c>
      <x:c r="FV68" s="323" t="str">
        <x:f t="shared" ca="1" si="134"/>
        <x:v/>
      </x:c>
      <x:c r="FW68" s="276" t="str">
        <x:f t="shared" ca="1" si="128"/>
        <x:v/>
      </x:c>
      <x:c r="FX68" s="276" t="str">
        <x:f t="shared" ca="1" si="129"/>
        <x:v/>
      </x:c>
      <x:c r="FY68" s="276" t="str">
        <x:f t="shared" ca="1" si="135"/>
        <x:v/>
      </x:c>
      <x:c r="FZ68" s="276" t="str">
        <x:f t="shared" ca="1" si="130"/>
        <x:v/>
      </x:c>
      <x:c r="GA68" s="276" t="str">
        <x:f t="shared" ca="1" si="136"/>
        <x:v/>
      </x:c>
      <x:c r="GB68" s="277" t="str">
        <x:f ca="1">IF(FY68="","",2+SUM(FO68:OFFSET(FO68,(FU68-1)*-1,0)))</x:f>
        <x:v/>
      </x:c>
      <x:c r="GC68" s="316" t="e">
        <x:f t="shared" si="131"/>
        <x:v>#N/A</x:v>
      </x:c>
      <x:c r="GD68" s="324" t="str">
        <x:f t="shared" si="111"/>
        <x:v/>
      </x:c>
      <x:c r="GE68" s="325" t="str">
        <x:f t="shared" si="112"/>
        <x:v/>
      </x:c>
      <x:c r="GF68" s="278" t="str">
        <x:f t="shared" si="113"/>
        <x:v/>
      </x:c>
      <x:c r="GG68" s="279" t="str">
        <x:f t="shared" si="114"/>
        <x:v/>
      </x:c>
      <x:c r="GH68" s="279" t="str">
        <x:f t="shared" si="115"/>
        <x:v/>
      </x:c>
      <x:c r="GI68" s="280" t="str">
        <x:f t="shared" si="116"/>
        <x:v/>
      </x:c>
      <x:c r="GJ68" s="326">
        <x:f t="shared" ca="1" si="117"/>
        <x:v>0</x:v>
      </x:c>
      <x:c r="GK68" s="913" t="str">
        <x:f t="shared" ca="1" si="118"/>
        <x:v/>
      </x:c>
    </x:row>
    <x:row r="69" spans="78:196" ht="12.6" hidden="1" customHeight="1" x14ac:dyDescent="0.2">
      <x:c r="BZ69" s="293"/>
      <x:c r="CA69" s="293"/>
      <x:c r="CB69" s="365" t="str">
        <x:f t="shared" si="137"/>
        <x:v/>
      </x:c>
      <x:c r="CC69" s="1304" t="str">
        <x:f>IF(CG29="","",VLOOKUP(CG29,SectInfo!$B:$N,12,FALSE))</x:f>
        <x:v/>
      </x:c>
      <x:c r="CD69" s="1305" t="str">
        <x:f>IF(ISBLANK(CN29),IF(CG29="","",VLOOKUP(CG29,SectInfo!$B:$N,13,FALSE)),CN29)</x:f>
        <x:v/>
      </x:c>
      <x:c r="CE69" s="1305" t="str">
        <x:f>IF(CG29="","",IF(VLOOKUP(CG29,SectInfo!$B:$N,5,FALSE)="","R",UPPER(VLOOKUP(CG29,SectInfo!$B:$N,5,FALSE))))</x:f>
        <x:v/>
      </x:c>
      <x:c r="CF69" s="1305" t="str">
        <x:f>IF(ISBLANK(CP29),IF(CG29="","",VLOOKUP(CG29,SectInfo!$B:$N,6,FALSE)),CP29)</x:f>
        <x:v/>
      </x:c>
      <x:c r="CG69" s="1305" t="str">
        <x:f>IF(CG29="","",IF(VLOOKUP(CG29,SectInfo!$B:$N,10,FALSE)="","",(VLOOKUP(CG29,SectInfo!$B:$N,10,FALSE)*-1)))</x:f>
        <x:v/>
      </x:c>
      <x:c r="CH69" s="1305" t="str">
        <x:f>IF(CG29="","",IF(VLOOKUP(CG29,SectInfo!$B:$N,7,FALSE)="","",(VLOOKUP(CG29,SectInfo!$B:$N,7,FALSE)*-1)))</x:f>
        <x:v/>
      </x:c>
      <x:c r="CI69" s="1305" t="str">
        <x:f>IF(CG29="","",IF(VLOOKUP(CG29,SectInfo!$B:$N,8,FALSE)="",$FC$4,(VLOOKUP(CG29,SectInfo!$B:$N,8,FALSE))))</x:f>
        <x:v/>
      </x:c>
      <x:c r="CJ69" s="1305" t="str">
        <x:f>IF(CG29="","",VLOOKUP(CG29,SectInfo!$B:$N,9,FALSE))</x:f>
        <x:v/>
      </x:c>
      <x:c r="CK69" s="1306">
        <x:f t="shared" si="138"/>
        <x:v>0</x:v>
      </x:c>
      <x:c r="CL69" s="1304" t="str">
        <x:f>IF(CQ29="","",VLOOKUP(CQ29,SectInfo!$B:$N,12,FALSE))</x:f>
        <x:v/>
      </x:c>
      <x:c r="CM69" s="1305" t="str">
        <x:f>IF(ISBLANK(CX29),IF(CQ29="","",VLOOKUP(CQ29,SectInfo!$B:$N,13,FALSE)),CX29)</x:f>
        <x:v/>
      </x:c>
      <x:c r="CN69" s="1305" t="str">
        <x:f>IF(CQ29="","",IF(VLOOKUP(CQ29,SectInfo!$B:$N,5,FALSE)="","R",UPPER(VLOOKUP(CQ29,SectInfo!$B:$N,5,FALSE))))</x:f>
        <x:v/>
      </x:c>
      <x:c r="CO69" s="1305" t="str">
        <x:f>IF(ISBLANK(CZ29),IF(CQ29="","",VLOOKUP(CQ29,SectInfo!$B:$N,6,FALSE)),CZ29)</x:f>
        <x:v/>
      </x:c>
      <x:c r="CP69" s="1305" t="str">
        <x:f>IF(CQ29="","",IF(VLOOKUP(CQ29,SectInfo!$B:$N,10,FALSE)="","",(VLOOKUP(CQ29,SectInfo!$B:$N,10,FALSE)*-1)))</x:f>
        <x:v/>
      </x:c>
      <x:c r="CQ69" s="367" t="str">
        <x:f>IF(CQ29="","",IF(VLOOKUP(CQ29,SectInfo!$B:$N,7,FALSE)="","",(VLOOKUP(CQ29,SectInfo!$B:$N,7,FALSE)*-1)))</x:f>
        <x:v/>
      </x:c>
      <x:c r="CR69" s="367" t="str">
        <x:f>IF(CQ29="","",IF(VLOOKUP(CQ29,SectInfo!$B:$N,8,FALSE)="",$FC$4,(VLOOKUP(CQ29,SectInfo!$B:$N,8,FALSE))))</x:f>
        <x:v/>
      </x:c>
      <x:c r="CS69" s="367" t="str">
        <x:f>IF(CQ29="","",VLOOKUP(CQ29,SectInfo!$B:$N,9,FALSE))</x:f>
        <x:v/>
      </x:c>
      <x:c r="CT69" s="368">
        <x:f t="shared" si="139"/>
        <x:v>0</x:v>
      </x:c>
      <x:c r="CU69" s="369">
        <x:f t="shared" si="140"/>
        <x:v>0</x:v>
      </x:c>
      <x:c r="CV69" s="274" t="str">
        <x:f t="shared" si="141"/>
        <x:v/>
      </x:c>
      <x:c r="CW69" s="274" t="str">
        <x:f t="shared" si="142"/>
        <x:v/>
      </x:c>
      <x:c r="CX69" s="873" t="str">
        <x:f t="shared" si="143"/>
        <x:v/>
      </x:c>
      <x:c r="CY69" s="874">
        <x:f t="shared" si="144"/>
        <x:v>0</x:v>
      </x:c>
      <x:c r="CZ69" s="874">
        <x:f t="shared" si="145"/>
        <x:v>0</x:v>
      </x:c>
      <x:c r="DA69" s="874" t="str">
        <x:f t="shared" si="146"/>
        <x:v/>
      </x:c>
      <x:c r="DB69" s="1310" t="str">
        <x:f t="shared" ref="DB69:DB85" si="182">IF(CD69="","",CD69+DA69+($EY$4*TAN(CY69)))</x:f>
        <x:v/>
      </x:c>
      <x:c r="DC69" s="1310" t="str">
        <x:f t="shared" si="147"/>
        <x:v/>
      </x:c>
      <x:c r="DD69" s="1311">
        <x:f t="shared" ref="DD69:DD85" si="183">IF(CD69="",0,IF(DC69/COS(EU69)&lt;0.0625,0,CEILING(DC69/COS(EU69)-0.03125,0.125)))</x:f>
        <x:v>0</x:v>
      </x:c>
      <x:c r="DE69" s="1310">
        <x:f t="shared" si="148"/>
        <x:v>0</x:v>
      </x:c>
      <x:c r="DF69" s="1312">
        <x:f t="shared" si="149"/>
        <x:v>0</x:v>
      </x:c>
      <x:c r="DG69" s="1312" t="str">
        <x:f t="shared" si="150"/>
        <x:v/>
      </x:c>
      <x:c r="DH69" s="1310" t="str">
        <x:f t="shared" ref="DH69:DH85" si="184">IF(CM69="","",CM69+DG69+($EY$4*TAN(DE69)))</x:f>
        <x:v/>
      </x:c>
      <x:c r="DI69" s="1310" t="str">
        <x:f t="shared" si="151"/>
        <x:v/>
      </x:c>
      <x:c r="DJ69" s="1311">
        <x:f t="shared" ref="DJ69:DJ85" si="185">IF(CM69="",0,IF(DI69/COS(EU69)&lt;0.0625,0,CEILING(DI69/COS(EU69)-0.03125,0.125)))</x:f>
        <x:v>0</x:v>
      </x:c>
      <x:c r="DK69" s="1310" t="str">
        <x:f t="shared" ref="DK69:DK85" si="186">IF(CV69="","",CEILING(CV69-DD69-DJ69-0.0625,0.125))</x:f>
        <x:v/>
      </x:c>
      <x:c r="DL69" s="1310" t="str">
        <x:f t="shared" ref="DL69:DL85" si="187">IF(AND(EG69="",CH69=""),"",IF(EG69="ERR","ERR",IF(ISNUMBER(EG69),(EG69/2)*-1,CH69)))</x:f>
        <x:v/>
      </x:c>
      <x:c r="DM69" s="1310" t="str">
        <x:f t="shared" si="152"/>
        <x:v/>
      </x:c>
      <x:c r="DN69" s="1310" t="str">
        <x:f t="shared" si="153"/>
        <x:v/>
      </x:c>
      <x:c r="DO69" s="889" t="str">
        <x:f t="shared" si="154"/>
        <x:v>ERR</x:v>
      </x:c>
      <x:c r="DP69" s="889" t="str">
        <x:f t="shared" si="155"/>
        <x:v>ERR</x:v>
      </x:c>
      <x:c r="DQ69" s="1310" t="str">
        <x:f t="shared" ref="DQ69:DR85" si="188">IF(ISERROR(DM69),"ERR",IF(DM69="","",IF(DO69="ERR","ERR",CEILING(DO69-0.0625,0.125))))</x:f>
        <x:v/>
      </x:c>
      <x:c r="DR69" s="1310" t="str">
        <x:f t="shared" si="188"/>
        <x:v/>
      </x:c>
      <x:c r="DS69" s="1310" t="str">
        <x:f t="shared" ref="DS69:DS85" si="189">IF(AND(EJ69="",CQ69=""),"",IF(EJ69="ERR","ERR",IF(ISNUMBER(EJ69),(EJ69/2)*-1,CQ69)))</x:f>
        <x:v/>
      </x:c>
      <x:c r="DT69" s="1310" t="str">
        <x:f t="shared" si="156"/>
        <x:v/>
      </x:c>
      <x:c r="DU69" s="1310" t="str">
        <x:f t="shared" si="157"/>
        <x:v/>
      </x:c>
      <x:c r="DV69" s="889" t="str">
        <x:f t="shared" si="158"/>
        <x:v>ERR</x:v>
      </x:c>
      <x:c r="DW69" s="889" t="str">
        <x:f t="shared" si="159"/>
        <x:v>ERR</x:v>
      </x:c>
      <x:c r="DX69" s="873" t="str">
        <x:f t="shared" ref="DX69:DY85" si="190">IF(ISERROR(DT69),"ERR",IF(DT69="","",IF(DV69="ERR","ERR",CEILING(DV69-0.0625,0.125))))</x:f>
        <x:v/>
      </x:c>
      <x:c r="DY69" s="873" t="str">
        <x:f t="shared" si="190"/>
        <x:v/>
      </x:c>
      <x:c r="DZ69" s="873" t="str">
        <x:f>IF(CG69="","",IF((CD69-CG69)/COS(CU69)-FB69&lt;=-0.0625,CEILING((CD69-CG69)/COS(CU69)-FB69+0.0625,-0.125),IF((CD69-CG69)/COS(CU69)-FB69&gt;=0.0625,CEILING((CD69-CG69)/COS(CU69)-FB69-0.0625,0.125),0)))</x:f>
        <x:v/>
      </x:c>
      <x:c r="EA69" s="873" t="str">
        <x:f>IF(CP69="","",IF((CM69-CP69)/COS(CU69)-FC69&lt;=-0.0625,CEILING((CM69-CP69)/COS(CU69)-FC69+0.0625,-0.125),IF((CM69-CP69)/COS(CU69)-FC69&gt;=0.0625,CEILING((CM69-CP69)/COS(CU69)-FC69-0.0625,0.125),0)))</x:f>
        <x:v/>
      </x:c>
      <x:c r="EB69" s="876" t="str">
        <x:f t="shared" si="160"/>
        <x:v/>
      </x:c>
      <x:c r="EC69" s="877" t="str">
        <x:f t="shared" ref="EC69:EC85" si="191">IF(AND(DR69="",DY69=""),"",IF(OR(CI69=EB69,CR69=EB69),EB69,CI69))</x:f>
        <x:v/>
      </x:c>
      <x:c r="ED69" s="876" t="str">
        <x:f t="shared" si="161"/>
        <x:v/>
      </x:c>
      <x:c r="EE69" s="876" t="str">
        <x:f t="shared" si="162"/>
        <x:v/>
      </x:c>
      <x:c r="EF69" s="876" t="str">
        <x:f t="shared" si="163"/>
        <x:v/>
      </x:c>
      <x:c r="EG69" s="876" t="str">
        <x:f t="shared" si="164"/>
        <x:v/>
      </x:c>
      <x:c r="EH69" s="876" t="str">
        <x:f t="shared" si="165"/>
        <x:v/>
      </x:c>
      <x:c r="EI69" s="876" t="str">
        <x:f t="shared" si="166"/>
        <x:v/>
      </x:c>
      <x:c r="EJ69" s="876" t="str">
        <x:f t="shared" si="167"/>
        <x:v/>
      </x:c>
      <x:c r="EK69" s="874">
        <x:f t="shared" ref="EK69:EK85" si="192">IF(CK69="",0,ATAN(CK69/12))</x:f>
        <x:v>0</x:v>
      </x:c>
      <x:c r="EL69" s="874">
        <x:f t="shared" ref="EL69:EL85" si="193">CU69-EK69</x:f>
        <x:v>0</x:v>
      </x:c>
      <x:c r="EM69" s="874">
        <x:f t="shared" si="168"/>
        <x:v>0</x:v>
      </x:c>
      <x:c r="EN69" s="874" t="str">
        <x:f t="shared" si="169"/>
        <x:v/>
      </x:c>
      <x:c r="EO69" s="873" t="str">
        <x:f t="shared" ref="EO69:EO85" si="194">IF(CF69="","",CF69*TAN(EK69))</x:f>
        <x:v/>
      </x:c>
      <x:c r="EP69" s="874">
        <x:f t="shared" ref="EP69:EP85" si="195">IF(CT69="",0,ATAN(CT69/12))</x:f>
        <x:v>0</x:v>
      </x:c>
      <x:c r="EQ69" s="874">
        <x:f t="shared" ref="EQ69:EQ85" si="196">CU69+EP69</x:f>
        <x:v>0</x:v>
      </x:c>
      <x:c r="ER69" s="874">
        <x:f t="shared" si="170"/>
        <x:v>0</x:v>
      </x:c>
      <x:c r="ES69" s="874" t="str">
        <x:f t="shared" si="171"/>
        <x:v/>
      </x:c>
      <x:c r="ET69" s="873" t="str">
        <x:f t="shared" ref="ET69:ET85" si="197">IF(CO69="","",CO69*TAN(EP69))</x:f>
        <x:v/>
      </x:c>
      <x:c r="EU69" s="873">
        <x:f t="shared" si="172"/>
        <x:v>0</x:v>
      </x:c>
      <x:c r="EV69" s="876" t="e">
        <x:f t="shared" si="173"/>
        <x:v>#VALUE!</x:v>
      </x:c>
      <x:c r="EW69" s="876" t="e">
        <x:f t="shared" si="174"/>
        <x:v>#VALUE!</x:v>
      </x:c>
      <x:c r="EX69" s="942" t="str">
        <x:f t="shared" si="175"/>
        <x:v/>
      </x:c>
      <x:c r="EY69" s="879">
        <x:f t="shared" ref="EY69:EY85" si="198">TRUNC(IF(FA69&lt;1.03,25.667,IF(FA69&lt;1.2,29.667,IF(FA69&lt;1.79,33.583,IF(FA69&lt;2.3,37.75,IF(FA69&lt;3.76,42,IF(FA69&lt;4.76,50.167,IF(FA69&lt;8.45,58.167,"ERR"))))))))</x:f>
        <x:v>25</x:v>
      </x:c>
      <x:c r="EZ69" s="959">
        <x:f t="shared" si="176"/>
        <x:v>0</x:v>
      </x:c>
      <x:c r="FA69" s="960">
        <x:f t="shared" si="177"/>
        <x:v>0</x:v>
      </x:c>
      <x:c r="FB69" s="880" t="str">
        <x:f t="shared" si="178"/>
        <x:v/>
      </x:c>
      <x:c r="FC69" s="881" t="str">
        <x:f t="shared" si="179"/>
        <x:v/>
      </x:c>
      <x:c r="FD69" s="512">
        <x:f t="shared" si="180"/>
        <x:v>0</x:v>
      </x:c>
      <x:c r="FE69" s="513">
        <x:f t="shared" si="181"/>
        <x:v>0</x:v>
      </x:c>
      <x:c r="FF69" s="754" t="b">
        <x:f t="shared" si="106"/>
        <x:v>0</x:v>
      </x:c>
      <x:c r="FG69" s="754" t="b">
        <x:f t="shared" si="107"/>
        <x:v>0</x:v>
      </x:c>
      <x:c r="FH69" s="754" t="b">
        <x:f t="shared" si="108"/>
        <x:v>0</x:v>
      </x:c>
      <x:c r="FI69" s="917" t="b">
        <x:f t="shared" si="109"/>
        <x:v>0</x:v>
      </x:c>
      <x:c r="FJ69" s="920" t="str">
        <x:f t="shared" si="119"/>
        <x:v/>
      </x:c>
      <x:c r="FK69" s="919" t="str">
        <x:f t="shared" si="120"/>
        <x:v/>
      </x:c>
      <x:c r="FL69" s="320" t="e">
        <x:f t="shared" si="121"/>
        <x:v>#N/A</x:v>
      </x:c>
      <x:c r="FM69" s="312" t="str">
        <x:f t="shared" si="110"/>
        <x:v/>
      </x:c>
      <x:c r="FN69" s="272" t="str">
        <x:f t="shared" ca="1" si="122"/>
        <x:v/>
      </x:c>
      <x:c r="FO69" s="273" t="str">
        <x:f t="shared" ca="1" si="123"/>
        <x:v/>
      </x:c>
      <x:c r="FP69" s="274" t="str">
        <x:f t="shared" ca="1" si="124"/>
        <x:v/>
      </x:c>
      <x:c r="FQ69" s="274" t="str">
        <x:f t="shared" ca="1" si="125"/>
        <x:v/>
      </x:c>
      <x:c r="FR69" s="321">
        <x:f t="shared" ca="1" si="126"/>
        <x:v>0</x:v>
      </x:c>
      <x:c r="FS69" s="322">
        <x:f t="shared" ca="1" si="127"/>
        <x:v>0</x:v>
      </x:c>
      <x:c r="FT69" s="272" t="str">
        <x:f t="shared" ca="1" si="132"/>
        <x:v/>
      </x:c>
      <x:c r="FU69" s="275" t="str">
        <x:f t="shared" ca="1" si="133"/>
        <x:v/>
      </x:c>
      <x:c r="FV69" s="323" t="str">
        <x:f t="shared" ca="1" si="134"/>
        <x:v/>
      </x:c>
      <x:c r="FW69" s="276" t="str">
        <x:f t="shared" ca="1" si="128"/>
        <x:v/>
      </x:c>
      <x:c r="FX69" s="276" t="str">
        <x:f t="shared" ca="1" si="129"/>
        <x:v/>
      </x:c>
      <x:c r="FY69" s="276" t="str">
        <x:f t="shared" ca="1" si="135"/>
        <x:v/>
      </x:c>
      <x:c r="FZ69" s="276" t="str">
        <x:f t="shared" ca="1" si="130"/>
        <x:v/>
      </x:c>
      <x:c r="GA69" s="276" t="str">
        <x:f t="shared" ca="1" si="136"/>
        <x:v/>
      </x:c>
      <x:c r="GB69" s="277" t="str">
        <x:f ca="1">IF(FY69="","",2+SUM(FO69:OFFSET(FO69,(FU69-1)*-1,0)))</x:f>
        <x:v/>
      </x:c>
      <x:c r="GC69" s="316" t="e">
        <x:f t="shared" si="131"/>
        <x:v>#N/A</x:v>
      </x:c>
      <x:c r="GD69" s="324" t="str">
        <x:f t="shared" si="111"/>
        <x:v/>
      </x:c>
      <x:c r="GE69" s="325" t="str">
        <x:f t="shared" si="112"/>
        <x:v/>
      </x:c>
      <x:c r="GF69" s="278" t="str">
        <x:f t="shared" si="113"/>
        <x:v/>
      </x:c>
      <x:c r="GG69" s="279" t="str">
        <x:f t="shared" si="114"/>
        <x:v/>
      </x:c>
      <x:c r="GH69" s="279" t="str">
        <x:f t="shared" si="115"/>
        <x:v/>
      </x:c>
      <x:c r="GI69" s="280" t="str">
        <x:f t="shared" si="116"/>
        <x:v/>
      </x:c>
      <x:c r="GJ69" s="326">
        <x:f t="shared" ca="1" si="117"/>
        <x:v>0</x:v>
      </x:c>
      <x:c r="GK69" s="913" t="str">
        <x:f t="shared" ca="1" si="118"/>
        <x:v/>
      </x:c>
    </x:row>
    <x:row r="70" spans="78:196" ht="12.6" hidden="1" customHeight="1" x14ac:dyDescent="0.2">
      <x:c r="BZ70" s="293"/>
      <x:c r="CA70" s="293"/>
      <x:c r="CB70" s="365" t="str">
        <x:f t="shared" si="137"/>
        <x:v/>
      </x:c>
      <x:c r="CC70" s="1304" t="str">
        <x:f>IF(CG30="","",VLOOKUP(CG30,SectInfo!$B:$N,12,FALSE))</x:f>
        <x:v/>
      </x:c>
      <x:c r="CD70" s="1305" t="str">
        <x:f>IF(ISBLANK(CN30),IF(CG30="","",VLOOKUP(CG30,SectInfo!$B:$N,13,FALSE)),CN30)</x:f>
        <x:v/>
      </x:c>
      <x:c r="CE70" s="1305" t="str">
        <x:f>IF(CG30="","",IF(VLOOKUP(CG30,SectInfo!$B:$N,5,FALSE)="","R",UPPER(VLOOKUP(CG30,SectInfo!$B:$N,5,FALSE))))</x:f>
        <x:v/>
      </x:c>
      <x:c r="CF70" s="1305" t="str">
        <x:f>IF(ISBLANK(CP30),IF(CG30="","",VLOOKUP(CG30,SectInfo!$B:$N,6,FALSE)),CP30)</x:f>
        <x:v/>
      </x:c>
      <x:c r="CG70" s="1305" t="str">
        <x:f>IF(CG30="","",IF(VLOOKUP(CG30,SectInfo!$B:$N,10,FALSE)="","",(VLOOKUP(CG30,SectInfo!$B:$N,10,FALSE)*-1)))</x:f>
        <x:v/>
      </x:c>
      <x:c r="CH70" s="1305" t="str">
        <x:f>IF(CG30="","",IF(VLOOKUP(CG30,SectInfo!$B:$N,7,FALSE)="","",(VLOOKUP(CG30,SectInfo!$B:$N,7,FALSE)*-1)))</x:f>
        <x:v/>
      </x:c>
      <x:c r="CI70" s="1305" t="str">
        <x:f>IF(CG30="","",IF(VLOOKUP(CG30,SectInfo!$B:$N,8,FALSE)="",$FC$4,(VLOOKUP(CG30,SectInfo!$B:$N,8,FALSE))))</x:f>
        <x:v/>
      </x:c>
      <x:c r="CJ70" s="1305" t="str">
        <x:f>IF(CG30="","",VLOOKUP(CG30,SectInfo!$B:$N,9,FALSE))</x:f>
        <x:v/>
      </x:c>
      <x:c r="CK70" s="1306">
        <x:f t="shared" si="138"/>
        <x:v>0</x:v>
      </x:c>
      <x:c r="CL70" s="1304" t="str">
        <x:f>IF(CQ30="","",VLOOKUP(CQ30,SectInfo!$B:$N,12,FALSE))</x:f>
        <x:v/>
      </x:c>
      <x:c r="CM70" s="1305" t="str">
        <x:f>IF(ISBLANK(CX30),IF(CQ30="","",VLOOKUP(CQ30,SectInfo!$B:$N,13,FALSE)),CX30)</x:f>
        <x:v/>
      </x:c>
      <x:c r="CN70" s="1305" t="str">
        <x:f>IF(CQ30="","",IF(VLOOKUP(CQ30,SectInfo!$B:$N,5,FALSE)="","R",UPPER(VLOOKUP(CQ30,SectInfo!$B:$N,5,FALSE))))</x:f>
        <x:v/>
      </x:c>
      <x:c r="CO70" s="1305" t="str">
        <x:f>IF(ISBLANK(CZ30),IF(CQ30="","",VLOOKUP(CQ30,SectInfo!$B:$N,6,FALSE)),CZ30)</x:f>
        <x:v/>
      </x:c>
      <x:c r="CP70" s="1305" t="str">
        <x:f>IF(CQ30="","",IF(VLOOKUP(CQ30,SectInfo!$B:$N,10,FALSE)="","",(VLOOKUP(CQ30,SectInfo!$B:$N,10,FALSE)*-1)))</x:f>
        <x:v/>
      </x:c>
      <x:c r="CQ70" s="367" t="str">
        <x:f>IF(CQ30="","",IF(VLOOKUP(CQ30,SectInfo!$B:$N,7,FALSE)="","",(VLOOKUP(CQ30,SectInfo!$B:$N,7,FALSE)*-1)))</x:f>
        <x:v/>
      </x:c>
      <x:c r="CR70" s="367" t="str">
        <x:f>IF(CQ30="","",IF(VLOOKUP(CQ30,SectInfo!$B:$N,8,FALSE)="",$FC$4,(VLOOKUP(CQ30,SectInfo!$B:$N,8,FALSE))))</x:f>
        <x:v/>
      </x:c>
      <x:c r="CS70" s="367" t="str">
        <x:f>IF(CQ30="","",VLOOKUP(CQ30,SectInfo!$B:$N,9,FALSE))</x:f>
        <x:v/>
      </x:c>
      <x:c r="CT70" s="368">
        <x:f t="shared" si="139"/>
        <x:v>0</x:v>
      </x:c>
      <x:c r="CU70" s="369">
        <x:f t="shared" si="140"/>
        <x:v>0</x:v>
      </x:c>
      <x:c r="CV70" s="274" t="str">
        <x:f t="shared" si="141"/>
        <x:v/>
      </x:c>
      <x:c r="CW70" s="274" t="str">
        <x:f t="shared" si="142"/>
        <x:v/>
      </x:c>
      <x:c r="CX70" s="873" t="str">
        <x:f t="shared" si="143"/>
        <x:v/>
      </x:c>
      <x:c r="CY70" s="874">
        <x:f t="shared" si="144"/>
        <x:v>0</x:v>
      </x:c>
      <x:c r="CZ70" s="874">
        <x:f t="shared" si="145"/>
        <x:v>0</x:v>
      </x:c>
      <x:c r="DA70" s="874" t="str">
        <x:f t="shared" si="146"/>
        <x:v/>
      </x:c>
      <x:c r="DB70" s="1310" t="str">
        <x:f t="shared" si="182"/>
        <x:v/>
      </x:c>
      <x:c r="DC70" s="1310" t="str">
        <x:f t="shared" si="147"/>
        <x:v/>
      </x:c>
      <x:c r="DD70" s="1311">
        <x:f t="shared" si="183"/>
        <x:v>0</x:v>
      </x:c>
      <x:c r="DE70" s="1310">
        <x:f t="shared" si="148"/>
        <x:v>0</x:v>
      </x:c>
      <x:c r="DF70" s="1312">
        <x:f t="shared" si="149"/>
        <x:v>0</x:v>
      </x:c>
      <x:c r="DG70" s="1312" t="str">
        <x:f t="shared" si="150"/>
        <x:v/>
      </x:c>
      <x:c r="DH70" s="1310" t="str">
        <x:f t="shared" si="184"/>
        <x:v/>
      </x:c>
      <x:c r="DI70" s="1310" t="str">
        <x:f t="shared" si="151"/>
        <x:v/>
      </x:c>
      <x:c r="DJ70" s="1311">
        <x:f t="shared" si="185"/>
        <x:v>0</x:v>
      </x:c>
      <x:c r="DK70" s="1310" t="str">
        <x:f t="shared" si="186"/>
        <x:v/>
      </x:c>
      <x:c r="DL70" s="1310" t="str">
        <x:f t="shared" si="187"/>
        <x:v/>
      </x:c>
      <x:c r="DM70" s="1310" t="str">
        <x:f t="shared" si="152"/>
        <x:v/>
      </x:c>
      <x:c r="DN70" s="1310" t="str">
        <x:f t="shared" si="153"/>
        <x:v/>
      </x:c>
      <x:c r="DO70" s="889" t="str">
        <x:f t="shared" si="154"/>
        <x:v>ERR</x:v>
      </x:c>
      <x:c r="DP70" s="889" t="str">
        <x:f t="shared" si="155"/>
        <x:v>ERR</x:v>
      </x:c>
      <x:c r="DQ70" s="1310" t="str">
        <x:f t="shared" si="188"/>
        <x:v/>
      </x:c>
      <x:c r="DR70" s="1310" t="str">
        <x:f t="shared" si="188"/>
        <x:v/>
      </x:c>
      <x:c r="DS70" s="1310" t="str">
        <x:f t="shared" si="189"/>
        <x:v/>
      </x:c>
      <x:c r="DT70" s="1310" t="str">
        <x:f t="shared" si="156"/>
        <x:v/>
      </x:c>
      <x:c r="DU70" s="1310" t="str">
        <x:f t="shared" si="157"/>
        <x:v/>
      </x:c>
      <x:c r="DV70" s="889" t="str">
        <x:f t="shared" si="158"/>
        <x:v>ERR</x:v>
      </x:c>
      <x:c r="DW70" s="889" t="str">
        <x:f t="shared" si="159"/>
        <x:v>ERR</x:v>
      </x:c>
      <x:c r="DX70" s="873" t="str">
        <x:f t="shared" si="190"/>
        <x:v/>
      </x:c>
      <x:c r="DY70" s="873" t="str">
        <x:f t="shared" si="190"/>
        <x:v/>
      </x:c>
      <x:c r="DZ70" s="873" t="str">
        <x:f>IF(CG70="","",IF((CD70-CG70)/COS(CU70)-FB70&lt;=-0.0625,CEILING((CD70-CG70)/COS(CU70)-FB70+0.0625,-0.125),IF((CD70-CG70)/COS(CU70)-FB70&gt;=0.0625,CEILING((CD70-CG70)/COS(CU70)-FB70-0.0625,0.125),0)))</x:f>
        <x:v/>
      </x:c>
      <x:c r="EA70" s="873" t="str">
        <x:f>IF(CP70="","",IF((CM70-CP70)/COS(CU70)-FC70&lt;=-0.0625,CEILING((CM70-CP70)/COS(CU70)-FC70+0.0625,-0.125),IF((CM70-CP70)/COS(CU70)-FC70&gt;=0.0625,CEILING((CM70-CP70)/COS(CU70)-FC70-0.0625,0.125),0)))</x:f>
        <x:v/>
      </x:c>
      <x:c r="EB70" s="876" t="str">
        <x:f t="shared" si="160"/>
        <x:v/>
      </x:c>
      <x:c r="EC70" s="877" t="str">
        <x:f t="shared" si="191"/>
        <x:v/>
      </x:c>
      <x:c r="ED70" s="876" t="str">
        <x:f t="shared" si="161"/>
        <x:v/>
      </x:c>
      <x:c r="EE70" s="876" t="str">
        <x:f t="shared" si="162"/>
        <x:v/>
      </x:c>
      <x:c r="EF70" s="876" t="str">
        <x:f t="shared" si="163"/>
        <x:v/>
      </x:c>
      <x:c r="EG70" s="876" t="str">
        <x:f t="shared" si="164"/>
        <x:v/>
      </x:c>
      <x:c r="EH70" s="876" t="str">
        <x:f t="shared" si="165"/>
        <x:v/>
      </x:c>
      <x:c r="EI70" s="876" t="str">
        <x:f t="shared" si="166"/>
        <x:v/>
      </x:c>
      <x:c r="EJ70" s="876" t="str">
        <x:f t="shared" si="167"/>
        <x:v/>
      </x:c>
      <x:c r="EK70" s="874">
        <x:f>IF(CK70="",0,ATAN(CK70/12))</x:f>
        <x:v>0</x:v>
      </x:c>
      <x:c r="EL70" s="874">
        <x:f t="shared" si="193"/>
        <x:v>0</x:v>
      </x:c>
      <x:c r="EM70" s="874">
        <x:f t="shared" si="168"/>
        <x:v>0</x:v>
      </x:c>
      <x:c r="EN70" s="874" t="str">
        <x:f t="shared" si="169"/>
        <x:v/>
      </x:c>
      <x:c r="EO70" s="873" t="str">
        <x:f t="shared" si="194"/>
        <x:v/>
      </x:c>
      <x:c r="EP70" s="874">
        <x:f t="shared" si="195"/>
        <x:v>0</x:v>
      </x:c>
      <x:c r="EQ70" s="874">
        <x:f t="shared" si="196"/>
        <x:v>0</x:v>
      </x:c>
      <x:c r="ER70" s="874">
        <x:f t="shared" si="170"/>
        <x:v>0</x:v>
      </x:c>
      <x:c r="ES70" s="874" t="str">
        <x:f t="shared" si="171"/>
        <x:v/>
      </x:c>
      <x:c r="ET70" s="873" t="str">
        <x:f t="shared" si="197"/>
        <x:v/>
      </x:c>
      <x:c r="EU70" s="873">
        <x:f t="shared" si="172"/>
        <x:v>0</x:v>
      </x:c>
      <x:c r="EV70" s="876" t="e">
        <x:f t="shared" si="173"/>
        <x:v>#VALUE!</x:v>
      </x:c>
      <x:c r="EW70" s="876" t="e">
        <x:f t="shared" si="174"/>
        <x:v>#VALUE!</x:v>
      </x:c>
      <x:c r="EX70" s="942" t="str">
        <x:f t="shared" si="175"/>
        <x:v/>
      </x:c>
      <x:c r="EY70" s="879">
        <x:f t="shared" si="198"/>
        <x:v>25</x:v>
      </x:c>
      <x:c r="EZ70" s="959">
        <x:f t="shared" si="176"/>
        <x:v>0</x:v>
      </x:c>
      <x:c r="FA70" s="960">
        <x:f t="shared" si="177"/>
        <x:v>0</x:v>
      </x:c>
      <x:c r="FB70" s="880" t="str">
        <x:f t="shared" si="178"/>
        <x:v/>
      </x:c>
      <x:c r="FC70" s="881" t="str">
        <x:f t="shared" si="179"/>
        <x:v/>
      </x:c>
      <x:c r="FD70" s="512">
        <x:f t="shared" si="180"/>
        <x:v>0</x:v>
      </x:c>
      <x:c r="FE70" s="513">
        <x:f t="shared" si="181"/>
        <x:v>0</x:v>
      </x:c>
      <x:c r="FF70" s="755" t="b">
        <x:f t="shared" si="106"/>
        <x:v>0</x:v>
      </x:c>
      <x:c r="FG70" s="755" t="b">
        <x:f t="shared" si="107"/>
        <x:v>0</x:v>
      </x:c>
      <x:c r="FH70" s="755" t="b">
        <x:f t="shared" si="108"/>
        <x:v>0</x:v>
      </x:c>
      <x:c r="FI70" s="918" t="b">
        <x:f t="shared" si="109"/>
        <x:v>0</x:v>
      </x:c>
      <x:c r="FJ70" s="920" t="str">
        <x:f t="shared" si="119"/>
        <x:v/>
      </x:c>
      <x:c r="FK70" s="919" t="str">
        <x:f t="shared" si="120"/>
        <x:v/>
      </x:c>
      <x:c r="FL70" s="320" t="e">
        <x:f t="shared" si="121"/>
        <x:v>#N/A</x:v>
      </x:c>
      <x:c r="FM70" s="312" t="str">
        <x:f t="shared" si="110"/>
        <x:v/>
      </x:c>
      <x:c r="FN70" s="272" t="str">
        <x:f t="shared" ca="1" si="122"/>
        <x:v/>
      </x:c>
      <x:c r="FO70" s="273" t="str">
        <x:f t="shared" ca="1" si="123"/>
        <x:v/>
      </x:c>
      <x:c r="FP70" s="274" t="str">
        <x:f t="shared" ca="1" si="124"/>
        <x:v/>
      </x:c>
      <x:c r="FQ70" s="274" t="str">
        <x:f t="shared" ca="1" si="125"/>
        <x:v/>
      </x:c>
      <x:c r="FR70" s="321">
        <x:f t="shared" ca="1" si="126"/>
        <x:v>0</x:v>
      </x:c>
      <x:c r="FS70" s="322">
        <x:f t="shared" ca="1" si="127"/>
        <x:v>0</x:v>
      </x:c>
      <x:c r="FT70" s="272" t="str">
        <x:f t="shared" ca="1" si="132"/>
        <x:v/>
      </x:c>
      <x:c r="FU70" s="275" t="str">
        <x:f t="shared" ca="1" si="133"/>
        <x:v/>
      </x:c>
      <x:c r="FV70" s="323" t="str">
        <x:f t="shared" ca="1" si="134"/>
        <x:v/>
      </x:c>
      <x:c r="FW70" s="276" t="str">
        <x:f t="shared" ca="1" si="128"/>
        <x:v/>
      </x:c>
      <x:c r="FX70" s="276" t="str">
        <x:f t="shared" ca="1" si="129"/>
        <x:v/>
      </x:c>
      <x:c r="FY70" s="276" t="str">
        <x:f t="shared" ca="1" si="135"/>
        <x:v/>
      </x:c>
      <x:c r="FZ70" s="276" t="str">
        <x:f t="shared" ca="1" si="130"/>
        <x:v/>
      </x:c>
      <x:c r="GA70" s="276" t="str">
        <x:f t="shared" ca="1" si="136"/>
        <x:v/>
      </x:c>
      <x:c r="GB70" s="277" t="str">
        <x:f ca="1">IF(FY70="","",2+SUM(FO70:OFFSET(FO70,(FU70-1)*-1,0)))</x:f>
        <x:v/>
      </x:c>
      <x:c r="GC70" s="316" t="e">
        <x:f t="shared" si="131"/>
        <x:v>#N/A</x:v>
      </x:c>
      <x:c r="GD70" s="324" t="str">
        <x:f>IF(ISBLANK(DT30),"",MAX(0,DT30+VLOOKUP(FK70,$CB$54:$CD$85,3,FALSE)))</x:f>
        <x:v/>
      </x:c>
      <x:c r="GE70" s="325" t="str">
        <x:f>IF(ISBLANK(DU30),"",MAX(0,DU30+VLOOKUP(FK70,$CB$54:$CM$85,12,FALSE)))</x:f>
        <x:v/>
      </x:c>
      <x:c r="GF70" s="278" t="str">
        <x:f t="shared" si="113"/>
        <x:v/>
      </x:c>
      <x:c r="GG70" s="279" t="str">
        <x:f t="shared" si="114"/>
        <x:v/>
      </x:c>
      <x:c r="GH70" s="279" t="str">
        <x:f t="shared" si="115"/>
        <x:v/>
      </x:c>
      <x:c r="GI70" s="280" t="str">
        <x:f t="shared" si="116"/>
        <x:v/>
      </x:c>
      <x:c r="GJ70" s="326">
        <x:f t="shared" ca="1" si="117"/>
        <x:v>0</x:v>
      </x:c>
      <x:c r="GK70" s="913" t="str">
        <x:f t="shared" ca="1" si="118"/>
        <x:v/>
      </x:c>
      <x:c r="GN70" s="1403" t="s">
        <x:v>1257</x:v>
      </x:c>
    </x:row>
    <x:row r="71" spans="78:196" ht="12.6" hidden="1" customHeight="1" x14ac:dyDescent="0.2">
      <x:c r="BZ71" s="293"/>
      <x:c r="CA71" s="293"/>
      <x:c r="CB71" s="365" t="str">
        <x:f t="shared" si="137"/>
        <x:v/>
      </x:c>
      <x:c r="CC71" s="1304" t="str">
        <x:f>IF(CG31="","",VLOOKUP(CG31,SectInfo!$B:$N,12,FALSE))</x:f>
        <x:v/>
      </x:c>
      <x:c r="CD71" s="1305" t="str">
        <x:f>IF(ISBLANK(CN31),IF(CG31="","",VLOOKUP(CG31,SectInfo!$B:$N,13,FALSE)),CN31)</x:f>
        <x:v/>
      </x:c>
      <x:c r="CE71" s="1305" t="str">
        <x:f>IF(CG31="","",IF(VLOOKUP(CG31,SectInfo!$B:$N,5,FALSE)="","R",UPPER(VLOOKUP(CG31,SectInfo!$B:$N,5,FALSE))))</x:f>
        <x:v/>
      </x:c>
      <x:c r="CF71" s="1305" t="str">
        <x:f>IF(ISBLANK(CP31),IF(CG31="","",VLOOKUP(CG31,SectInfo!$B:$N,6,FALSE)),CP31)</x:f>
        <x:v/>
      </x:c>
      <x:c r="CG71" s="1305" t="str">
        <x:f>IF(CG31="","",IF(VLOOKUP(CG31,SectInfo!$B:$N,10,FALSE)="","",(VLOOKUP(CG31,SectInfo!$B:$N,10,FALSE)*-1)))</x:f>
        <x:v/>
      </x:c>
      <x:c r="CH71" s="1305" t="str">
        <x:f>IF(CG31="","",IF(VLOOKUP(CG31,SectInfo!$B:$N,7,FALSE)="","",(VLOOKUP(CG31,SectInfo!$B:$N,7,FALSE)*-1)))</x:f>
        <x:v/>
      </x:c>
      <x:c r="CI71" s="1305" t="str">
        <x:f>IF(CG31="","",IF(VLOOKUP(CG31,SectInfo!$B:$N,8,FALSE)="",$FC$4,(VLOOKUP(CG31,SectInfo!$B:$N,8,FALSE))))</x:f>
        <x:v/>
      </x:c>
      <x:c r="CJ71" s="1305" t="str">
        <x:f>IF(CG31="","",VLOOKUP(CG31,SectInfo!$B:$N,9,FALSE))</x:f>
        <x:v/>
      </x:c>
      <x:c r="CK71" s="1306">
        <x:f t="shared" si="138"/>
        <x:v>0</x:v>
      </x:c>
      <x:c r="CL71" s="1304" t="str">
        <x:f>IF(CQ31="","",VLOOKUP(CQ31,SectInfo!$B:$N,12,FALSE))</x:f>
        <x:v/>
      </x:c>
      <x:c r="CM71" s="1305" t="str">
        <x:f>IF(ISBLANK(CX31),IF(CQ31="","",VLOOKUP(CQ31,SectInfo!$B:$N,13,FALSE)),CX31)</x:f>
        <x:v/>
      </x:c>
      <x:c r="CN71" s="1305" t="str">
        <x:f>IF(CQ31="","",IF(VLOOKUP(CQ31,SectInfo!$B:$N,5,FALSE)="","R",UPPER(VLOOKUP(CQ31,SectInfo!$B:$N,5,FALSE))))</x:f>
        <x:v/>
      </x:c>
      <x:c r="CO71" s="1305" t="str">
        <x:f>IF(ISBLANK(CZ31),IF(CQ31="","",VLOOKUP(CQ31,SectInfo!$B:$N,6,FALSE)),CZ31)</x:f>
        <x:v/>
      </x:c>
      <x:c r="CP71" s="1305" t="str">
        <x:f>IF(CQ31="","",IF(VLOOKUP(CQ31,SectInfo!$B:$N,10,FALSE)="","",(VLOOKUP(CQ31,SectInfo!$B:$N,10,FALSE)*-1)))</x:f>
        <x:v/>
      </x:c>
      <x:c r="CQ71" s="367" t="str">
        <x:f>IF(CQ31="","",IF(VLOOKUP(CQ31,SectInfo!$B:$N,7,FALSE)="","",(VLOOKUP(CQ31,SectInfo!$B:$N,7,FALSE)*-1)))</x:f>
        <x:v/>
      </x:c>
      <x:c r="CR71" s="367" t="str">
        <x:f>IF(CQ31="","",IF(VLOOKUP(CQ31,SectInfo!$B:$N,8,FALSE)="",$FC$4,(VLOOKUP(CQ31,SectInfo!$B:$N,8,FALSE))))</x:f>
        <x:v/>
      </x:c>
      <x:c r="CS71" s="367" t="str">
        <x:f>IF(CQ31="","",VLOOKUP(CQ31,SectInfo!$B:$N,9,FALSE))</x:f>
        <x:v/>
      </x:c>
      <x:c r="CT71" s="368">
        <x:f t="shared" si="139"/>
        <x:v>0</x:v>
      </x:c>
      <x:c r="CU71" s="369">
        <x:f t="shared" si="140"/>
        <x:v>0</x:v>
      </x:c>
      <x:c r="CV71" s="274" t="str">
        <x:f t="shared" si="141"/>
        <x:v/>
      </x:c>
      <x:c r="CW71" s="274" t="str">
        <x:f t="shared" si="142"/>
        <x:v/>
      </x:c>
      <x:c r="CX71" s="873" t="str">
        <x:f t="shared" si="143"/>
        <x:v/>
      </x:c>
      <x:c r="CY71" s="874">
        <x:f t="shared" si="144"/>
        <x:v>0</x:v>
      </x:c>
      <x:c r="CZ71" s="874">
        <x:f t="shared" si="145"/>
        <x:v>0</x:v>
      </x:c>
      <x:c r="DA71" s="874" t="str">
        <x:f t="shared" si="146"/>
        <x:v/>
      </x:c>
      <x:c r="DB71" s="1310" t="str">
        <x:f t="shared" si="182"/>
        <x:v/>
      </x:c>
      <x:c r="DC71" s="1310" t="str">
        <x:f t="shared" si="147"/>
        <x:v/>
      </x:c>
      <x:c r="DD71" s="1311">
        <x:f t="shared" si="183"/>
        <x:v>0</x:v>
      </x:c>
      <x:c r="DE71" s="1310">
        <x:f t="shared" si="148"/>
        <x:v>0</x:v>
      </x:c>
      <x:c r="DF71" s="1312">
        <x:f t="shared" si="149"/>
        <x:v>0</x:v>
      </x:c>
      <x:c r="DG71" s="1312" t="str">
        <x:f t="shared" si="150"/>
        <x:v/>
      </x:c>
      <x:c r="DH71" s="1310" t="str">
        <x:f t="shared" si="184"/>
        <x:v/>
      </x:c>
      <x:c r="DI71" s="1310" t="str">
        <x:f t="shared" si="151"/>
        <x:v/>
      </x:c>
      <x:c r="DJ71" s="1311">
        <x:f t="shared" si="185"/>
        <x:v>0</x:v>
      </x:c>
      <x:c r="DK71" s="1310" t="str">
        <x:f t="shared" si="186"/>
        <x:v/>
      </x:c>
      <x:c r="DL71" s="1310" t="str">
        <x:f t="shared" si="187"/>
        <x:v/>
      </x:c>
      <x:c r="DM71" s="1310" t="str">
        <x:f t="shared" si="152"/>
        <x:v/>
      </x:c>
      <x:c r="DN71" s="1310" t="str">
        <x:f t="shared" si="153"/>
        <x:v/>
      </x:c>
      <x:c r="DO71" s="889" t="str">
        <x:f t="shared" si="154"/>
        <x:v>ERR</x:v>
      </x:c>
      <x:c r="DP71" s="889" t="str">
        <x:f t="shared" si="155"/>
        <x:v>ERR</x:v>
      </x:c>
      <x:c r="DQ71" s="1310" t="str">
        <x:f t="shared" si="188"/>
        <x:v/>
      </x:c>
      <x:c r="DR71" s="1310" t="str">
        <x:f t="shared" si="188"/>
        <x:v/>
      </x:c>
      <x:c r="DS71" s="1310" t="str">
        <x:f t="shared" si="189"/>
        <x:v/>
      </x:c>
      <x:c r="DT71" s="1310" t="str">
        <x:f t="shared" si="156"/>
        <x:v/>
      </x:c>
      <x:c r="DU71" s="1310" t="str">
        <x:f t="shared" si="157"/>
        <x:v/>
      </x:c>
      <x:c r="DV71" s="889" t="str">
        <x:f t="shared" si="158"/>
        <x:v>ERR</x:v>
      </x:c>
      <x:c r="DW71" s="889" t="str">
        <x:f t="shared" si="159"/>
        <x:v>ERR</x:v>
      </x:c>
      <x:c r="DX71" s="873" t="str">
        <x:f t="shared" si="190"/>
        <x:v/>
      </x:c>
      <x:c r="DY71" s="873" t="str">
        <x:f t="shared" si="190"/>
        <x:v/>
      </x:c>
      <x:c r="DZ71" s="873" t="str">
        <x:f>IF(CG71="","",IF((CD71-CG71)/COS(CU71)-FB71&lt;=-0.0625,CEILING((CD71-CG71)/COS(CU71)-FB71+0.0625,-0.125),IF((CD71-CG71)/COS(CU71)-FB71&gt;=0.0625,CEILING((CD71-CG71)/COS(CU71)-FB71-0.0625,0.125),0)))</x:f>
        <x:v/>
      </x:c>
      <x:c r="EA71" s="873" t="str">
        <x:f>IF(CP71="","",IF((CM71-CP71)/COS(CU71)-FC71&lt;=-0.0625,CEILING((CM71-CP71)/COS(CU71)-FC71+0.0625,-0.125),IF((CM71-CP71)/COS(CU71)-FC71&gt;=0.0625,CEILING((CM71-CP71)/COS(CU71)-FC71-0.0625,0.125),0)))</x:f>
        <x:v/>
      </x:c>
      <x:c r="EB71" s="876" t="str">
        <x:f t="shared" si="160"/>
        <x:v/>
      </x:c>
      <x:c r="EC71" s="877" t="str">
        <x:f t="shared" si="191"/>
        <x:v/>
      </x:c>
      <x:c r="ED71" s="876" t="str">
        <x:f t="shared" si="161"/>
        <x:v/>
      </x:c>
      <x:c r="EE71" s="876" t="str">
        <x:f t="shared" si="162"/>
        <x:v/>
      </x:c>
      <x:c r="EF71" s="876" t="str">
        <x:f t="shared" si="163"/>
        <x:v/>
      </x:c>
      <x:c r="EG71" s="876" t="str">
        <x:f t="shared" si="164"/>
        <x:v/>
      </x:c>
      <x:c r="EH71" s="876" t="str">
        <x:f t="shared" si="165"/>
        <x:v/>
      </x:c>
      <x:c r="EI71" s="876" t="str">
        <x:f t="shared" si="166"/>
        <x:v/>
      </x:c>
      <x:c r="EJ71" s="876" t="str">
        <x:f t="shared" si="167"/>
        <x:v/>
      </x:c>
      <x:c r="EK71" s="874">
        <x:f t="shared" si="192"/>
        <x:v>0</x:v>
      </x:c>
      <x:c r="EL71" s="874">
        <x:f t="shared" si="193"/>
        <x:v>0</x:v>
      </x:c>
      <x:c r="EM71" s="874">
        <x:f t="shared" si="168"/>
        <x:v>0</x:v>
      </x:c>
      <x:c r="EN71" s="874" t="str">
        <x:f t="shared" si="169"/>
        <x:v/>
      </x:c>
      <x:c r="EO71" s="873" t="str">
        <x:f t="shared" si="194"/>
        <x:v/>
      </x:c>
      <x:c r="EP71" s="874">
        <x:f t="shared" si="195"/>
        <x:v>0</x:v>
      </x:c>
      <x:c r="EQ71" s="874">
        <x:f t="shared" si="196"/>
        <x:v>0</x:v>
      </x:c>
      <x:c r="ER71" s="874">
        <x:f t="shared" si="170"/>
        <x:v>0</x:v>
      </x:c>
      <x:c r="ES71" s="874" t="str">
        <x:f t="shared" si="171"/>
        <x:v/>
      </x:c>
      <x:c r="ET71" s="873" t="str">
        <x:f t="shared" si="197"/>
        <x:v/>
      </x:c>
      <x:c r="EU71" s="873">
        <x:f t="shared" si="172"/>
        <x:v>0</x:v>
      </x:c>
      <x:c r="EV71" s="876" t="e">
        <x:f t="shared" si="173"/>
        <x:v>#VALUE!</x:v>
      </x:c>
      <x:c r="EW71" s="876" t="e">
        <x:f t="shared" si="174"/>
        <x:v>#VALUE!</x:v>
      </x:c>
      <x:c r="EX71" s="942" t="str">
        <x:f t="shared" si="175"/>
        <x:v/>
      </x:c>
      <x:c r="EY71" s="879">
        <x:f t="shared" si="198"/>
        <x:v>25</x:v>
      </x:c>
      <x:c r="EZ71" s="959">
        <x:f t="shared" si="176"/>
        <x:v>0</x:v>
      </x:c>
      <x:c r="FA71" s="960">
        <x:f t="shared" si="177"/>
        <x:v>0</x:v>
      </x:c>
      <x:c r="FB71" s="880" t="str">
        <x:f t="shared" si="178"/>
        <x:v/>
      </x:c>
      <x:c r="FC71" s="881" t="str">
        <x:f t="shared" si="179"/>
        <x:v/>
      </x:c>
      <x:c r="FD71" s="512">
        <x:f t="shared" si="180"/>
        <x:v>0</x:v>
      </x:c>
      <x:c r="FE71" s="513">
        <x:f t="shared" si="181"/>
        <x:v>0</x:v>
      </x:c>
      <x:c r="FF71" s="755" t="b">
        <x:f t="shared" si="106"/>
        <x:v>0</x:v>
      </x:c>
      <x:c r="FG71" s="755" t="b">
        <x:f t="shared" si="107"/>
        <x:v>0</x:v>
      </x:c>
      <x:c r="FH71" s="755" t="b">
        <x:f t="shared" si="108"/>
        <x:v>0</x:v>
      </x:c>
      <x:c r="FI71" s="918" t="b">
        <x:f t="shared" si="109"/>
        <x:v>0</x:v>
      </x:c>
      <x:c r="FJ71" s="920" t="str">
        <x:f t="shared" si="119"/>
        <x:v/>
      </x:c>
      <x:c r="FK71" s="919" t="str">
        <x:f t="shared" si="120"/>
        <x:v/>
      </x:c>
      <x:c r="FL71" s="320" t="e">
        <x:f t="shared" si="121"/>
        <x:v>#N/A</x:v>
      </x:c>
      <x:c r="FM71" s="312" t="str">
        <x:f t="shared" si="110"/>
        <x:v/>
      </x:c>
      <x:c r="FN71" s="272" t="str">
        <x:f t="shared" ca="1" si="122"/>
        <x:v/>
      </x:c>
      <x:c r="FO71" s="273" t="str">
        <x:f t="shared" ca="1" si="123"/>
        <x:v/>
      </x:c>
      <x:c r="FP71" s="274" t="str">
        <x:f t="shared" ca="1" si="124"/>
        <x:v/>
      </x:c>
      <x:c r="FQ71" s="274" t="str">
        <x:f t="shared" ca="1" si="125"/>
        <x:v/>
      </x:c>
      <x:c r="FR71" s="321">
        <x:f t="shared" ca="1" si="126"/>
        <x:v>0</x:v>
      </x:c>
      <x:c r="FS71" s="322">
        <x:f t="shared" ca="1" si="127"/>
        <x:v>0</x:v>
      </x:c>
      <x:c r="FT71" s="272" t="str">
        <x:f t="shared" ca="1" si="132"/>
        <x:v/>
      </x:c>
      <x:c r="FU71" s="275" t="str">
        <x:f t="shared" ca="1" si="133"/>
        <x:v/>
      </x:c>
      <x:c r="FV71" s="323" t="str">
        <x:f t="shared" ca="1" si="134"/>
        <x:v/>
      </x:c>
      <x:c r="FW71" s="276" t="str">
        <x:f t="shared" ca="1" si="128"/>
        <x:v/>
      </x:c>
      <x:c r="FX71" s="276" t="str">
        <x:f t="shared" ca="1" si="129"/>
        <x:v/>
      </x:c>
      <x:c r="FY71" s="276" t="str">
        <x:f t="shared" ca="1" si="135"/>
        <x:v/>
      </x:c>
      <x:c r="FZ71" s="276" t="str">
        <x:f t="shared" ca="1" si="130"/>
        <x:v/>
      </x:c>
      <x:c r="GA71" s="276" t="str">
        <x:f t="shared" ca="1" si="136"/>
        <x:v/>
      </x:c>
      <x:c r="GB71" s="277" t="str">
        <x:f ca="1">IF(FY71="","",2+SUM(FO71:OFFSET(FO71,(FU71-1)*-1,0)))</x:f>
        <x:v/>
      </x:c>
      <x:c r="GC71" s="316" t="e">
        <x:f t="shared" si="131"/>
        <x:v>#N/A</x:v>
      </x:c>
      <x:c r="GD71" s="324" t="str">
        <x:f t="shared" si="111"/>
        <x:v/>
      </x:c>
      <x:c r="GE71" s="325" t="str">
        <x:f t="shared" si="112"/>
        <x:v/>
      </x:c>
      <x:c r="GF71" s="278" t="str">
        <x:f t="shared" si="113"/>
        <x:v/>
      </x:c>
      <x:c r="GG71" s="279" t="str">
        <x:f t="shared" si="114"/>
        <x:v/>
      </x:c>
      <x:c r="GH71" s="279" t="str">
        <x:f t="shared" si="115"/>
        <x:v/>
      </x:c>
      <x:c r="GI71" s="280" t="str">
        <x:f t="shared" si="116"/>
        <x:v/>
      </x:c>
      <x:c r="GJ71" s="326">
        <x:f t="shared" ca="1" si="117"/>
        <x:v>0</x:v>
      </x:c>
      <x:c r="GK71" s="913" t="str">
        <x:f t="shared" ca="1" si="118"/>
        <x:v/>
      </x:c>
    </x:row>
    <x:row r="72" spans="78:196" ht="12.6" hidden="1" customHeight="1" x14ac:dyDescent="0.2">
      <x:c r="BZ72" s="293"/>
      <x:c r="CA72" s="293"/>
      <x:c r="CB72" s="365" t="str">
        <x:f t="shared" si="137"/>
        <x:v/>
      </x:c>
      <x:c r="CC72" s="1304" t="str">
        <x:f>IF(CG32="","",VLOOKUP(CG32,SectInfo!$B:$N,12,FALSE))</x:f>
        <x:v/>
      </x:c>
      <x:c r="CD72" s="1305" t="str">
        <x:f>IF(ISBLANK(CN32),IF(CG32="","",VLOOKUP(CG32,SectInfo!$B:$N,13,FALSE)),CN32)</x:f>
        <x:v/>
      </x:c>
      <x:c r="CE72" s="1305" t="str">
        <x:f>IF(CG32="","",IF(VLOOKUP(CG32,SectInfo!$B:$N,5,FALSE)="","R",UPPER(VLOOKUP(CG32,SectInfo!$B:$N,5,FALSE))))</x:f>
        <x:v/>
      </x:c>
      <x:c r="CF72" s="1305" t="str">
        <x:f>IF(ISBLANK(CP32),IF(CG32="","",VLOOKUP(CG32,SectInfo!$B:$N,6,FALSE)),CP32)</x:f>
        <x:v/>
      </x:c>
      <x:c r="CG72" s="1305" t="str">
        <x:f>IF(CG32="","",IF(VLOOKUP(CG32,SectInfo!$B:$N,10,FALSE)="","",(VLOOKUP(CG32,SectInfo!$B:$N,10,FALSE)*-1)))</x:f>
        <x:v/>
      </x:c>
      <x:c r="CH72" s="1305" t="str">
        <x:f>IF(CG32="","",IF(VLOOKUP(CG32,SectInfo!$B:$N,7,FALSE)="","",(VLOOKUP(CG32,SectInfo!$B:$N,7,FALSE)*-1)))</x:f>
        <x:v/>
      </x:c>
      <x:c r="CI72" s="1305" t="str">
        <x:f>IF(CG32="","",IF(VLOOKUP(CG32,SectInfo!$B:$N,8,FALSE)="",$FC$4,(VLOOKUP(CG32,SectInfo!$B:$N,8,FALSE))))</x:f>
        <x:v/>
      </x:c>
      <x:c r="CJ72" s="1305" t="str">
        <x:f>IF(CG32="","",VLOOKUP(CG32,SectInfo!$B:$N,9,FALSE))</x:f>
        <x:v/>
      </x:c>
      <x:c r="CK72" s="1306">
        <x:f t="shared" si="138"/>
        <x:v>0</x:v>
      </x:c>
      <x:c r="CL72" s="1304" t="str">
        <x:f>IF(CQ32="","",VLOOKUP(CQ32,SectInfo!$B:$N,12,FALSE))</x:f>
        <x:v/>
      </x:c>
      <x:c r="CM72" s="1305" t="str">
        <x:f>IF(ISBLANK(CX32),IF(CQ32="","",VLOOKUP(CQ32,SectInfo!$B:$N,13,FALSE)),CX32)</x:f>
        <x:v/>
      </x:c>
      <x:c r="CN72" s="1305" t="str">
        <x:f>IF(CQ32="","",IF(VLOOKUP(CQ32,SectInfo!$B:$N,5,FALSE)="","R",UPPER(VLOOKUP(CQ32,SectInfo!$B:$N,5,FALSE))))</x:f>
        <x:v/>
      </x:c>
      <x:c r="CO72" s="1305" t="str">
        <x:f>IF(ISBLANK(CZ32),IF(CQ32="","",VLOOKUP(CQ32,SectInfo!$B:$N,6,FALSE)),CZ32)</x:f>
        <x:v/>
      </x:c>
      <x:c r="CP72" s="1305" t="str">
        <x:f>IF(CQ32="","",IF(VLOOKUP(CQ32,SectInfo!$B:$N,10,FALSE)="","",(VLOOKUP(CQ32,SectInfo!$B:$N,10,FALSE)*-1)))</x:f>
        <x:v/>
      </x:c>
      <x:c r="CQ72" s="367" t="str">
        <x:f>IF(CQ32="","",IF(VLOOKUP(CQ32,SectInfo!$B:$N,7,FALSE)="","",(VLOOKUP(CQ32,SectInfo!$B:$N,7,FALSE)*-1)))</x:f>
        <x:v/>
      </x:c>
      <x:c r="CR72" s="367" t="str">
        <x:f>IF(CQ32="","",IF(VLOOKUP(CQ32,SectInfo!$B:$N,8,FALSE)="",$FC$4,(VLOOKUP(CQ32,SectInfo!$B:$N,8,FALSE))))</x:f>
        <x:v/>
      </x:c>
      <x:c r="CS72" s="367" t="str">
        <x:f>IF(CQ32="","",VLOOKUP(CQ32,SectInfo!$B:$N,9,FALSE))</x:f>
        <x:v/>
      </x:c>
      <x:c r="CT72" s="368">
        <x:f t="shared" si="139"/>
        <x:v>0</x:v>
      </x:c>
      <x:c r="CU72" s="369">
        <x:f t="shared" si="140"/>
        <x:v>0</x:v>
      </x:c>
      <x:c r="CV72" s="274" t="str">
        <x:f t="shared" si="141"/>
        <x:v/>
      </x:c>
      <x:c r="CW72" s="274" t="str">
        <x:f t="shared" si="142"/>
        <x:v/>
      </x:c>
      <x:c r="CX72" s="873" t="str">
        <x:f t="shared" si="143"/>
        <x:v/>
      </x:c>
      <x:c r="CY72" s="874">
        <x:f t="shared" si="144"/>
        <x:v>0</x:v>
      </x:c>
      <x:c r="CZ72" s="874">
        <x:f t="shared" si="145"/>
        <x:v>0</x:v>
      </x:c>
      <x:c r="DA72" s="874" t="str">
        <x:f t="shared" si="146"/>
        <x:v/>
      </x:c>
      <x:c r="DB72" s="1310" t="str">
        <x:f t="shared" si="182"/>
        <x:v/>
      </x:c>
      <x:c r="DC72" s="1310" t="str">
        <x:f t="shared" si="147"/>
        <x:v/>
      </x:c>
      <x:c r="DD72" s="1311">
        <x:f t="shared" si="183"/>
        <x:v>0</x:v>
      </x:c>
      <x:c r="DE72" s="1310">
        <x:f t="shared" si="148"/>
        <x:v>0</x:v>
      </x:c>
      <x:c r="DF72" s="1312">
        <x:f t="shared" si="149"/>
        <x:v>0</x:v>
      </x:c>
      <x:c r="DG72" s="1312" t="str">
        <x:f t="shared" si="150"/>
        <x:v/>
      </x:c>
      <x:c r="DH72" s="1310" t="str">
        <x:f t="shared" si="184"/>
        <x:v/>
      </x:c>
      <x:c r="DI72" s="1310" t="str">
        <x:f t="shared" si="151"/>
        <x:v/>
      </x:c>
      <x:c r="DJ72" s="1311">
        <x:f t="shared" si="185"/>
        <x:v>0</x:v>
      </x:c>
      <x:c r="DK72" s="1310" t="str">
        <x:f t="shared" si="186"/>
        <x:v/>
      </x:c>
      <x:c r="DL72" s="1310" t="str">
        <x:f t="shared" si="187"/>
        <x:v/>
      </x:c>
      <x:c r="DM72" s="1310" t="str">
        <x:f t="shared" si="152"/>
        <x:v/>
      </x:c>
      <x:c r="DN72" s="1310" t="str">
        <x:f t="shared" si="153"/>
        <x:v/>
      </x:c>
      <x:c r="DO72" s="889" t="str">
        <x:f t="shared" si="154"/>
        <x:v>ERR</x:v>
      </x:c>
      <x:c r="DP72" s="889" t="str">
        <x:f t="shared" si="155"/>
        <x:v>ERR</x:v>
      </x:c>
      <x:c r="DQ72" s="1310" t="str">
        <x:f t="shared" si="188"/>
        <x:v/>
      </x:c>
      <x:c r="DR72" s="1310" t="str">
        <x:f t="shared" si="188"/>
        <x:v/>
      </x:c>
      <x:c r="DS72" s="1310" t="str">
        <x:f t="shared" si="189"/>
        <x:v/>
      </x:c>
      <x:c r="DT72" s="1310" t="str">
        <x:f t="shared" si="156"/>
        <x:v/>
      </x:c>
      <x:c r="DU72" s="1310" t="str">
        <x:f t="shared" si="157"/>
        <x:v/>
      </x:c>
      <x:c r="DV72" s="889" t="str">
        <x:f t="shared" si="158"/>
        <x:v>ERR</x:v>
      </x:c>
      <x:c r="DW72" s="889" t="str">
        <x:f t="shared" si="159"/>
        <x:v>ERR</x:v>
      </x:c>
      <x:c r="DX72" s="873" t="str">
        <x:f t="shared" si="190"/>
        <x:v/>
      </x:c>
      <x:c r="DY72" s="873" t="str">
        <x:f t="shared" si="190"/>
        <x:v/>
      </x:c>
      <x:c r="DZ72" s="873" t="str">
        <x:f>IF(CG72="","",IF((CD72-CG72)/COS(CU72)-FB72&lt;=-0.0625,CEILING((CD72-CG72)/COS(CU72)-FB72+0.0625,-0.125),IF((CD72-CG72)/COS(CU72)-FB72&gt;=0.0625,CEILING((CD72-CG72)/COS(CU72)-FB72-0.0625,0.125),0)))</x:f>
        <x:v/>
      </x:c>
      <x:c r="EA72" s="873" t="str">
        <x:f>IF(CP72="","",IF((CM72-CP72)/COS(CU72)-FC72&lt;=-0.0625,CEILING((CM72-CP72)/COS(CU72)-FC72+0.0625,-0.125),IF((CM72-CP72)/COS(CU72)-FC72&gt;=0.0625,CEILING((CM72-CP72)/COS(CU72)-FC72-0.0625,0.125),0)))</x:f>
        <x:v/>
      </x:c>
      <x:c r="EB72" s="876" t="str">
        <x:f t="shared" si="160"/>
        <x:v/>
      </x:c>
      <x:c r="EC72" s="877" t="str">
        <x:f t="shared" si="191"/>
        <x:v/>
      </x:c>
      <x:c r="ED72" s="876" t="str">
        <x:f t="shared" si="161"/>
        <x:v/>
      </x:c>
      <x:c r="EE72" s="876" t="str">
        <x:f t="shared" si="162"/>
        <x:v/>
      </x:c>
      <x:c r="EF72" s="876" t="str">
        <x:f t="shared" si="163"/>
        <x:v/>
      </x:c>
      <x:c r="EG72" s="876" t="str">
        <x:f t="shared" si="164"/>
        <x:v/>
      </x:c>
      <x:c r="EH72" s="876" t="str">
        <x:f t="shared" si="165"/>
        <x:v/>
      </x:c>
      <x:c r="EI72" s="876" t="str">
        <x:f t="shared" si="166"/>
        <x:v/>
      </x:c>
      <x:c r="EJ72" s="876" t="str">
        <x:f t="shared" si="167"/>
        <x:v/>
      </x:c>
      <x:c r="EK72" s="874">
        <x:f t="shared" si="192"/>
        <x:v>0</x:v>
      </x:c>
      <x:c r="EL72" s="874">
        <x:f t="shared" si="193"/>
        <x:v>0</x:v>
      </x:c>
      <x:c r="EM72" s="874">
        <x:f t="shared" si="168"/>
        <x:v>0</x:v>
      </x:c>
      <x:c r="EN72" s="874" t="str">
        <x:f t="shared" si="169"/>
        <x:v/>
      </x:c>
      <x:c r="EO72" s="873" t="str">
        <x:f t="shared" si="194"/>
        <x:v/>
      </x:c>
      <x:c r="EP72" s="874">
        <x:f t="shared" si="195"/>
        <x:v>0</x:v>
      </x:c>
      <x:c r="EQ72" s="874">
        <x:f t="shared" si="196"/>
        <x:v>0</x:v>
      </x:c>
      <x:c r="ER72" s="874">
        <x:f t="shared" si="170"/>
        <x:v>0</x:v>
      </x:c>
      <x:c r="ES72" s="874" t="str">
        <x:f t="shared" si="171"/>
        <x:v/>
      </x:c>
      <x:c r="ET72" s="873" t="str">
        <x:f t="shared" si="197"/>
        <x:v/>
      </x:c>
      <x:c r="EU72" s="873">
        <x:f t="shared" si="172"/>
        <x:v>0</x:v>
      </x:c>
      <x:c r="EV72" s="876" t="e">
        <x:f t="shared" si="173"/>
        <x:v>#VALUE!</x:v>
      </x:c>
      <x:c r="EW72" s="876" t="e">
        <x:f t="shared" si="174"/>
        <x:v>#VALUE!</x:v>
      </x:c>
      <x:c r="EX72" s="942" t="str">
        <x:f t="shared" si="175"/>
        <x:v/>
      </x:c>
      <x:c r="EY72" s="879">
        <x:f t="shared" si="198"/>
        <x:v>25</x:v>
      </x:c>
      <x:c r="EZ72" s="959">
        <x:f t="shared" si="176"/>
        <x:v>0</x:v>
      </x:c>
      <x:c r="FA72" s="960">
        <x:f t="shared" si="177"/>
        <x:v>0</x:v>
      </x:c>
      <x:c r="FB72" s="880" t="str">
        <x:f t="shared" si="178"/>
        <x:v/>
      </x:c>
      <x:c r="FC72" s="881" t="str">
        <x:f t="shared" si="179"/>
        <x:v/>
      </x:c>
      <x:c r="FD72" s="512">
        <x:f t="shared" si="180"/>
        <x:v>0</x:v>
      </x:c>
      <x:c r="FE72" s="513">
        <x:f t="shared" si="181"/>
        <x:v>0</x:v>
      </x:c>
      <x:c r="FF72" s="754" t="b">
        <x:f t="shared" si="106"/>
        <x:v>0</x:v>
      </x:c>
      <x:c r="FG72" s="754" t="b">
        <x:f t="shared" si="107"/>
        <x:v>0</x:v>
      </x:c>
      <x:c r="FH72" s="754" t="b">
        <x:f t="shared" si="108"/>
        <x:v>0</x:v>
      </x:c>
      <x:c r="FI72" s="917" t="b">
        <x:f t="shared" si="109"/>
        <x:v>0</x:v>
      </x:c>
      <x:c r="FJ72" s="920" t="str">
        <x:f t="shared" si="119"/>
        <x:v/>
      </x:c>
      <x:c r="FK72" s="919" t="str">
        <x:f t="shared" si="120"/>
        <x:v/>
      </x:c>
      <x:c r="FL72" s="320" t="e">
        <x:f t="shared" si="121"/>
        <x:v>#N/A</x:v>
      </x:c>
      <x:c r="FM72" s="312" t="str">
        <x:f t="shared" si="110"/>
        <x:v/>
      </x:c>
      <x:c r="FN72" s="272" t="str">
        <x:f t="shared" ca="1" si="122"/>
        <x:v/>
      </x:c>
      <x:c r="FO72" s="273" t="str">
        <x:f t="shared" ca="1" si="123"/>
        <x:v/>
      </x:c>
      <x:c r="FP72" s="274" t="str">
        <x:f t="shared" ca="1" si="124"/>
        <x:v/>
      </x:c>
      <x:c r="FQ72" s="274" t="str">
        <x:f t="shared" ca="1" si="125"/>
        <x:v/>
      </x:c>
      <x:c r="FR72" s="321">
        <x:f t="shared" ca="1" si="126"/>
        <x:v>0</x:v>
      </x:c>
      <x:c r="FS72" s="322">
        <x:f t="shared" ca="1" si="127"/>
        <x:v>0</x:v>
      </x:c>
      <x:c r="FT72" s="272" t="str">
        <x:f t="shared" ca="1" si="132"/>
        <x:v/>
      </x:c>
      <x:c r="FU72" s="275" t="str">
        <x:f t="shared" ca="1" si="133"/>
        <x:v/>
      </x:c>
      <x:c r="FV72" s="323" t="str">
        <x:f t="shared" ca="1" si="134"/>
        <x:v/>
      </x:c>
      <x:c r="FW72" s="276" t="str">
        <x:f t="shared" ca="1" si="128"/>
        <x:v/>
      </x:c>
      <x:c r="FX72" s="276" t="str">
        <x:f t="shared" ca="1" si="129"/>
        <x:v/>
      </x:c>
      <x:c r="FY72" s="276" t="str">
        <x:f t="shared" ca="1" si="135"/>
        <x:v/>
      </x:c>
      <x:c r="FZ72" s="276" t="str">
        <x:f t="shared" ca="1" si="130"/>
        <x:v/>
      </x:c>
      <x:c r="GA72" s="276" t="str">
        <x:f t="shared" ca="1" si="136"/>
        <x:v/>
      </x:c>
      <x:c r="GB72" s="277" t="str">
        <x:f ca="1">IF(FY72="","",2+SUM(FO72:OFFSET(FO72,(FU72-1)*-1,0)))</x:f>
        <x:v/>
      </x:c>
      <x:c r="GC72" s="316" t="e">
        <x:f t="shared" si="131"/>
        <x:v>#N/A</x:v>
      </x:c>
      <x:c r="GD72" s="324" t="str">
        <x:f t="shared" si="111"/>
        <x:v/>
      </x:c>
      <x:c r="GE72" s="325" t="str">
        <x:f t="shared" si="112"/>
        <x:v/>
      </x:c>
      <x:c r="GF72" s="278" t="str">
        <x:f t="shared" si="113"/>
        <x:v/>
      </x:c>
      <x:c r="GG72" s="279" t="str">
        <x:f t="shared" si="114"/>
        <x:v/>
      </x:c>
      <x:c r="GH72" s="279" t="str">
        <x:f t="shared" si="115"/>
        <x:v/>
      </x:c>
      <x:c r="GI72" s="280" t="str">
        <x:f t="shared" si="116"/>
        <x:v/>
      </x:c>
      <x:c r="GJ72" s="326">
        <x:f t="shared" ca="1" si="117"/>
        <x:v>0</x:v>
      </x:c>
      <x:c r="GK72" s="913" t="str">
        <x:f t="shared" ca="1" si="118"/>
        <x:v/>
      </x:c>
    </x:row>
    <x:row r="73" spans="78:196" ht="12.6" hidden="1" customHeight="1" x14ac:dyDescent="0.2">
      <x:c r="BZ73" s="293"/>
      <x:c r="CA73" s="293"/>
      <x:c r="CB73" s="365" t="str">
        <x:f t="shared" si="137"/>
        <x:v/>
      </x:c>
      <x:c r="CC73" s="1304" t="str">
        <x:f>IF(CG33="","",VLOOKUP(CG33,SectInfo!$B:$N,12,FALSE))</x:f>
        <x:v/>
      </x:c>
      <x:c r="CD73" s="1305" t="str">
        <x:f>IF(ISBLANK(CN33),IF(CG33="","",VLOOKUP(CG33,SectInfo!$B:$N,13,FALSE)),CN33)</x:f>
        <x:v/>
      </x:c>
      <x:c r="CE73" s="1305" t="str">
        <x:f>IF(CG33="","",IF(VLOOKUP(CG33,SectInfo!$B:$N,5,FALSE)="","R",UPPER(VLOOKUP(CG33,SectInfo!$B:$N,5,FALSE))))</x:f>
        <x:v/>
      </x:c>
      <x:c r="CF73" s="1305" t="str">
        <x:f>IF(ISBLANK(CP33),IF(CG33="","",VLOOKUP(CG33,SectInfo!$B:$N,6,FALSE)),CP33)</x:f>
        <x:v/>
      </x:c>
      <x:c r="CG73" s="1305" t="str">
        <x:f>IF(CG33="","",IF(VLOOKUP(CG33,SectInfo!$B:$N,10,FALSE)="","",(VLOOKUP(CG33,SectInfo!$B:$N,10,FALSE)*-1)))</x:f>
        <x:v/>
      </x:c>
      <x:c r="CH73" s="1305" t="str">
        <x:f>IF(CG33="","",IF(VLOOKUP(CG33,SectInfo!$B:$N,7,FALSE)="","",(VLOOKUP(CG33,SectInfo!$B:$N,7,FALSE)*-1)))</x:f>
        <x:v/>
      </x:c>
      <x:c r="CI73" s="1305" t="str">
        <x:f>IF(CG33="","",IF(VLOOKUP(CG33,SectInfo!$B:$N,8,FALSE)="",$FC$4,(VLOOKUP(CG33,SectInfo!$B:$N,8,FALSE))))</x:f>
        <x:v/>
      </x:c>
      <x:c r="CJ73" s="1305" t="str">
        <x:f>IF(CG33="","",VLOOKUP(CG33,SectInfo!$B:$N,9,FALSE))</x:f>
        <x:v/>
      </x:c>
      <x:c r="CK73" s="1306">
        <x:f t="shared" si="138"/>
        <x:v>0</x:v>
      </x:c>
      <x:c r="CL73" s="1304" t="str">
        <x:f>IF(CQ33="","",VLOOKUP(CQ33,SectInfo!$B:$N,12,FALSE))</x:f>
        <x:v/>
      </x:c>
      <x:c r="CM73" s="1305" t="str">
        <x:f>IF(ISBLANK(CX33),IF(CQ33="","",VLOOKUP(CQ33,SectInfo!$B:$N,13,FALSE)),CX33)</x:f>
        <x:v/>
      </x:c>
      <x:c r="CN73" s="1305" t="str">
        <x:f>IF(CQ33="","",IF(VLOOKUP(CQ33,SectInfo!$B:$N,5,FALSE)="","R",UPPER(VLOOKUP(CQ33,SectInfo!$B:$N,5,FALSE))))</x:f>
        <x:v/>
      </x:c>
      <x:c r="CO73" s="1305" t="str">
        <x:f>IF(ISBLANK(CZ33),IF(CQ33="","",VLOOKUP(CQ33,SectInfo!$B:$N,6,FALSE)),CZ33)</x:f>
        <x:v/>
      </x:c>
      <x:c r="CP73" s="1305" t="str">
        <x:f>IF(CQ33="","",IF(VLOOKUP(CQ33,SectInfo!$B:$N,10,FALSE)="","",(VLOOKUP(CQ33,SectInfo!$B:$N,10,FALSE)*-1)))</x:f>
        <x:v/>
      </x:c>
      <x:c r="CQ73" s="367" t="str">
        <x:f>IF(CQ33="","",IF(VLOOKUP(CQ33,SectInfo!$B:$N,7,FALSE)="","",(VLOOKUP(CQ33,SectInfo!$B:$N,7,FALSE)*-1)))</x:f>
        <x:v/>
      </x:c>
      <x:c r="CR73" s="367" t="str">
        <x:f>IF(CQ33="","",IF(VLOOKUP(CQ33,SectInfo!$B:$N,8,FALSE)="",$FC$4,(VLOOKUP(CQ33,SectInfo!$B:$N,8,FALSE))))</x:f>
        <x:v/>
      </x:c>
      <x:c r="CS73" s="367" t="str">
        <x:f>IF(CQ33="","",VLOOKUP(CQ33,SectInfo!$B:$N,9,FALSE))</x:f>
        <x:v/>
      </x:c>
      <x:c r="CT73" s="368">
        <x:f t="shared" si="139"/>
        <x:v>0</x:v>
      </x:c>
      <x:c r="CU73" s="369">
        <x:f t="shared" si="140"/>
        <x:v>0</x:v>
      </x:c>
      <x:c r="CV73" s="274" t="str">
        <x:f t="shared" si="141"/>
        <x:v/>
      </x:c>
      <x:c r="CW73" s="274" t="str">
        <x:f t="shared" si="142"/>
        <x:v/>
      </x:c>
      <x:c r="CX73" s="873" t="str">
        <x:f t="shared" si="143"/>
        <x:v/>
      </x:c>
      <x:c r="CY73" s="874">
        <x:f t="shared" si="144"/>
        <x:v>0</x:v>
      </x:c>
      <x:c r="CZ73" s="874">
        <x:f t="shared" si="145"/>
        <x:v>0</x:v>
      </x:c>
      <x:c r="DA73" s="874" t="str">
        <x:f t="shared" si="146"/>
        <x:v/>
      </x:c>
      <x:c r="DB73" s="1310" t="str">
        <x:f t="shared" si="182"/>
        <x:v/>
      </x:c>
      <x:c r="DC73" s="1310" t="str">
        <x:f t="shared" si="147"/>
        <x:v/>
      </x:c>
      <x:c r="DD73" s="1311">
        <x:f t="shared" si="183"/>
        <x:v>0</x:v>
      </x:c>
      <x:c r="DE73" s="1310">
        <x:f t="shared" si="148"/>
        <x:v>0</x:v>
      </x:c>
      <x:c r="DF73" s="1312">
        <x:f t="shared" si="149"/>
        <x:v>0</x:v>
      </x:c>
      <x:c r="DG73" s="1312" t="str">
        <x:f t="shared" si="150"/>
        <x:v/>
      </x:c>
      <x:c r="DH73" s="1310" t="str">
        <x:f t="shared" si="184"/>
        <x:v/>
      </x:c>
      <x:c r="DI73" s="1310" t="str">
        <x:f t="shared" si="151"/>
        <x:v/>
      </x:c>
      <x:c r="DJ73" s="1311">
        <x:f t="shared" si="185"/>
        <x:v>0</x:v>
      </x:c>
      <x:c r="DK73" s="1310" t="str">
        <x:f t="shared" si="186"/>
        <x:v/>
      </x:c>
      <x:c r="DL73" s="1310" t="str">
        <x:f t="shared" si="187"/>
        <x:v/>
      </x:c>
      <x:c r="DM73" s="1310" t="str">
        <x:f t="shared" si="152"/>
        <x:v/>
      </x:c>
      <x:c r="DN73" s="1310" t="str">
        <x:f t="shared" si="153"/>
        <x:v/>
      </x:c>
      <x:c r="DO73" s="889" t="str">
        <x:f t="shared" si="154"/>
        <x:v>ERR</x:v>
      </x:c>
      <x:c r="DP73" s="889" t="str">
        <x:f t="shared" si="155"/>
        <x:v>ERR</x:v>
      </x:c>
      <x:c r="DQ73" s="1310" t="str">
        <x:f t="shared" si="188"/>
        <x:v/>
      </x:c>
      <x:c r="DR73" s="1310" t="str">
        <x:f t="shared" si="188"/>
        <x:v/>
      </x:c>
      <x:c r="DS73" s="1310" t="str">
        <x:f t="shared" si="189"/>
        <x:v/>
      </x:c>
      <x:c r="DT73" s="1310" t="str">
        <x:f t="shared" si="156"/>
        <x:v/>
      </x:c>
      <x:c r="DU73" s="1310" t="str">
        <x:f t="shared" si="157"/>
        <x:v/>
      </x:c>
      <x:c r="DV73" s="889" t="str">
        <x:f t="shared" si="158"/>
        <x:v>ERR</x:v>
      </x:c>
      <x:c r="DW73" s="889" t="str">
        <x:f t="shared" si="159"/>
        <x:v>ERR</x:v>
      </x:c>
      <x:c r="DX73" s="873" t="str">
        <x:f t="shared" si="190"/>
        <x:v/>
      </x:c>
      <x:c r="DY73" s="873" t="str">
        <x:f t="shared" si="190"/>
        <x:v/>
      </x:c>
      <x:c r="DZ73" s="873" t="str">
        <x:f t="shared" ref="DZ73:DZ85" si="199">IF(CG73="","",IF((CD73-CG73)/COS(CU73)-FB73&lt;=-0.0625,CEILING((CD73-CG73)/COS(CU73)-FB73+0.0625,-0.125),IF((CD73-CG73)/COS(CU73)-FB73&gt;=0.0625,CEILING((CD73-CG73)/COS(CU73)-FB73-0.0625,0.125),0)))</x:f>
        <x:v/>
      </x:c>
      <x:c r="EA73" s="873" t="str">
        <x:f t="shared" ref="EA73:EA85" si="200">IF(CP73="","",IF((CM73-CP73)/COS(CU73)-FC73&lt;=-0.0625,CEILING((CM73-CP73)/COS(CU73)-FC73+0.0625,-0.125),IF((CM73-CP73)/COS(CU73)-FC73&gt;=0.0625,CEILING((CM73-CP73)/COS(CU73)-FC73-0.0625,0.125),0)))</x:f>
        <x:v/>
      </x:c>
      <x:c r="EB73" s="876" t="str">
        <x:f t="shared" si="160"/>
        <x:v/>
      </x:c>
      <x:c r="EC73" s="877" t="str">
        <x:f t="shared" si="191"/>
        <x:v/>
      </x:c>
      <x:c r="ED73" s="876" t="str">
        <x:f t="shared" si="161"/>
        <x:v/>
      </x:c>
      <x:c r="EE73" s="876" t="str">
        <x:f t="shared" si="162"/>
        <x:v/>
      </x:c>
      <x:c r="EF73" s="876" t="str">
        <x:f t="shared" si="163"/>
        <x:v/>
      </x:c>
      <x:c r="EG73" s="876" t="str">
        <x:f t="shared" si="164"/>
        <x:v/>
      </x:c>
      <x:c r="EH73" s="876" t="str">
        <x:f t="shared" si="165"/>
        <x:v/>
      </x:c>
      <x:c r="EI73" s="876" t="str">
        <x:f t="shared" si="166"/>
        <x:v/>
      </x:c>
      <x:c r="EJ73" s="876" t="str">
        <x:f t="shared" si="167"/>
        <x:v/>
      </x:c>
      <x:c r="EK73" s="874">
        <x:f t="shared" si="192"/>
        <x:v>0</x:v>
      </x:c>
      <x:c r="EL73" s="874">
        <x:f t="shared" si="193"/>
        <x:v>0</x:v>
      </x:c>
      <x:c r="EM73" s="874">
        <x:f t="shared" si="168"/>
        <x:v>0</x:v>
      </x:c>
      <x:c r="EN73" s="874" t="str">
        <x:f t="shared" si="169"/>
        <x:v/>
      </x:c>
      <x:c r="EO73" s="873" t="str">
        <x:f t="shared" si="194"/>
        <x:v/>
      </x:c>
      <x:c r="EP73" s="874">
        <x:f t="shared" si="195"/>
        <x:v>0</x:v>
      </x:c>
      <x:c r="EQ73" s="874">
        <x:f t="shared" si="196"/>
        <x:v>0</x:v>
      </x:c>
      <x:c r="ER73" s="874">
        <x:f t="shared" si="170"/>
        <x:v>0</x:v>
      </x:c>
      <x:c r="ES73" s="874" t="str">
        <x:f t="shared" si="171"/>
        <x:v/>
      </x:c>
      <x:c r="ET73" s="873" t="str">
        <x:f t="shared" si="197"/>
        <x:v/>
      </x:c>
      <x:c r="EU73" s="873">
        <x:f t="shared" si="172"/>
        <x:v>0</x:v>
      </x:c>
      <x:c r="EV73" s="876" t="e">
        <x:f t="shared" si="173"/>
        <x:v>#VALUE!</x:v>
      </x:c>
      <x:c r="EW73" s="876" t="e">
        <x:f t="shared" si="174"/>
        <x:v>#VALUE!</x:v>
      </x:c>
      <x:c r="EX73" s="942" t="str">
        <x:f t="shared" si="175"/>
        <x:v/>
      </x:c>
      <x:c r="EY73" s="879">
        <x:f t="shared" si="198"/>
        <x:v>25</x:v>
      </x:c>
      <x:c r="EZ73" s="959">
        <x:f t="shared" si="176"/>
        <x:v>0</x:v>
      </x:c>
      <x:c r="FA73" s="960">
        <x:f t="shared" si="177"/>
        <x:v>0</x:v>
      </x:c>
      <x:c r="FB73" s="880" t="str">
        <x:f t="shared" si="178"/>
        <x:v/>
      </x:c>
      <x:c r="FC73" s="881" t="str">
        <x:f t="shared" si="179"/>
        <x:v/>
      </x:c>
      <x:c r="FD73" s="527">
        <x:f t="shared" si="180"/>
        <x:v>0</x:v>
      </x:c>
      <x:c r="FE73" s="528">
        <x:f t="shared" si="181"/>
        <x:v>0</x:v>
      </x:c>
      <x:c r="FF73" s="754" t="b">
        <x:f t="shared" si="106"/>
        <x:v>0</x:v>
      </x:c>
      <x:c r="FG73" s="754" t="b">
        <x:f t="shared" si="107"/>
        <x:v>0</x:v>
      </x:c>
      <x:c r="FH73" s="754" t="b">
        <x:f t="shared" si="108"/>
        <x:v>0</x:v>
      </x:c>
      <x:c r="FI73" s="917" t="b">
        <x:f t="shared" si="109"/>
        <x:v>0</x:v>
      </x:c>
      <x:c r="FJ73" s="920" t="str">
        <x:f t="shared" si="119"/>
        <x:v/>
      </x:c>
      <x:c r="FK73" s="919" t="str">
        <x:f t="shared" si="120"/>
        <x:v/>
      </x:c>
      <x:c r="FL73" s="320" t="e">
        <x:f t="shared" si="121"/>
        <x:v>#N/A</x:v>
      </x:c>
      <x:c r="FM73" s="312" t="str">
        <x:f t="shared" si="110"/>
        <x:v/>
      </x:c>
      <x:c r="FN73" s="272" t="str">
        <x:f t="shared" ca="1" si="122"/>
        <x:v/>
      </x:c>
      <x:c r="FO73" s="273" t="str">
        <x:f t="shared" ca="1" si="123"/>
        <x:v/>
      </x:c>
      <x:c r="FP73" s="274" t="str">
        <x:f t="shared" ca="1" si="124"/>
        <x:v/>
      </x:c>
      <x:c r="FQ73" s="274" t="str">
        <x:f t="shared" ca="1" si="125"/>
        <x:v/>
      </x:c>
      <x:c r="FR73" s="321">
        <x:f t="shared" ca="1" si="126"/>
        <x:v>0</x:v>
      </x:c>
      <x:c r="FS73" s="322">
        <x:f t="shared" ca="1" si="127"/>
        <x:v>0</x:v>
      </x:c>
      <x:c r="FT73" s="272" t="str">
        <x:f t="shared" ca="1" si="132"/>
        <x:v/>
      </x:c>
      <x:c r="FU73" s="275" t="str">
        <x:f t="shared" ca="1" si="133"/>
        <x:v/>
      </x:c>
      <x:c r="FV73" s="323" t="str">
        <x:f t="shared" ca="1" si="134"/>
        <x:v/>
      </x:c>
      <x:c r="FW73" s="276" t="str">
        <x:f t="shared" ca="1" si="128"/>
        <x:v/>
      </x:c>
      <x:c r="FX73" s="276" t="str">
        <x:f t="shared" ca="1" si="129"/>
        <x:v/>
      </x:c>
      <x:c r="FY73" s="276" t="str">
        <x:f t="shared" ca="1" si="135"/>
        <x:v/>
      </x:c>
      <x:c r="FZ73" s="276" t="str">
        <x:f t="shared" ca="1" si="130"/>
        <x:v/>
      </x:c>
      <x:c r="GA73" s="276" t="str">
        <x:f t="shared" ca="1" si="136"/>
        <x:v/>
      </x:c>
      <x:c r="GB73" s="277" t="str">
        <x:f ca="1">IF(FY73="","",2+SUM(FO73:OFFSET(FO73,(FU73-1)*-1,0)))</x:f>
        <x:v/>
      </x:c>
      <x:c r="GC73" s="316" t="e">
        <x:f t="shared" si="131"/>
        <x:v>#N/A</x:v>
      </x:c>
      <x:c r="GD73" s="324" t="str">
        <x:f t="shared" si="111"/>
        <x:v/>
      </x:c>
      <x:c r="GE73" s="325" t="str">
        <x:f t="shared" si="112"/>
        <x:v/>
      </x:c>
      <x:c r="GF73" s="278" t="str">
        <x:f t="shared" si="113"/>
        <x:v/>
      </x:c>
      <x:c r="GG73" s="279" t="str">
        <x:f t="shared" si="114"/>
        <x:v/>
      </x:c>
      <x:c r="GH73" s="279" t="str">
        <x:f t="shared" si="115"/>
        <x:v/>
      </x:c>
      <x:c r="GI73" s="280" t="str">
        <x:f t="shared" si="116"/>
        <x:v/>
      </x:c>
      <x:c r="GJ73" s="326">
        <x:f t="shared" ca="1" si="117"/>
        <x:v>0</x:v>
      </x:c>
      <x:c r="GK73" s="913" t="str">
        <x:f t="shared" ca="1" si="118"/>
        <x:v/>
      </x:c>
    </x:row>
    <x:row r="74" spans="78:196" ht="12.6" hidden="1" customHeight="1" x14ac:dyDescent="0.2">
      <x:c r="BZ74" s="293"/>
      <x:c r="CA74" s="293"/>
      <x:c r="CB74" s="365" t="str">
        <x:f t="shared" si="137"/>
        <x:v/>
      </x:c>
      <x:c r="CC74" s="1304" t="str">
        <x:f>IF(CG34="","",VLOOKUP(CG34,SectInfo!$B:$N,12,FALSE))</x:f>
        <x:v/>
      </x:c>
      <x:c r="CD74" s="1305" t="str">
        <x:f>IF(ISBLANK(CN34),IF(CG34="","",VLOOKUP(CG34,SectInfo!$B:$N,13,FALSE)),CN34)</x:f>
        <x:v/>
      </x:c>
      <x:c r="CE74" s="1305" t="str">
        <x:f>IF(CG34="","",IF(VLOOKUP(CG34,SectInfo!$B:$N,5,FALSE)="","R",UPPER(VLOOKUP(CG34,SectInfo!$B:$N,5,FALSE))))</x:f>
        <x:v/>
      </x:c>
      <x:c r="CF74" s="1305" t="str">
        <x:f>IF(ISBLANK(CP34),IF(CG34="","",VLOOKUP(CG34,SectInfo!$B:$N,6,FALSE)),CP34)</x:f>
        <x:v/>
      </x:c>
      <x:c r="CG74" s="1305" t="str">
        <x:f>IF(CG34="","",IF(VLOOKUP(CG34,SectInfo!$B:$N,10,FALSE)="","",(VLOOKUP(CG34,SectInfo!$B:$N,10,FALSE)*-1)))</x:f>
        <x:v/>
      </x:c>
      <x:c r="CH74" s="1305" t="str">
        <x:f>IF(CG34="","",IF(VLOOKUP(CG34,SectInfo!$B:$N,7,FALSE)="","",(VLOOKUP(CG34,SectInfo!$B:$N,7,FALSE)*-1)))</x:f>
        <x:v/>
      </x:c>
      <x:c r="CI74" s="1305" t="str">
        <x:f>IF(CG34="","",IF(VLOOKUP(CG34,SectInfo!$B:$N,8,FALSE)="",$FC$4,(VLOOKUP(CG34,SectInfo!$B:$N,8,FALSE))))</x:f>
        <x:v/>
      </x:c>
      <x:c r="CJ74" s="1305" t="str">
        <x:f>IF(CG34="","",VLOOKUP(CG34,SectInfo!$B:$N,9,FALSE))</x:f>
        <x:v/>
      </x:c>
      <x:c r="CK74" s="1306">
        <x:f t="shared" si="138"/>
        <x:v>0</x:v>
      </x:c>
      <x:c r="CL74" s="1304" t="str">
        <x:f>IF(CQ34="","",VLOOKUP(CQ34,SectInfo!$B:$N,12,FALSE))</x:f>
        <x:v/>
      </x:c>
      <x:c r="CM74" s="1305" t="str">
        <x:f>IF(ISBLANK(CX34),IF(CQ34="","",VLOOKUP(CQ34,SectInfo!$B:$N,13,FALSE)),CX34)</x:f>
        <x:v/>
      </x:c>
      <x:c r="CN74" s="1305" t="str">
        <x:f>IF(CQ34="","",IF(VLOOKUP(CQ34,SectInfo!$B:$N,5,FALSE)="","R",UPPER(VLOOKUP(CQ34,SectInfo!$B:$N,5,FALSE))))</x:f>
        <x:v/>
      </x:c>
      <x:c r="CO74" s="1305" t="str">
        <x:f>IF(ISBLANK(CZ34),IF(CQ34="","",VLOOKUP(CQ34,SectInfo!$B:$N,6,FALSE)),CZ34)</x:f>
        <x:v/>
      </x:c>
      <x:c r="CP74" s="1305" t="str">
        <x:f>IF(CQ34="","",IF(VLOOKUP(CQ34,SectInfo!$B:$N,10,FALSE)="","",(VLOOKUP(CQ34,SectInfo!$B:$N,10,FALSE)*-1)))</x:f>
        <x:v/>
      </x:c>
      <x:c r="CQ74" s="367" t="str">
        <x:f>IF(CQ34="","",IF(VLOOKUP(CQ34,SectInfo!$B:$N,7,FALSE)="","",(VLOOKUP(CQ34,SectInfo!$B:$N,7,FALSE)*-1)))</x:f>
        <x:v/>
      </x:c>
      <x:c r="CR74" s="367" t="str">
        <x:f>IF(CQ34="","",IF(VLOOKUP(CQ34,SectInfo!$B:$N,8,FALSE)="",$FC$4,(VLOOKUP(CQ34,SectInfo!$B:$N,8,FALSE))))</x:f>
        <x:v/>
      </x:c>
      <x:c r="CS74" s="367" t="str">
        <x:f>IF(CQ34="","",VLOOKUP(CQ34,SectInfo!$B:$N,9,FALSE))</x:f>
        <x:v/>
      </x:c>
      <x:c r="CT74" s="368">
        <x:f t="shared" si="139"/>
        <x:v>0</x:v>
      </x:c>
      <x:c r="CU74" s="369">
        <x:f t="shared" si="140"/>
        <x:v>0</x:v>
      </x:c>
      <x:c r="CV74" s="274" t="str">
        <x:f t="shared" si="141"/>
        <x:v/>
      </x:c>
      <x:c r="CW74" s="274" t="str">
        <x:f t="shared" si="142"/>
        <x:v/>
      </x:c>
      <x:c r="CX74" s="873" t="str">
        <x:f t="shared" si="143"/>
        <x:v/>
      </x:c>
      <x:c r="CY74" s="874">
        <x:f t="shared" si="144"/>
        <x:v>0</x:v>
      </x:c>
      <x:c r="CZ74" s="874">
        <x:f t="shared" si="145"/>
        <x:v>0</x:v>
      </x:c>
      <x:c r="DA74" s="874" t="str">
        <x:f t="shared" si="146"/>
        <x:v/>
      </x:c>
      <x:c r="DB74" s="1310" t="str">
        <x:f t="shared" si="182"/>
        <x:v/>
      </x:c>
      <x:c r="DC74" s="1310" t="str">
        <x:f t="shared" si="147"/>
        <x:v/>
      </x:c>
      <x:c r="DD74" s="1311">
        <x:f t="shared" si="183"/>
        <x:v>0</x:v>
      </x:c>
      <x:c r="DE74" s="1310">
        <x:f t="shared" si="148"/>
        <x:v>0</x:v>
      </x:c>
      <x:c r="DF74" s="1312">
        <x:f t="shared" si="149"/>
        <x:v>0</x:v>
      </x:c>
      <x:c r="DG74" s="1312" t="str">
        <x:f t="shared" si="150"/>
        <x:v/>
      </x:c>
      <x:c r="DH74" s="1310" t="str">
        <x:f t="shared" si="184"/>
        <x:v/>
      </x:c>
      <x:c r="DI74" s="1310" t="str">
        <x:f t="shared" si="151"/>
        <x:v/>
      </x:c>
      <x:c r="DJ74" s="1311">
        <x:f t="shared" si="185"/>
        <x:v>0</x:v>
      </x:c>
      <x:c r="DK74" s="1310" t="str">
        <x:f t="shared" si="186"/>
        <x:v/>
      </x:c>
      <x:c r="DL74" s="1310" t="str">
        <x:f t="shared" si="187"/>
        <x:v/>
      </x:c>
      <x:c r="DM74" s="1310" t="str">
        <x:f t="shared" si="152"/>
        <x:v/>
      </x:c>
      <x:c r="DN74" s="1310" t="str">
        <x:f t="shared" si="153"/>
        <x:v/>
      </x:c>
      <x:c r="DO74" s="889" t="str">
        <x:f t="shared" si="154"/>
        <x:v>ERR</x:v>
      </x:c>
      <x:c r="DP74" s="889" t="str">
        <x:f t="shared" si="155"/>
        <x:v>ERR</x:v>
      </x:c>
      <x:c r="DQ74" s="1310" t="str">
        <x:f t="shared" si="188"/>
        <x:v/>
      </x:c>
      <x:c r="DR74" s="1310" t="str">
        <x:f t="shared" si="188"/>
        <x:v/>
      </x:c>
      <x:c r="DS74" s="1310" t="str">
        <x:f t="shared" si="189"/>
        <x:v/>
      </x:c>
      <x:c r="DT74" s="1310" t="str">
        <x:f t="shared" si="156"/>
        <x:v/>
      </x:c>
      <x:c r="DU74" s="1310" t="str">
        <x:f t="shared" si="157"/>
        <x:v/>
      </x:c>
      <x:c r="DV74" s="889" t="str">
        <x:f t="shared" si="158"/>
        <x:v>ERR</x:v>
      </x:c>
      <x:c r="DW74" s="889" t="str">
        <x:f t="shared" si="159"/>
        <x:v>ERR</x:v>
      </x:c>
      <x:c r="DX74" s="873" t="str">
        <x:f t="shared" si="190"/>
        <x:v/>
      </x:c>
      <x:c r="DY74" s="873" t="str">
        <x:f t="shared" si="190"/>
        <x:v/>
      </x:c>
      <x:c r="DZ74" s="873" t="str">
        <x:f t="shared" si="199"/>
        <x:v/>
      </x:c>
      <x:c r="EA74" s="873" t="str">
        <x:f t="shared" si="200"/>
        <x:v/>
      </x:c>
      <x:c r="EB74" s="876" t="str">
        <x:f t="shared" si="160"/>
        <x:v/>
      </x:c>
      <x:c r="EC74" s="877" t="str">
        <x:f t="shared" si="191"/>
        <x:v/>
      </x:c>
      <x:c r="ED74" s="876" t="str">
        <x:f t="shared" si="161"/>
        <x:v/>
      </x:c>
      <x:c r="EE74" s="876" t="str">
        <x:f t="shared" si="162"/>
        <x:v/>
      </x:c>
      <x:c r="EF74" s="876" t="str">
        <x:f t="shared" si="163"/>
        <x:v/>
      </x:c>
      <x:c r="EG74" s="876" t="str">
        <x:f t="shared" si="164"/>
        <x:v/>
      </x:c>
      <x:c r="EH74" s="876" t="str">
        <x:f t="shared" si="165"/>
        <x:v/>
      </x:c>
      <x:c r="EI74" s="876" t="str">
        <x:f t="shared" si="166"/>
        <x:v/>
      </x:c>
      <x:c r="EJ74" s="876" t="str">
        <x:f t="shared" si="167"/>
        <x:v/>
      </x:c>
      <x:c r="EK74" s="874">
        <x:f t="shared" si="192"/>
        <x:v>0</x:v>
      </x:c>
      <x:c r="EL74" s="874">
        <x:f t="shared" si="193"/>
        <x:v>0</x:v>
      </x:c>
      <x:c r="EM74" s="874">
        <x:f t="shared" si="168"/>
        <x:v>0</x:v>
      </x:c>
      <x:c r="EN74" s="874" t="str">
        <x:f t="shared" si="169"/>
        <x:v/>
      </x:c>
      <x:c r="EO74" s="873" t="str">
        <x:f t="shared" si="194"/>
        <x:v/>
      </x:c>
      <x:c r="EP74" s="874">
        <x:f t="shared" si="195"/>
        <x:v>0</x:v>
      </x:c>
      <x:c r="EQ74" s="874">
        <x:f t="shared" si="196"/>
        <x:v>0</x:v>
      </x:c>
      <x:c r="ER74" s="874">
        <x:f t="shared" si="170"/>
        <x:v>0</x:v>
      </x:c>
      <x:c r="ES74" s="874" t="str">
        <x:f t="shared" si="171"/>
        <x:v/>
      </x:c>
      <x:c r="ET74" s="873" t="str">
        <x:f t="shared" si="197"/>
        <x:v/>
      </x:c>
      <x:c r="EU74" s="873">
        <x:f t="shared" si="172"/>
        <x:v>0</x:v>
      </x:c>
      <x:c r="EV74" s="876" t="e">
        <x:f t="shared" si="173"/>
        <x:v>#VALUE!</x:v>
      </x:c>
      <x:c r="EW74" s="876" t="e">
        <x:f t="shared" si="174"/>
        <x:v>#VALUE!</x:v>
      </x:c>
      <x:c r="EX74" s="942" t="str">
        <x:f t="shared" si="175"/>
        <x:v/>
      </x:c>
      <x:c r="EY74" s="879">
        <x:f t="shared" si="198"/>
        <x:v>25</x:v>
      </x:c>
      <x:c r="EZ74" s="959">
        <x:f t="shared" si="176"/>
        <x:v>0</x:v>
      </x:c>
      <x:c r="FA74" s="960">
        <x:f t="shared" si="177"/>
        <x:v>0</x:v>
      </x:c>
      <x:c r="FB74" s="880" t="str">
        <x:f t="shared" si="178"/>
        <x:v/>
      </x:c>
      <x:c r="FC74" s="881" t="str">
        <x:f t="shared" si="179"/>
        <x:v/>
      </x:c>
      <x:c r="FD74" s="512">
        <x:f t="shared" si="180"/>
        <x:v>0</x:v>
      </x:c>
      <x:c r="FE74" s="513">
        <x:f t="shared" si="181"/>
        <x:v>0</x:v>
      </x:c>
      <x:c r="FF74" s="754" t="b">
        <x:f t="shared" si="106"/>
        <x:v>0</x:v>
      </x:c>
      <x:c r="FG74" s="754" t="b">
        <x:f t="shared" si="107"/>
        <x:v>0</x:v>
      </x:c>
      <x:c r="FH74" s="754" t="b">
        <x:f t="shared" si="108"/>
        <x:v>0</x:v>
      </x:c>
      <x:c r="FI74" s="917" t="b">
        <x:f t="shared" si="109"/>
        <x:v>0</x:v>
      </x:c>
      <x:c r="FJ74" s="920" t="str">
        <x:f t="shared" si="119"/>
        <x:v/>
      </x:c>
      <x:c r="FK74" s="919" t="str">
        <x:f t="shared" si="120"/>
        <x:v/>
      </x:c>
      <x:c r="FL74" s="320" t="e">
        <x:f t="shared" si="121"/>
        <x:v>#N/A</x:v>
      </x:c>
      <x:c r="FM74" s="312" t="str">
        <x:f t="shared" si="110"/>
        <x:v/>
      </x:c>
      <x:c r="FN74" s="272" t="str">
        <x:f t="shared" ca="1" si="122"/>
        <x:v/>
      </x:c>
      <x:c r="FO74" s="273" t="str">
        <x:f t="shared" ca="1" si="123"/>
        <x:v/>
      </x:c>
      <x:c r="FP74" s="274" t="str">
        <x:f t="shared" ca="1" si="124"/>
        <x:v/>
      </x:c>
      <x:c r="FQ74" s="274" t="str">
        <x:f t="shared" ca="1" si="125"/>
        <x:v/>
      </x:c>
      <x:c r="FR74" s="321">
        <x:f t="shared" ca="1" si="126"/>
        <x:v>0</x:v>
      </x:c>
      <x:c r="FS74" s="322">
        <x:f t="shared" ca="1" si="127"/>
        <x:v>0</x:v>
      </x:c>
      <x:c r="FT74" s="272" t="str">
        <x:f t="shared" ca="1" si="132"/>
        <x:v/>
      </x:c>
      <x:c r="FU74" s="275" t="str">
        <x:f t="shared" ca="1" si="133"/>
        <x:v/>
      </x:c>
      <x:c r="FV74" s="323" t="str">
        <x:f t="shared" ca="1" si="134"/>
        <x:v/>
      </x:c>
      <x:c r="FW74" s="276" t="str">
        <x:f t="shared" ca="1" si="128"/>
        <x:v/>
      </x:c>
      <x:c r="FX74" s="276" t="str">
        <x:f t="shared" ca="1" si="129"/>
        <x:v/>
      </x:c>
      <x:c r="FY74" s="276" t="str">
        <x:f t="shared" ca="1" si="135"/>
        <x:v/>
      </x:c>
      <x:c r="FZ74" s="276" t="str">
        <x:f t="shared" ca="1" si="130"/>
        <x:v/>
      </x:c>
      <x:c r="GA74" s="276" t="str">
        <x:f t="shared" ca="1" si="136"/>
        <x:v/>
      </x:c>
      <x:c r="GB74" s="277" t="str">
        <x:f ca="1">IF(FY74="","",2+SUM(FO74:OFFSET(FO74,(FU74-1)*-1,0)))</x:f>
        <x:v/>
      </x:c>
      <x:c r="GC74" s="316" t="e">
        <x:f t="shared" si="131"/>
        <x:v>#N/A</x:v>
      </x:c>
      <x:c r="GD74" s="324" t="str">
        <x:f t="shared" si="111"/>
        <x:v/>
      </x:c>
      <x:c r="GE74" s="325" t="str">
        <x:f t="shared" si="112"/>
        <x:v/>
      </x:c>
      <x:c r="GF74" s="278" t="str">
        <x:f t="shared" si="113"/>
        <x:v/>
      </x:c>
      <x:c r="GG74" s="279" t="str">
        <x:f t="shared" si="114"/>
        <x:v/>
      </x:c>
      <x:c r="GH74" s="279" t="str">
        <x:f t="shared" si="115"/>
        <x:v/>
      </x:c>
      <x:c r="GI74" s="280" t="str">
        <x:f t="shared" si="116"/>
        <x:v/>
      </x:c>
      <x:c r="GJ74" s="326">
        <x:f t="shared" ca="1" si="117"/>
        <x:v>0</x:v>
      </x:c>
      <x:c r="GK74" s="913" t="str">
        <x:f t="shared" ca="1" si="118"/>
        <x:v/>
      </x:c>
    </x:row>
    <x:row r="75" spans="78:196" ht="12.6" hidden="1" customHeight="1" x14ac:dyDescent="0.2">
      <x:c r="BZ75" s="293"/>
      <x:c r="CA75" s="293"/>
      <x:c r="CB75" s="365" t="str">
        <x:f t="shared" si="137"/>
        <x:v/>
      </x:c>
      <x:c r="CC75" s="1304" t="str">
        <x:f>IF(CG35="","",VLOOKUP(CG35,SectInfo!$B:$N,12,FALSE))</x:f>
        <x:v/>
      </x:c>
      <x:c r="CD75" s="1305" t="str">
        <x:f>IF(ISBLANK(CN35),IF(CG35="","",VLOOKUP(CG35,SectInfo!$B:$N,13,FALSE)),CN35)</x:f>
        <x:v/>
      </x:c>
      <x:c r="CE75" s="1305" t="str">
        <x:f>IF(CG35="","",IF(VLOOKUP(CG35,SectInfo!$B:$N,5,FALSE)="","R",UPPER(VLOOKUP(CG35,SectInfo!$B:$N,5,FALSE))))</x:f>
        <x:v/>
      </x:c>
      <x:c r="CF75" s="1305" t="str">
        <x:f>IF(ISBLANK(CP35),IF(CG35="","",VLOOKUP(CG35,SectInfo!$B:$N,6,FALSE)),CP35)</x:f>
        <x:v/>
      </x:c>
      <x:c r="CG75" s="1305" t="str">
        <x:f>IF(CG35="","",IF(VLOOKUP(CG35,SectInfo!$B:$N,10,FALSE)="","",(VLOOKUP(CG35,SectInfo!$B:$N,10,FALSE)*-1)))</x:f>
        <x:v/>
      </x:c>
      <x:c r="CH75" s="1305" t="str">
        <x:f>IF(CG35="","",IF(VLOOKUP(CG35,SectInfo!$B:$N,7,FALSE)="","",(VLOOKUP(CG35,SectInfo!$B:$N,7,FALSE)*-1)))</x:f>
        <x:v/>
      </x:c>
      <x:c r="CI75" s="1305" t="str">
        <x:f>IF(CG35="","",IF(VLOOKUP(CG35,SectInfo!$B:$N,8,FALSE)="",$FC$4,(VLOOKUP(CG35,SectInfo!$B:$N,8,FALSE))))</x:f>
        <x:v/>
      </x:c>
      <x:c r="CJ75" s="1305" t="str">
        <x:f>IF(CG35="","",VLOOKUP(CG35,SectInfo!$B:$N,9,FALSE))</x:f>
        <x:v/>
      </x:c>
      <x:c r="CK75" s="1306">
        <x:f t="shared" si="138"/>
        <x:v>0</x:v>
      </x:c>
      <x:c r="CL75" s="1304" t="str">
        <x:f>IF(CQ35="","",VLOOKUP(CQ35,SectInfo!$B:$N,12,FALSE))</x:f>
        <x:v/>
      </x:c>
      <x:c r="CM75" s="1305" t="str">
        <x:f>IF(ISBLANK(CX35),IF(CQ35="","",VLOOKUP(CQ35,SectInfo!$B:$N,13,FALSE)),CX35)</x:f>
        <x:v/>
      </x:c>
      <x:c r="CN75" s="1305" t="str">
        <x:f>IF(CQ35="","",IF(VLOOKUP(CQ35,SectInfo!$B:$N,5,FALSE)="","R",UPPER(VLOOKUP(CQ35,SectInfo!$B:$N,5,FALSE))))</x:f>
        <x:v/>
      </x:c>
      <x:c r="CO75" s="1305" t="str">
        <x:f>IF(ISBLANK(CZ35),IF(CQ35="","",VLOOKUP(CQ35,SectInfo!$B:$N,6,FALSE)),CZ35)</x:f>
        <x:v/>
      </x:c>
      <x:c r="CP75" s="1305" t="str">
        <x:f>IF(CQ35="","",IF(VLOOKUP(CQ35,SectInfo!$B:$N,10,FALSE)="","",(VLOOKUP(CQ35,SectInfo!$B:$N,10,FALSE)*-1)))</x:f>
        <x:v/>
      </x:c>
      <x:c r="CQ75" s="367" t="str">
        <x:f>IF(CQ35="","",IF(VLOOKUP(CQ35,SectInfo!$B:$N,7,FALSE)="","",(VLOOKUP(CQ35,SectInfo!$B:$N,7,FALSE)*-1)))</x:f>
        <x:v/>
      </x:c>
      <x:c r="CR75" s="367" t="str">
        <x:f>IF(CQ35="","",IF(VLOOKUP(CQ35,SectInfo!$B:$N,8,FALSE)="",$FC$4,(VLOOKUP(CQ35,SectInfo!$B:$N,8,FALSE))))</x:f>
        <x:v/>
      </x:c>
      <x:c r="CS75" s="367" t="str">
        <x:f>IF(CQ35="","",VLOOKUP(CQ35,SectInfo!$B:$N,9,FALSE))</x:f>
        <x:v/>
      </x:c>
      <x:c r="CT75" s="368">
        <x:f t="shared" si="139"/>
        <x:v>0</x:v>
      </x:c>
      <x:c r="CU75" s="369">
        <x:f t="shared" si="140"/>
        <x:v>0</x:v>
      </x:c>
      <x:c r="CV75" s="274" t="str">
        <x:f t="shared" si="141"/>
        <x:v/>
      </x:c>
      <x:c r="CW75" s="274" t="str">
        <x:f t="shared" si="142"/>
        <x:v/>
      </x:c>
      <x:c r="CX75" s="873" t="str">
        <x:f t="shared" si="143"/>
        <x:v/>
      </x:c>
      <x:c r="CY75" s="874">
        <x:f t="shared" si="144"/>
        <x:v>0</x:v>
      </x:c>
      <x:c r="CZ75" s="874">
        <x:f t="shared" si="145"/>
        <x:v>0</x:v>
      </x:c>
      <x:c r="DA75" s="874" t="str">
        <x:f t="shared" si="146"/>
        <x:v/>
      </x:c>
      <x:c r="DB75" s="1310" t="str">
        <x:f t="shared" si="182"/>
        <x:v/>
      </x:c>
      <x:c r="DC75" s="1310" t="str">
        <x:f t="shared" si="147"/>
        <x:v/>
      </x:c>
      <x:c r="DD75" s="1311">
        <x:f t="shared" si="183"/>
        <x:v>0</x:v>
      </x:c>
      <x:c r="DE75" s="1310">
        <x:f t="shared" si="148"/>
        <x:v>0</x:v>
      </x:c>
      <x:c r="DF75" s="1312">
        <x:f t="shared" si="149"/>
        <x:v>0</x:v>
      </x:c>
      <x:c r="DG75" s="1312" t="str">
        <x:f t="shared" si="150"/>
        <x:v/>
      </x:c>
      <x:c r="DH75" s="1310" t="str">
        <x:f t="shared" si="184"/>
        <x:v/>
      </x:c>
      <x:c r="DI75" s="1310" t="str">
        <x:f t="shared" si="151"/>
        <x:v/>
      </x:c>
      <x:c r="DJ75" s="1311">
        <x:f t="shared" si="185"/>
        <x:v>0</x:v>
      </x:c>
      <x:c r="DK75" s="1310" t="str">
        <x:f t="shared" si="186"/>
        <x:v/>
      </x:c>
      <x:c r="DL75" s="1310" t="str">
        <x:f t="shared" si="187"/>
        <x:v/>
      </x:c>
      <x:c r="DM75" s="1310" t="str">
        <x:f t="shared" si="152"/>
        <x:v/>
      </x:c>
      <x:c r="DN75" s="1310" t="str">
        <x:f t="shared" si="153"/>
        <x:v/>
      </x:c>
      <x:c r="DO75" s="889" t="str">
        <x:f t="shared" si="154"/>
        <x:v>ERR</x:v>
      </x:c>
      <x:c r="DP75" s="889" t="str">
        <x:f t="shared" si="155"/>
        <x:v>ERR</x:v>
      </x:c>
      <x:c r="DQ75" s="1310" t="str">
        <x:f t="shared" si="188"/>
        <x:v/>
      </x:c>
      <x:c r="DR75" s="1310" t="str">
        <x:f t="shared" si="188"/>
        <x:v/>
      </x:c>
      <x:c r="DS75" s="1310" t="str">
        <x:f t="shared" si="189"/>
        <x:v/>
      </x:c>
      <x:c r="DT75" s="1310" t="str">
        <x:f t="shared" si="156"/>
        <x:v/>
      </x:c>
      <x:c r="DU75" s="1310" t="str">
        <x:f t="shared" si="157"/>
        <x:v/>
      </x:c>
      <x:c r="DV75" s="889" t="str">
        <x:f t="shared" si="158"/>
        <x:v>ERR</x:v>
      </x:c>
      <x:c r="DW75" s="889" t="str">
        <x:f t="shared" si="159"/>
        <x:v>ERR</x:v>
      </x:c>
      <x:c r="DX75" s="873" t="str">
        <x:f t="shared" si="190"/>
        <x:v/>
      </x:c>
      <x:c r="DY75" s="873" t="str">
        <x:f t="shared" si="190"/>
        <x:v/>
      </x:c>
      <x:c r="DZ75" s="873" t="str">
        <x:f t="shared" si="199"/>
        <x:v/>
      </x:c>
      <x:c r="EA75" s="873" t="str">
        <x:f t="shared" si="200"/>
        <x:v/>
      </x:c>
      <x:c r="EB75" s="876" t="str">
        <x:f t="shared" si="160"/>
        <x:v/>
      </x:c>
      <x:c r="EC75" s="877" t="str">
        <x:f t="shared" si="191"/>
        <x:v/>
      </x:c>
      <x:c r="ED75" s="876" t="str">
        <x:f t="shared" si="161"/>
        <x:v/>
      </x:c>
      <x:c r="EE75" s="876" t="str">
        <x:f t="shared" si="162"/>
        <x:v/>
      </x:c>
      <x:c r="EF75" s="876" t="str">
        <x:f t="shared" si="163"/>
        <x:v/>
      </x:c>
      <x:c r="EG75" s="876" t="str">
        <x:f t="shared" si="164"/>
        <x:v/>
      </x:c>
      <x:c r="EH75" s="876" t="str">
        <x:f t="shared" si="165"/>
        <x:v/>
      </x:c>
      <x:c r="EI75" s="876" t="str">
        <x:f t="shared" si="166"/>
        <x:v/>
      </x:c>
      <x:c r="EJ75" s="876" t="str">
        <x:f t="shared" si="167"/>
        <x:v/>
      </x:c>
      <x:c r="EK75" s="874">
        <x:f t="shared" si="192"/>
        <x:v>0</x:v>
      </x:c>
      <x:c r="EL75" s="874">
        <x:f t="shared" si="193"/>
        <x:v>0</x:v>
      </x:c>
      <x:c r="EM75" s="874">
        <x:f t="shared" si="168"/>
        <x:v>0</x:v>
      </x:c>
      <x:c r="EN75" s="874" t="str">
        <x:f t="shared" si="169"/>
        <x:v/>
      </x:c>
      <x:c r="EO75" s="873" t="str">
        <x:f t="shared" si="194"/>
        <x:v/>
      </x:c>
      <x:c r="EP75" s="874">
        <x:f t="shared" si="195"/>
        <x:v>0</x:v>
      </x:c>
      <x:c r="EQ75" s="874">
        <x:f t="shared" si="196"/>
        <x:v>0</x:v>
      </x:c>
      <x:c r="ER75" s="874">
        <x:f t="shared" si="170"/>
        <x:v>0</x:v>
      </x:c>
      <x:c r="ES75" s="874" t="str">
        <x:f t="shared" si="171"/>
        <x:v/>
      </x:c>
      <x:c r="ET75" s="873" t="str">
        <x:f t="shared" si="197"/>
        <x:v/>
      </x:c>
      <x:c r="EU75" s="873">
        <x:f t="shared" si="172"/>
        <x:v>0</x:v>
      </x:c>
      <x:c r="EV75" s="876" t="e">
        <x:f t="shared" si="173"/>
        <x:v>#VALUE!</x:v>
      </x:c>
      <x:c r="EW75" s="876" t="e">
        <x:f t="shared" si="174"/>
        <x:v>#VALUE!</x:v>
      </x:c>
      <x:c r="EX75" s="942" t="str">
        <x:f t="shared" si="175"/>
        <x:v/>
      </x:c>
      <x:c r="EY75" s="879">
        <x:f t="shared" si="198"/>
        <x:v>25</x:v>
      </x:c>
      <x:c r="EZ75" s="959">
        <x:f t="shared" si="176"/>
        <x:v>0</x:v>
      </x:c>
      <x:c r="FA75" s="960">
        <x:f t="shared" si="177"/>
        <x:v>0</x:v>
      </x:c>
      <x:c r="FB75" s="880" t="str">
        <x:f t="shared" si="178"/>
        <x:v/>
      </x:c>
      <x:c r="FC75" s="881" t="str">
        <x:f t="shared" si="179"/>
        <x:v/>
      </x:c>
      <x:c r="FD75" s="512">
        <x:f t="shared" si="180"/>
        <x:v>0</x:v>
      </x:c>
      <x:c r="FE75" s="513">
        <x:f t="shared" si="181"/>
        <x:v>0</x:v>
      </x:c>
      <x:c r="FF75" s="754" t="b">
        <x:f t="shared" si="106"/>
        <x:v>0</x:v>
      </x:c>
      <x:c r="FG75" s="754" t="b">
        <x:f t="shared" si="107"/>
        <x:v>0</x:v>
      </x:c>
      <x:c r="FH75" s="754" t="b">
        <x:f t="shared" si="108"/>
        <x:v>0</x:v>
      </x:c>
      <x:c r="FI75" s="917" t="b">
        <x:f t="shared" si="109"/>
        <x:v>0</x:v>
      </x:c>
      <x:c r="FJ75" s="920" t="str">
        <x:f t="shared" si="119"/>
        <x:v/>
      </x:c>
      <x:c r="FK75" s="919" t="str">
        <x:f t="shared" si="120"/>
        <x:v/>
      </x:c>
      <x:c r="FL75" s="320" t="e">
        <x:f t="shared" si="121"/>
        <x:v>#N/A</x:v>
      </x:c>
      <x:c r="FM75" s="312" t="str">
        <x:f t="shared" si="110"/>
        <x:v/>
      </x:c>
      <x:c r="FN75" s="272" t="str">
        <x:f t="shared" ca="1" si="122"/>
        <x:v/>
      </x:c>
      <x:c r="FO75" s="273" t="str">
        <x:f t="shared" ca="1" si="123"/>
        <x:v/>
      </x:c>
      <x:c r="FP75" s="274" t="str">
        <x:f t="shared" ca="1" si="124"/>
        <x:v/>
      </x:c>
      <x:c r="FQ75" s="274" t="str">
        <x:f t="shared" ca="1" si="125"/>
        <x:v/>
      </x:c>
      <x:c r="FR75" s="321">
        <x:f t="shared" ca="1" si="126"/>
        <x:v>0</x:v>
      </x:c>
      <x:c r="FS75" s="322">
        <x:f t="shared" ca="1" si="127"/>
        <x:v>0</x:v>
      </x:c>
      <x:c r="FT75" s="272" t="str">
        <x:f t="shared" ca="1" si="132"/>
        <x:v/>
      </x:c>
      <x:c r="FU75" s="275" t="str">
        <x:f t="shared" ca="1" si="133"/>
        <x:v/>
      </x:c>
      <x:c r="FV75" s="323" t="str">
        <x:f t="shared" ca="1" si="134"/>
        <x:v/>
      </x:c>
      <x:c r="FW75" s="276" t="str">
        <x:f t="shared" ca="1" si="128"/>
        <x:v/>
      </x:c>
      <x:c r="FX75" s="276" t="str">
        <x:f t="shared" ca="1" si="129"/>
        <x:v/>
      </x:c>
      <x:c r="FY75" s="276" t="str">
        <x:f t="shared" ca="1" si="135"/>
        <x:v/>
      </x:c>
      <x:c r="FZ75" s="276" t="str">
        <x:f t="shared" ca="1" si="130"/>
        <x:v/>
      </x:c>
      <x:c r="GA75" s="276" t="str">
        <x:f t="shared" ca="1" si="136"/>
        <x:v/>
      </x:c>
      <x:c r="GB75" s="277" t="str">
        <x:f ca="1">IF(FY75="","",2+SUM(FO75:OFFSET(FO75,(FU75-1)*-1,0)))</x:f>
        <x:v/>
      </x:c>
      <x:c r="GC75" s="316" t="e">
        <x:f t="shared" si="131"/>
        <x:v>#N/A</x:v>
      </x:c>
      <x:c r="GD75" s="324" t="str">
        <x:f t="shared" si="111"/>
        <x:v/>
      </x:c>
      <x:c r="GE75" s="325" t="str">
        <x:f t="shared" si="112"/>
        <x:v/>
      </x:c>
      <x:c r="GF75" s="278" t="str">
        <x:f t="shared" si="113"/>
        <x:v/>
      </x:c>
      <x:c r="GG75" s="279" t="str">
        <x:f t="shared" si="114"/>
        <x:v/>
      </x:c>
      <x:c r="GH75" s="279" t="str">
        <x:f t="shared" si="115"/>
        <x:v/>
      </x:c>
      <x:c r="GI75" s="280" t="str">
        <x:f t="shared" si="116"/>
        <x:v/>
      </x:c>
      <x:c r="GJ75" s="326">
        <x:f t="shared" ca="1" si="117"/>
        <x:v>0</x:v>
      </x:c>
      <x:c r="GK75" s="913" t="str">
        <x:f t="shared" ca="1" si="118"/>
        <x:v/>
      </x:c>
    </x:row>
    <x:row r="76" spans="78:196" ht="12.6" hidden="1" customHeight="1" x14ac:dyDescent="0.2">
      <x:c r="BZ76" s="293"/>
      <x:c r="CA76" s="293"/>
      <x:c r="CB76" s="365" t="str">
        <x:f t="shared" si="137"/>
        <x:v/>
      </x:c>
      <x:c r="CC76" s="1304" t="str">
        <x:f>IF(CG36="","",VLOOKUP(CG36,SectInfo!$B:$N,12,FALSE))</x:f>
        <x:v/>
      </x:c>
      <x:c r="CD76" s="1305" t="str">
        <x:f>IF(ISBLANK(CN36),IF(CG36="","",VLOOKUP(CG36,SectInfo!$B:$N,13,FALSE)),CN36)</x:f>
        <x:v/>
      </x:c>
      <x:c r="CE76" s="1305" t="str">
        <x:f>IF(CG36="","",IF(VLOOKUP(CG36,SectInfo!$B:$N,5,FALSE)="","R",UPPER(VLOOKUP(CG36,SectInfo!$B:$N,5,FALSE))))</x:f>
        <x:v/>
      </x:c>
      <x:c r="CF76" s="1305" t="str">
        <x:f>IF(ISBLANK(CP36),IF(CG36="","",VLOOKUP(CG36,SectInfo!$B:$N,6,FALSE)),CP36)</x:f>
        <x:v/>
      </x:c>
      <x:c r="CG76" s="1305" t="str">
        <x:f>IF(CG36="","",IF(VLOOKUP(CG36,SectInfo!$B:$N,10,FALSE)="","",(VLOOKUP(CG36,SectInfo!$B:$N,10,FALSE)*-1)))</x:f>
        <x:v/>
      </x:c>
      <x:c r="CH76" s="1305" t="str">
        <x:f>IF(CG36="","",IF(VLOOKUP(CG36,SectInfo!$B:$N,7,FALSE)="","",(VLOOKUP(CG36,SectInfo!$B:$N,7,FALSE)*-1)))</x:f>
        <x:v/>
      </x:c>
      <x:c r="CI76" s="1305" t="str">
        <x:f>IF(CG36="","",IF(VLOOKUP(CG36,SectInfo!$B:$N,8,FALSE)="",$FC$4,(VLOOKUP(CG36,SectInfo!$B:$N,8,FALSE))))</x:f>
        <x:v/>
      </x:c>
      <x:c r="CJ76" s="1305" t="str">
        <x:f>IF(CG36="","",VLOOKUP(CG36,SectInfo!$B:$N,9,FALSE))</x:f>
        <x:v/>
      </x:c>
      <x:c r="CK76" s="1306">
        <x:f t="shared" si="138"/>
        <x:v>0</x:v>
      </x:c>
      <x:c r="CL76" s="1304" t="str">
        <x:f>IF(CQ36="","",VLOOKUP(CQ36,SectInfo!$B:$N,12,FALSE))</x:f>
        <x:v/>
      </x:c>
      <x:c r="CM76" s="1305" t="str">
        <x:f>IF(ISBLANK(CX36),IF(CQ36="","",VLOOKUP(CQ36,SectInfo!$B:$N,13,FALSE)),CX36)</x:f>
        <x:v/>
      </x:c>
      <x:c r="CN76" s="1305" t="str">
        <x:f>IF(CQ36="","",IF(VLOOKUP(CQ36,SectInfo!$B:$N,5,FALSE)="","R",UPPER(VLOOKUP(CQ36,SectInfo!$B:$N,5,FALSE))))</x:f>
        <x:v/>
      </x:c>
      <x:c r="CO76" s="1305" t="str">
        <x:f>IF(ISBLANK(CZ36),IF(CQ36="","",VLOOKUP(CQ36,SectInfo!$B:$N,6,FALSE)),CZ36)</x:f>
        <x:v/>
      </x:c>
      <x:c r="CP76" s="1305" t="str">
        <x:f>IF(CQ36="","",IF(VLOOKUP(CQ36,SectInfo!$B:$N,10,FALSE)="","",(VLOOKUP(CQ36,SectInfo!$B:$N,10,FALSE)*-1)))</x:f>
        <x:v/>
      </x:c>
      <x:c r="CQ76" s="367" t="str">
        <x:f>IF(CQ36="","",IF(VLOOKUP(CQ36,SectInfo!$B:$N,7,FALSE)="","",(VLOOKUP(CQ36,SectInfo!$B:$N,7,FALSE)*-1)))</x:f>
        <x:v/>
      </x:c>
      <x:c r="CR76" s="367" t="str">
        <x:f>IF(CQ36="","",IF(VLOOKUP(CQ36,SectInfo!$B:$N,8,FALSE)="",$FC$4,(VLOOKUP(CQ36,SectInfo!$B:$N,8,FALSE))))</x:f>
        <x:v/>
      </x:c>
      <x:c r="CS76" s="367" t="str">
        <x:f>IF(CQ36="","",VLOOKUP(CQ36,SectInfo!$B:$N,9,FALSE))</x:f>
        <x:v/>
      </x:c>
      <x:c r="CT76" s="368">
        <x:f t="shared" si="139"/>
        <x:v>0</x:v>
      </x:c>
      <x:c r="CU76" s="369">
        <x:f t="shared" si="140"/>
        <x:v>0</x:v>
      </x:c>
      <x:c r="CV76" s="274" t="str">
        <x:f t="shared" si="141"/>
        <x:v/>
      </x:c>
      <x:c r="CW76" s="274" t="str">
        <x:f t="shared" si="142"/>
        <x:v/>
      </x:c>
      <x:c r="CX76" s="873" t="str">
        <x:f t="shared" si="143"/>
        <x:v/>
      </x:c>
      <x:c r="CY76" s="874">
        <x:f t="shared" si="144"/>
        <x:v>0</x:v>
      </x:c>
      <x:c r="CZ76" s="874">
        <x:f t="shared" si="145"/>
        <x:v>0</x:v>
      </x:c>
      <x:c r="DA76" s="874" t="str">
        <x:f t="shared" si="146"/>
        <x:v/>
      </x:c>
      <x:c r="DB76" s="1310" t="str">
        <x:f t="shared" si="182"/>
        <x:v/>
      </x:c>
      <x:c r="DC76" s="1310" t="str">
        <x:f t="shared" si="147"/>
        <x:v/>
      </x:c>
      <x:c r="DD76" s="1311">
        <x:f t="shared" si="183"/>
        <x:v>0</x:v>
      </x:c>
      <x:c r="DE76" s="1310">
        <x:f t="shared" si="148"/>
        <x:v>0</x:v>
      </x:c>
      <x:c r="DF76" s="1312">
        <x:f t="shared" si="149"/>
        <x:v>0</x:v>
      </x:c>
      <x:c r="DG76" s="1312" t="str">
        <x:f t="shared" si="150"/>
        <x:v/>
      </x:c>
      <x:c r="DH76" s="1310" t="str">
        <x:f t="shared" si="184"/>
        <x:v/>
      </x:c>
      <x:c r="DI76" s="1310" t="str">
        <x:f t="shared" si="151"/>
        <x:v/>
      </x:c>
      <x:c r="DJ76" s="1311">
        <x:f t="shared" si="185"/>
        <x:v>0</x:v>
      </x:c>
      <x:c r="DK76" s="1310" t="str">
        <x:f t="shared" si="186"/>
        <x:v/>
      </x:c>
      <x:c r="DL76" s="1310" t="str">
        <x:f t="shared" si="187"/>
        <x:v/>
      </x:c>
      <x:c r="DM76" s="1310" t="str">
        <x:f t="shared" si="152"/>
        <x:v/>
      </x:c>
      <x:c r="DN76" s="1310" t="str">
        <x:f t="shared" si="153"/>
        <x:v/>
      </x:c>
      <x:c r="DO76" s="889" t="str">
        <x:f t="shared" si="154"/>
        <x:v>ERR</x:v>
      </x:c>
      <x:c r="DP76" s="889" t="str">
        <x:f t="shared" si="155"/>
        <x:v>ERR</x:v>
      </x:c>
      <x:c r="DQ76" s="1310" t="str">
        <x:f t="shared" si="188"/>
        <x:v/>
      </x:c>
      <x:c r="DR76" s="1310" t="str">
        <x:f t="shared" si="188"/>
        <x:v/>
      </x:c>
      <x:c r="DS76" s="1310" t="str">
        <x:f t="shared" si="189"/>
        <x:v/>
      </x:c>
      <x:c r="DT76" s="1310" t="str">
        <x:f t="shared" si="156"/>
        <x:v/>
      </x:c>
      <x:c r="DU76" s="1310" t="str">
        <x:f t="shared" si="157"/>
        <x:v/>
      </x:c>
      <x:c r="DV76" s="889" t="str">
        <x:f t="shared" si="158"/>
        <x:v>ERR</x:v>
      </x:c>
      <x:c r="DW76" s="889" t="str">
        <x:f t="shared" si="159"/>
        <x:v>ERR</x:v>
      </x:c>
      <x:c r="DX76" s="873" t="str">
        <x:f t="shared" si="190"/>
        <x:v/>
      </x:c>
      <x:c r="DY76" s="873" t="str">
        <x:f t="shared" si="190"/>
        <x:v/>
      </x:c>
      <x:c r="DZ76" s="873" t="str">
        <x:f t="shared" si="199"/>
        <x:v/>
      </x:c>
      <x:c r="EA76" s="873" t="str">
        <x:f t="shared" si="200"/>
        <x:v/>
      </x:c>
      <x:c r="EB76" s="876" t="str">
        <x:f t="shared" si="160"/>
        <x:v/>
      </x:c>
      <x:c r="EC76" s="877" t="str">
        <x:f t="shared" si="191"/>
        <x:v/>
      </x:c>
      <x:c r="ED76" s="876" t="str">
        <x:f t="shared" si="161"/>
        <x:v/>
      </x:c>
      <x:c r="EE76" s="876" t="str">
        <x:f t="shared" si="162"/>
        <x:v/>
      </x:c>
      <x:c r="EF76" s="876" t="str">
        <x:f t="shared" si="163"/>
        <x:v/>
      </x:c>
      <x:c r="EG76" s="876" t="str">
        <x:f t="shared" si="164"/>
        <x:v/>
      </x:c>
      <x:c r="EH76" s="876" t="str">
        <x:f t="shared" si="165"/>
        <x:v/>
      </x:c>
      <x:c r="EI76" s="876" t="str">
        <x:f t="shared" si="166"/>
        <x:v/>
      </x:c>
      <x:c r="EJ76" s="876" t="str">
        <x:f t="shared" si="167"/>
        <x:v/>
      </x:c>
      <x:c r="EK76" s="874">
        <x:f t="shared" si="192"/>
        <x:v>0</x:v>
      </x:c>
      <x:c r="EL76" s="874">
        <x:f t="shared" si="193"/>
        <x:v>0</x:v>
      </x:c>
      <x:c r="EM76" s="874">
        <x:f t="shared" si="168"/>
        <x:v>0</x:v>
      </x:c>
      <x:c r="EN76" s="874" t="str">
        <x:f t="shared" si="169"/>
        <x:v/>
      </x:c>
      <x:c r="EO76" s="873" t="str">
        <x:f t="shared" si="194"/>
        <x:v/>
      </x:c>
      <x:c r="EP76" s="874">
        <x:f t="shared" si="195"/>
        <x:v>0</x:v>
      </x:c>
      <x:c r="EQ76" s="874">
        <x:f t="shared" si="196"/>
        <x:v>0</x:v>
      </x:c>
      <x:c r="ER76" s="874">
        <x:f t="shared" si="170"/>
        <x:v>0</x:v>
      </x:c>
      <x:c r="ES76" s="874" t="str">
        <x:f t="shared" si="171"/>
        <x:v/>
      </x:c>
      <x:c r="ET76" s="873" t="str">
        <x:f t="shared" si="197"/>
        <x:v/>
      </x:c>
      <x:c r="EU76" s="873">
        <x:f t="shared" si="172"/>
        <x:v>0</x:v>
      </x:c>
      <x:c r="EV76" s="876" t="e">
        <x:f t="shared" si="173"/>
        <x:v>#VALUE!</x:v>
      </x:c>
      <x:c r="EW76" s="876" t="e">
        <x:f t="shared" si="174"/>
        <x:v>#VALUE!</x:v>
      </x:c>
      <x:c r="EX76" s="942" t="str">
        <x:f t="shared" si="175"/>
        <x:v/>
      </x:c>
      <x:c r="EY76" s="879">
        <x:f t="shared" si="198"/>
        <x:v>25</x:v>
      </x:c>
      <x:c r="EZ76" s="959">
        <x:f t="shared" si="176"/>
        <x:v>0</x:v>
      </x:c>
      <x:c r="FA76" s="960">
        <x:f t="shared" si="177"/>
        <x:v>0</x:v>
      </x:c>
      <x:c r="FB76" s="880" t="str">
        <x:f t="shared" si="178"/>
        <x:v/>
      </x:c>
      <x:c r="FC76" s="881" t="str">
        <x:f t="shared" si="179"/>
        <x:v/>
      </x:c>
      <x:c r="FD76" s="512">
        <x:f t="shared" si="180"/>
        <x:v>0</x:v>
      </x:c>
      <x:c r="FE76" s="513">
        <x:f t="shared" si="181"/>
        <x:v>0</x:v>
      </x:c>
      <x:c r="FF76" s="754" t="b">
        <x:f t="shared" si="106"/>
        <x:v>0</x:v>
      </x:c>
      <x:c r="FG76" s="754" t="b">
        <x:f t="shared" si="107"/>
        <x:v>0</x:v>
      </x:c>
      <x:c r="FH76" s="754" t="b">
        <x:f t="shared" si="108"/>
        <x:v>0</x:v>
      </x:c>
      <x:c r="FI76" s="917" t="b">
        <x:f t="shared" si="109"/>
        <x:v>0</x:v>
      </x:c>
      <x:c r="FJ76" s="920" t="str">
        <x:f t="shared" si="119"/>
        <x:v/>
      </x:c>
      <x:c r="FK76" s="919" t="str">
        <x:f t="shared" si="120"/>
        <x:v/>
      </x:c>
      <x:c r="FL76" s="320" t="e">
        <x:f t="shared" si="121"/>
        <x:v>#N/A</x:v>
      </x:c>
      <x:c r="FM76" s="312" t="str">
        <x:f t="shared" si="110"/>
        <x:v/>
      </x:c>
      <x:c r="FN76" s="272" t="str">
        <x:f t="shared" ca="1" si="122"/>
        <x:v/>
      </x:c>
      <x:c r="FO76" s="273" t="str">
        <x:f t="shared" ca="1" si="123"/>
        <x:v/>
      </x:c>
      <x:c r="FP76" s="274" t="str">
        <x:f t="shared" ca="1" si="124"/>
        <x:v/>
      </x:c>
      <x:c r="FQ76" s="274" t="str">
        <x:f t="shared" ca="1" si="125"/>
        <x:v/>
      </x:c>
      <x:c r="FR76" s="321">
        <x:f t="shared" ca="1" si="126"/>
        <x:v>0</x:v>
      </x:c>
      <x:c r="FS76" s="322">
        <x:f t="shared" ca="1" si="127"/>
        <x:v>0</x:v>
      </x:c>
      <x:c r="FT76" s="272" t="str">
        <x:f t="shared" ca="1" si="132"/>
        <x:v/>
      </x:c>
      <x:c r="FU76" s="275" t="str">
        <x:f t="shared" ca="1" si="133"/>
        <x:v/>
      </x:c>
      <x:c r="FV76" s="323" t="str">
        <x:f t="shared" ca="1" si="134"/>
        <x:v/>
      </x:c>
      <x:c r="FW76" s="276" t="str">
        <x:f t="shared" ca="1" si="128"/>
        <x:v/>
      </x:c>
      <x:c r="FX76" s="276" t="str">
        <x:f t="shared" ca="1" si="129"/>
        <x:v/>
      </x:c>
      <x:c r="FY76" s="276" t="str">
        <x:f t="shared" ca="1" si="135"/>
        <x:v/>
      </x:c>
      <x:c r="FZ76" s="276" t="str">
        <x:f t="shared" ca="1" si="130"/>
        <x:v/>
      </x:c>
      <x:c r="GA76" s="276" t="str">
        <x:f t="shared" ca="1" si="136"/>
        <x:v/>
      </x:c>
      <x:c r="GB76" s="277" t="str">
        <x:f ca="1">IF(FY76="","",2+SUM(FO76:OFFSET(FO76,(FU76-1)*-1,0)))</x:f>
        <x:v/>
      </x:c>
      <x:c r="GC76" s="316" t="e">
        <x:f t="shared" si="131"/>
        <x:v>#N/A</x:v>
      </x:c>
      <x:c r="GD76" s="324" t="str">
        <x:f t="shared" si="111"/>
        <x:v/>
      </x:c>
      <x:c r="GE76" s="325" t="str">
        <x:f t="shared" si="112"/>
        <x:v/>
      </x:c>
      <x:c r="GF76" s="278" t="str">
        <x:f t="shared" si="113"/>
        <x:v/>
      </x:c>
      <x:c r="GG76" s="279" t="str">
        <x:f t="shared" si="114"/>
        <x:v/>
      </x:c>
      <x:c r="GH76" s="279" t="str">
        <x:f t="shared" si="115"/>
        <x:v/>
      </x:c>
      <x:c r="GI76" s="280" t="str">
        <x:f t="shared" si="116"/>
        <x:v/>
      </x:c>
      <x:c r="GJ76" s="326">
        <x:f t="shared" ca="1" si="117"/>
        <x:v>0</x:v>
      </x:c>
      <x:c r="GK76" s="913" t="str">
        <x:f t="shared" ca="1" si="118"/>
        <x:v/>
      </x:c>
    </x:row>
    <x:row r="77" spans="78:196" ht="12.6" hidden="1" customHeight="1" x14ac:dyDescent="0.2">
      <x:c r="BZ77" s="293"/>
      <x:c r="CA77" s="293"/>
      <x:c r="CB77" s="365" t="str">
        <x:f t="shared" si="137"/>
        <x:v/>
      </x:c>
      <x:c r="CC77" s="1304" t="str">
        <x:f>IF(CG37="","",VLOOKUP(CG37,SectInfo!$B:$N,12,FALSE))</x:f>
        <x:v/>
      </x:c>
      <x:c r="CD77" s="1305" t="str">
        <x:f>IF(ISBLANK(CN37),IF(CG37="","",VLOOKUP(CG37,SectInfo!$B:$N,13,FALSE)),CN37)</x:f>
        <x:v/>
      </x:c>
      <x:c r="CE77" s="1305" t="str">
        <x:f>IF(CG37="","",IF(VLOOKUP(CG37,SectInfo!$B:$N,5,FALSE)="","R",UPPER(VLOOKUP(CG37,SectInfo!$B:$N,5,FALSE))))</x:f>
        <x:v/>
      </x:c>
      <x:c r="CF77" s="1305" t="str">
        <x:f>IF(ISBLANK(CP37),IF(CG37="","",VLOOKUP(CG37,SectInfo!$B:$N,6,FALSE)),CP37)</x:f>
        <x:v/>
      </x:c>
      <x:c r="CG77" s="1305" t="str">
        <x:f>IF(CG37="","",IF(VLOOKUP(CG37,SectInfo!$B:$N,10,FALSE)="","",(VLOOKUP(CG37,SectInfo!$B:$N,10,FALSE)*-1)))</x:f>
        <x:v/>
      </x:c>
      <x:c r="CH77" s="1305" t="str">
        <x:f>IF(CG37="","",IF(VLOOKUP(CG37,SectInfo!$B:$N,7,FALSE)="","",(VLOOKUP(CG37,SectInfo!$B:$N,7,FALSE)*-1)))</x:f>
        <x:v/>
      </x:c>
      <x:c r="CI77" s="1305" t="str">
        <x:f>IF(CG37="","",IF(VLOOKUP(CG37,SectInfo!$B:$N,8,FALSE)="",$FC$4,(VLOOKUP(CG37,SectInfo!$B:$N,8,FALSE))))</x:f>
        <x:v/>
      </x:c>
      <x:c r="CJ77" s="1305" t="str">
        <x:f>IF(CG37="","",VLOOKUP(CG37,SectInfo!$B:$N,9,FALSE))</x:f>
        <x:v/>
      </x:c>
      <x:c r="CK77" s="1306">
        <x:f t="shared" si="138"/>
        <x:v>0</x:v>
      </x:c>
      <x:c r="CL77" s="1304" t="str">
        <x:f>IF(CQ37="","",VLOOKUP(CQ37,SectInfo!$B:$N,12,FALSE))</x:f>
        <x:v/>
      </x:c>
      <x:c r="CM77" s="1305" t="str">
        <x:f>IF(ISBLANK(CX37),IF(CQ37="","",VLOOKUP(CQ37,SectInfo!$B:$N,13,FALSE)),CX37)</x:f>
        <x:v/>
      </x:c>
      <x:c r="CN77" s="1305" t="str">
        <x:f>IF(CQ37="","",IF(VLOOKUP(CQ37,SectInfo!$B:$N,5,FALSE)="","R",UPPER(VLOOKUP(CQ37,SectInfo!$B:$N,5,FALSE))))</x:f>
        <x:v/>
      </x:c>
      <x:c r="CO77" s="1305" t="str">
        <x:f>IF(ISBLANK(CZ37),IF(CQ37="","",VLOOKUP(CQ37,SectInfo!$B:$N,6,FALSE)),CZ37)</x:f>
        <x:v/>
      </x:c>
      <x:c r="CP77" s="1305" t="str">
        <x:f>IF(CQ37="","",IF(VLOOKUP(CQ37,SectInfo!$B:$N,10,FALSE)="","",(VLOOKUP(CQ37,SectInfo!$B:$N,10,FALSE)*-1)))</x:f>
        <x:v/>
      </x:c>
      <x:c r="CQ77" s="367" t="str">
        <x:f>IF(CQ37="","",IF(VLOOKUP(CQ37,SectInfo!$B:$N,7,FALSE)="","",(VLOOKUP(CQ37,SectInfo!$B:$N,7,FALSE)*-1)))</x:f>
        <x:v/>
      </x:c>
      <x:c r="CR77" s="367" t="str">
        <x:f>IF(CQ37="","",IF(VLOOKUP(CQ37,SectInfo!$B:$N,8,FALSE)="",$FC$4,(VLOOKUP(CQ37,SectInfo!$B:$N,8,FALSE))))</x:f>
        <x:v/>
      </x:c>
      <x:c r="CS77" s="367" t="str">
        <x:f>IF(CQ37="","",VLOOKUP(CQ37,SectInfo!$B:$N,9,FALSE))</x:f>
        <x:v/>
      </x:c>
      <x:c r="CT77" s="368">
        <x:f t="shared" si="139"/>
        <x:v>0</x:v>
      </x:c>
      <x:c r="CU77" s="369">
        <x:f t="shared" si="140"/>
        <x:v>0</x:v>
      </x:c>
      <x:c r="CV77" s="274" t="str">
        <x:f t="shared" si="141"/>
        <x:v/>
      </x:c>
      <x:c r="CW77" s="274" t="str">
        <x:f t="shared" si="142"/>
        <x:v/>
      </x:c>
      <x:c r="CX77" s="873" t="str">
        <x:f t="shared" si="143"/>
        <x:v/>
      </x:c>
      <x:c r="CY77" s="874">
        <x:f t="shared" si="144"/>
        <x:v>0</x:v>
      </x:c>
      <x:c r="CZ77" s="874">
        <x:f t="shared" si="145"/>
        <x:v>0</x:v>
      </x:c>
      <x:c r="DA77" s="874" t="str">
        <x:f t="shared" si="146"/>
        <x:v/>
      </x:c>
      <x:c r="DB77" s="1310" t="str">
        <x:f t="shared" si="182"/>
        <x:v/>
      </x:c>
      <x:c r="DC77" s="1310" t="str">
        <x:f t="shared" si="147"/>
        <x:v/>
      </x:c>
      <x:c r="DD77" s="1311">
        <x:f t="shared" si="183"/>
        <x:v>0</x:v>
      </x:c>
      <x:c r="DE77" s="1310">
        <x:f t="shared" si="148"/>
        <x:v>0</x:v>
      </x:c>
      <x:c r="DF77" s="1312">
        <x:f t="shared" si="149"/>
        <x:v>0</x:v>
      </x:c>
      <x:c r="DG77" s="1312" t="str">
        <x:f t="shared" si="150"/>
        <x:v/>
      </x:c>
      <x:c r="DH77" s="1310" t="str">
        <x:f t="shared" si="184"/>
        <x:v/>
      </x:c>
      <x:c r="DI77" s="1310" t="str">
        <x:f t="shared" si="151"/>
        <x:v/>
      </x:c>
      <x:c r="DJ77" s="1311">
        <x:f t="shared" si="185"/>
        <x:v>0</x:v>
      </x:c>
      <x:c r="DK77" s="1310" t="str">
        <x:f t="shared" si="186"/>
        <x:v/>
      </x:c>
      <x:c r="DL77" s="1310" t="str">
        <x:f t="shared" si="187"/>
        <x:v/>
      </x:c>
      <x:c r="DM77" s="1310" t="str">
        <x:f t="shared" si="152"/>
        <x:v/>
      </x:c>
      <x:c r="DN77" s="1310" t="str">
        <x:f t="shared" si="153"/>
        <x:v/>
      </x:c>
      <x:c r="DO77" s="889" t="str">
        <x:f t="shared" si="154"/>
        <x:v>ERR</x:v>
      </x:c>
      <x:c r="DP77" s="889" t="str">
        <x:f t="shared" si="155"/>
        <x:v>ERR</x:v>
      </x:c>
      <x:c r="DQ77" s="1310" t="str">
        <x:f t="shared" si="188"/>
        <x:v/>
      </x:c>
      <x:c r="DR77" s="1310" t="str">
        <x:f t="shared" si="188"/>
        <x:v/>
      </x:c>
      <x:c r="DS77" s="1310" t="str">
        <x:f t="shared" si="189"/>
        <x:v/>
      </x:c>
      <x:c r="DT77" s="1310" t="str">
        <x:f t="shared" si="156"/>
        <x:v/>
      </x:c>
      <x:c r="DU77" s="1310" t="str">
        <x:f t="shared" si="157"/>
        <x:v/>
      </x:c>
      <x:c r="DV77" s="889" t="str">
        <x:f t="shared" si="158"/>
        <x:v>ERR</x:v>
      </x:c>
      <x:c r="DW77" s="889" t="str">
        <x:f t="shared" si="159"/>
        <x:v>ERR</x:v>
      </x:c>
      <x:c r="DX77" s="873" t="str">
        <x:f t="shared" si="190"/>
        <x:v/>
      </x:c>
      <x:c r="DY77" s="873" t="str">
        <x:f t="shared" si="190"/>
        <x:v/>
      </x:c>
      <x:c r="DZ77" s="873" t="str">
        <x:f t="shared" si="199"/>
        <x:v/>
      </x:c>
      <x:c r="EA77" s="873" t="str">
        <x:f t="shared" si="200"/>
        <x:v/>
      </x:c>
      <x:c r="EB77" s="876" t="str">
        <x:f t="shared" si="160"/>
        <x:v/>
      </x:c>
      <x:c r="EC77" s="877" t="str">
        <x:f t="shared" si="191"/>
        <x:v/>
      </x:c>
      <x:c r="ED77" s="876" t="str">
        <x:f t="shared" si="161"/>
        <x:v/>
      </x:c>
      <x:c r="EE77" s="876" t="str">
        <x:f t="shared" si="162"/>
        <x:v/>
      </x:c>
      <x:c r="EF77" s="876" t="str">
        <x:f t="shared" si="163"/>
        <x:v/>
      </x:c>
      <x:c r="EG77" s="876" t="str">
        <x:f t="shared" si="164"/>
        <x:v/>
      </x:c>
      <x:c r="EH77" s="876" t="str">
        <x:f t="shared" si="165"/>
        <x:v/>
      </x:c>
      <x:c r="EI77" s="876" t="str">
        <x:f t="shared" si="166"/>
        <x:v/>
      </x:c>
      <x:c r="EJ77" s="876" t="str">
        <x:f t="shared" si="167"/>
        <x:v/>
      </x:c>
      <x:c r="EK77" s="874">
        <x:f t="shared" si="192"/>
        <x:v>0</x:v>
      </x:c>
      <x:c r="EL77" s="874">
        <x:f t="shared" si="193"/>
        <x:v>0</x:v>
      </x:c>
      <x:c r="EM77" s="874">
        <x:f t="shared" si="168"/>
        <x:v>0</x:v>
      </x:c>
      <x:c r="EN77" s="874" t="str">
        <x:f t="shared" si="169"/>
        <x:v/>
      </x:c>
      <x:c r="EO77" s="873" t="str">
        <x:f t="shared" si="194"/>
        <x:v/>
      </x:c>
      <x:c r="EP77" s="874">
        <x:f t="shared" si="195"/>
        <x:v>0</x:v>
      </x:c>
      <x:c r="EQ77" s="874">
        <x:f t="shared" si="196"/>
        <x:v>0</x:v>
      </x:c>
      <x:c r="ER77" s="874">
        <x:f t="shared" si="170"/>
        <x:v>0</x:v>
      </x:c>
      <x:c r="ES77" s="874" t="str">
        <x:f t="shared" si="171"/>
        <x:v/>
      </x:c>
      <x:c r="ET77" s="873" t="str">
        <x:f t="shared" si="197"/>
        <x:v/>
      </x:c>
      <x:c r="EU77" s="873">
        <x:f t="shared" si="172"/>
        <x:v>0</x:v>
      </x:c>
      <x:c r="EV77" s="876" t="e">
        <x:f t="shared" si="173"/>
        <x:v>#VALUE!</x:v>
      </x:c>
      <x:c r="EW77" s="876" t="e">
        <x:f t="shared" si="174"/>
        <x:v>#VALUE!</x:v>
      </x:c>
      <x:c r="EX77" s="942" t="str">
        <x:f t="shared" si="175"/>
        <x:v/>
      </x:c>
      <x:c r="EY77" s="879">
        <x:f t="shared" si="198"/>
        <x:v>25</x:v>
      </x:c>
      <x:c r="EZ77" s="959">
        <x:f t="shared" si="176"/>
        <x:v>0</x:v>
      </x:c>
      <x:c r="FA77" s="960">
        <x:f t="shared" si="177"/>
        <x:v>0</x:v>
      </x:c>
      <x:c r="FB77" s="880" t="str">
        <x:f t="shared" si="178"/>
        <x:v/>
      </x:c>
      <x:c r="FC77" s="881" t="str">
        <x:f t="shared" si="179"/>
        <x:v/>
      </x:c>
      <x:c r="FD77" s="512">
        <x:f t="shared" si="180"/>
        <x:v>0</x:v>
      </x:c>
      <x:c r="FE77" s="513">
        <x:f t="shared" si="181"/>
        <x:v>0</x:v>
      </x:c>
      <x:c r="FF77" s="754" t="b">
        <x:f t="shared" si="106"/>
        <x:v>0</x:v>
      </x:c>
      <x:c r="FG77" s="754" t="b">
        <x:f t="shared" si="107"/>
        <x:v>0</x:v>
      </x:c>
      <x:c r="FH77" s="754" t="b">
        <x:f t="shared" si="108"/>
        <x:v>0</x:v>
      </x:c>
      <x:c r="FI77" s="917" t="b">
        <x:f t="shared" si="109"/>
        <x:v>0</x:v>
      </x:c>
      <x:c r="FJ77" s="920" t="str">
        <x:f t="shared" si="119"/>
        <x:v/>
      </x:c>
      <x:c r="FK77" s="919" t="str">
        <x:f t="shared" si="120"/>
        <x:v/>
      </x:c>
      <x:c r="FL77" s="320" t="e">
        <x:f t="shared" si="121"/>
        <x:v>#N/A</x:v>
      </x:c>
      <x:c r="FM77" s="312" t="str">
        <x:f t="shared" si="110"/>
        <x:v/>
      </x:c>
      <x:c r="FN77" s="272" t="str">
        <x:f t="shared" ca="1" si="122"/>
        <x:v/>
      </x:c>
      <x:c r="FO77" s="273" t="str">
        <x:f t="shared" ca="1" si="123"/>
        <x:v/>
      </x:c>
      <x:c r="FP77" s="274" t="str">
        <x:f t="shared" ca="1" si="124"/>
        <x:v/>
      </x:c>
      <x:c r="FQ77" s="274" t="str">
        <x:f t="shared" ca="1" si="125"/>
        <x:v/>
      </x:c>
      <x:c r="FR77" s="321">
        <x:f t="shared" ca="1" si="126"/>
        <x:v>0</x:v>
      </x:c>
      <x:c r="FS77" s="322">
        <x:f t="shared" ca="1" si="127"/>
        <x:v>0</x:v>
      </x:c>
      <x:c r="FT77" s="272" t="str">
        <x:f t="shared" ca="1" si="132"/>
        <x:v/>
      </x:c>
      <x:c r="FU77" s="275" t="str">
        <x:f t="shared" ca="1" si="133"/>
        <x:v/>
      </x:c>
      <x:c r="FV77" s="323" t="str">
        <x:f t="shared" ca="1" si="134"/>
        <x:v/>
      </x:c>
      <x:c r="FW77" s="276" t="str">
        <x:f t="shared" ca="1" si="128"/>
        <x:v/>
      </x:c>
      <x:c r="FX77" s="276" t="str">
        <x:f t="shared" ca="1" si="129"/>
        <x:v/>
      </x:c>
      <x:c r="FY77" s="276" t="str">
        <x:f t="shared" ca="1" si="135"/>
        <x:v/>
      </x:c>
      <x:c r="FZ77" s="276" t="str">
        <x:f t="shared" ca="1" si="130"/>
        <x:v/>
      </x:c>
      <x:c r="GA77" s="276" t="str">
        <x:f t="shared" ca="1" si="136"/>
        <x:v/>
      </x:c>
      <x:c r="GB77" s="277" t="str">
        <x:f ca="1">IF(FY77="","",2+SUM(FO77:OFFSET(FO77,(FU77-1)*-1,0)))</x:f>
        <x:v/>
      </x:c>
      <x:c r="GC77" s="316" t="e">
        <x:f t="shared" si="131"/>
        <x:v>#N/A</x:v>
      </x:c>
      <x:c r="GD77" s="324" t="str">
        <x:f t="shared" si="111"/>
        <x:v/>
      </x:c>
      <x:c r="GE77" s="325" t="str">
        <x:f t="shared" si="112"/>
        <x:v/>
      </x:c>
      <x:c r="GF77" s="278" t="str">
        <x:f t="shared" si="113"/>
        <x:v/>
      </x:c>
      <x:c r="GG77" s="279" t="str">
        <x:f t="shared" si="114"/>
        <x:v/>
      </x:c>
      <x:c r="GH77" s="279" t="str">
        <x:f t="shared" si="115"/>
        <x:v/>
      </x:c>
      <x:c r="GI77" s="280" t="str">
        <x:f t="shared" si="116"/>
        <x:v/>
      </x:c>
      <x:c r="GJ77" s="326">
        <x:f t="shared" ca="1" si="117"/>
        <x:v>0</x:v>
      </x:c>
      <x:c r="GK77" s="913" t="str">
        <x:f t="shared" ca="1" si="118"/>
        <x:v/>
      </x:c>
    </x:row>
    <x:row r="78" spans="78:196" ht="12.6" hidden="1" customHeight="1" x14ac:dyDescent="0.2">
      <x:c r="BZ78" s="293"/>
      <x:c r="CA78" s="293"/>
      <x:c r="CB78" s="365" t="str">
        <x:f t="shared" si="137"/>
        <x:v/>
      </x:c>
      <x:c r="CC78" s="1304" t="str">
        <x:f>IF(CG38="","",VLOOKUP(CG38,SectInfo!$B:$N,12,FALSE))</x:f>
        <x:v/>
      </x:c>
      <x:c r="CD78" s="1305" t="str">
        <x:f>IF(ISBLANK(CN38),IF(CG38="","",VLOOKUP(CG38,SectInfo!$B:$N,13,FALSE)),CN38)</x:f>
        <x:v/>
      </x:c>
      <x:c r="CE78" s="1305" t="str">
        <x:f>IF(CG38="","",IF(VLOOKUP(CG38,SectInfo!$B:$N,5,FALSE)="","R",UPPER(VLOOKUP(CG38,SectInfo!$B:$N,5,FALSE))))</x:f>
        <x:v/>
      </x:c>
      <x:c r="CF78" s="1305" t="str">
        <x:f>IF(ISBLANK(CP38),IF(CG38="","",VLOOKUP(CG38,SectInfo!$B:$N,6,FALSE)),CP38)</x:f>
        <x:v/>
      </x:c>
      <x:c r="CG78" s="1305" t="str">
        <x:f>IF(CG38="","",IF(VLOOKUP(CG38,SectInfo!$B:$N,10,FALSE)="","",(VLOOKUP(CG38,SectInfo!$B:$N,10,FALSE)*-1)))</x:f>
        <x:v/>
      </x:c>
      <x:c r="CH78" s="1305" t="str">
        <x:f>IF(CG38="","",IF(VLOOKUP(CG38,SectInfo!$B:$N,7,FALSE)="","",(VLOOKUP(CG38,SectInfo!$B:$N,7,FALSE)*-1)))</x:f>
        <x:v/>
      </x:c>
      <x:c r="CI78" s="1305" t="str">
        <x:f>IF(CG38="","",IF(VLOOKUP(CG38,SectInfo!$B:$N,8,FALSE)="",$FC$4,(VLOOKUP(CG38,SectInfo!$B:$N,8,FALSE))))</x:f>
        <x:v/>
      </x:c>
      <x:c r="CJ78" s="1305" t="str">
        <x:f>IF(CG38="","",VLOOKUP(CG38,SectInfo!$B:$N,9,FALSE))</x:f>
        <x:v/>
      </x:c>
      <x:c r="CK78" s="1306">
        <x:f t="shared" si="138"/>
        <x:v>0</x:v>
      </x:c>
      <x:c r="CL78" s="1304" t="str">
        <x:f>IF(CQ38="","",VLOOKUP(CQ38,SectInfo!$B:$N,12,FALSE))</x:f>
        <x:v/>
      </x:c>
      <x:c r="CM78" s="1305" t="str">
        <x:f>IF(ISBLANK(CX38),IF(CQ38="","",VLOOKUP(CQ38,SectInfo!$B:$N,13,FALSE)),CX38)</x:f>
        <x:v/>
      </x:c>
      <x:c r="CN78" s="1305" t="str">
        <x:f>IF(CQ38="","",IF(VLOOKUP(CQ38,SectInfo!$B:$N,5,FALSE)="","R",UPPER(VLOOKUP(CQ38,SectInfo!$B:$N,5,FALSE))))</x:f>
        <x:v/>
      </x:c>
      <x:c r="CO78" s="1305" t="str">
        <x:f>IF(ISBLANK(CZ38),IF(CQ38="","",VLOOKUP(CQ38,SectInfo!$B:$N,6,FALSE)),CZ38)</x:f>
        <x:v/>
      </x:c>
      <x:c r="CP78" s="1305" t="str">
        <x:f>IF(CQ38="","",IF(VLOOKUP(CQ38,SectInfo!$B:$N,10,FALSE)="","",(VLOOKUP(CQ38,SectInfo!$B:$N,10,FALSE)*-1)))</x:f>
        <x:v/>
      </x:c>
      <x:c r="CQ78" s="367" t="str">
        <x:f>IF(CQ38="","",IF(VLOOKUP(CQ38,SectInfo!$B:$N,7,FALSE)="","",(VLOOKUP(CQ38,SectInfo!$B:$N,7,FALSE)*-1)))</x:f>
        <x:v/>
      </x:c>
      <x:c r="CR78" s="367" t="str">
        <x:f>IF(CQ38="","",IF(VLOOKUP(CQ38,SectInfo!$B:$N,8,FALSE)="",$FC$4,(VLOOKUP(CQ38,SectInfo!$B:$N,8,FALSE))))</x:f>
        <x:v/>
      </x:c>
      <x:c r="CS78" s="367" t="str">
        <x:f>IF(CQ38="","",VLOOKUP(CQ38,SectInfo!$B:$N,9,FALSE))</x:f>
        <x:v/>
      </x:c>
      <x:c r="CT78" s="368">
        <x:f t="shared" si="139"/>
        <x:v>0</x:v>
      </x:c>
      <x:c r="CU78" s="369">
        <x:f t="shared" si="140"/>
        <x:v>0</x:v>
      </x:c>
      <x:c r="CV78" s="274" t="str">
        <x:f t="shared" si="141"/>
        <x:v/>
      </x:c>
      <x:c r="CW78" s="274" t="str">
        <x:f t="shared" si="142"/>
        <x:v/>
      </x:c>
      <x:c r="CX78" s="873" t="str">
        <x:f t="shared" si="143"/>
        <x:v/>
      </x:c>
      <x:c r="CY78" s="874">
        <x:f t="shared" si="144"/>
        <x:v>0</x:v>
      </x:c>
      <x:c r="CZ78" s="874">
        <x:f t="shared" si="145"/>
        <x:v>0</x:v>
      </x:c>
      <x:c r="DA78" s="874" t="str">
        <x:f t="shared" si="146"/>
        <x:v/>
      </x:c>
      <x:c r="DB78" s="1310" t="str">
        <x:f t="shared" si="182"/>
        <x:v/>
      </x:c>
      <x:c r="DC78" s="1310" t="str">
        <x:f t="shared" si="147"/>
        <x:v/>
      </x:c>
      <x:c r="DD78" s="1311">
        <x:f t="shared" si="183"/>
        <x:v>0</x:v>
      </x:c>
      <x:c r="DE78" s="1310">
        <x:f t="shared" si="148"/>
        <x:v>0</x:v>
      </x:c>
      <x:c r="DF78" s="1312">
        <x:f t="shared" si="149"/>
        <x:v>0</x:v>
      </x:c>
      <x:c r="DG78" s="1312" t="str">
        <x:f t="shared" si="150"/>
        <x:v/>
      </x:c>
      <x:c r="DH78" s="1310" t="str">
        <x:f t="shared" si="184"/>
        <x:v/>
      </x:c>
      <x:c r="DI78" s="1310" t="str">
        <x:f t="shared" si="151"/>
        <x:v/>
      </x:c>
      <x:c r="DJ78" s="1311">
        <x:f t="shared" si="185"/>
        <x:v>0</x:v>
      </x:c>
      <x:c r="DK78" s="1310" t="str">
        <x:f t="shared" si="186"/>
        <x:v/>
      </x:c>
      <x:c r="DL78" s="1310" t="str">
        <x:f t="shared" si="187"/>
        <x:v/>
      </x:c>
      <x:c r="DM78" s="1310" t="str">
        <x:f t="shared" si="152"/>
        <x:v/>
      </x:c>
      <x:c r="DN78" s="1310" t="str">
        <x:f t="shared" si="153"/>
        <x:v/>
      </x:c>
      <x:c r="DO78" s="889" t="str">
        <x:f t="shared" si="154"/>
        <x:v>ERR</x:v>
      </x:c>
      <x:c r="DP78" s="889" t="str">
        <x:f t="shared" si="155"/>
        <x:v>ERR</x:v>
      </x:c>
      <x:c r="DQ78" s="1310" t="str">
        <x:f t="shared" si="188"/>
        <x:v/>
      </x:c>
      <x:c r="DR78" s="1310" t="str">
        <x:f t="shared" si="188"/>
        <x:v/>
      </x:c>
      <x:c r="DS78" s="1310" t="str">
        <x:f t="shared" si="189"/>
        <x:v/>
      </x:c>
      <x:c r="DT78" s="1310" t="str">
        <x:f t="shared" si="156"/>
        <x:v/>
      </x:c>
      <x:c r="DU78" s="1310" t="str">
        <x:f t="shared" si="157"/>
        <x:v/>
      </x:c>
      <x:c r="DV78" s="889" t="str">
        <x:f t="shared" si="158"/>
        <x:v>ERR</x:v>
      </x:c>
      <x:c r="DW78" s="889" t="str">
        <x:f t="shared" si="159"/>
        <x:v>ERR</x:v>
      </x:c>
      <x:c r="DX78" s="873" t="str">
        <x:f t="shared" si="190"/>
        <x:v/>
      </x:c>
      <x:c r="DY78" s="873" t="str">
        <x:f t="shared" si="190"/>
        <x:v/>
      </x:c>
      <x:c r="DZ78" s="873" t="str">
        <x:f t="shared" si="199"/>
        <x:v/>
      </x:c>
      <x:c r="EA78" s="873" t="str">
        <x:f t="shared" si="200"/>
        <x:v/>
      </x:c>
      <x:c r="EB78" s="876" t="str">
        <x:f t="shared" si="160"/>
        <x:v/>
      </x:c>
      <x:c r="EC78" s="877" t="str">
        <x:f t="shared" si="191"/>
        <x:v/>
      </x:c>
      <x:c r="ED78" s="876" t="str">
        <x:f t="shared" si="161"/>
        <x:v/>
      </x:c>
      <x:c r="EE78" s="876" t="str">
        <x:f t="shared" si="162"/>
        <x:v/>
      </x:c>
      <x:c r="EF78" s="876" t="str">
        <x:f t="shared" si="163"/>
        <x:v/>
      </x:c>
      <x:c r="EG78" s="876" t="str">
        <x:f t="shared" si="164"/>
        <x:v/>
      </x:c>
      <x:c r="EH78" s="876" t="str">
        <x:f t="shared" si="165"/>
        <x:v/>
      </x:c>
      <x:c r="EI78" s="876" t="str">
        <x:f t="shared" si="166"/>
        <x:v/>
      </x:c>
      <x:c r="EJ78" s="876" t="str">
        <x:f t="shared" si="167"/>
        <x:v/>
      </x:c>
      <x:c r="EK78" s="874">
        <x:f t="shared" si="192"/>
        <x:v>0</x:v>
      </x:c>
      <x:c r="EL78" s="874">
        <x:f t="shared" si="193"/>
        <x:v>0</x:v>
      </x:c>
      <x:c r="EM78" s="874">
        <x:f t="shared" si="168"/>
        <x:v>0</x:v>
      </x:c>
      <x:c r="EN78" s="874" t="str">
        <x:f t="shared" si="169"/>
        <x:v/>
      </x:c>
      <x:c r="EO78" s="873" t="str">
        <x:f t="shared" si="194"/>
        <x:v/>
      </x:c>
      <x:c r="EP78" s="874">
        <x:f t="shared" si="195"/>
        <x:v>0</x:v>
      </x:c>
      <x:c r="EQ78" s="874">
        <x:f t="shared" si="196"/>
        <x:v>0</x:v>
      </x:c>
      <x:c r="ER78" s="874">
        <x:f t="shared" si="170"/>
        <x:v>0</x:v>
      </x:c>
      <x:c r="ES78" s="874" t="str">
        <x:f t="shared" si="171"/>
        <x:v/>
      </x:c>
      <x:c r="ET78" s="873" t="str">
        <x:f t="shared" si="197"/>
        <x:v/>
      </x:c>
      <x:c r="EU78" s="873">
        <x:f t="shared" si="172"/>
        <x:v>0</x:v>
      </x:c>
      <x:c r="EV78" s="876" t="e">
        <x:f t="shared" si="173"/>
        <x:v>#VALUE!</x:v>
      </x:c>
      <x:c r="EW78" s="876" t="e">
        <x:f t="shared" si="174"/>
        <x:v>#VALUE!</x:v>
      </x:c>
      <x:c r="EX78" s="942" t="str">
        <x:f t="shared" si="175"/>
        <x:v/>
      </x:c>
      <x:c r="EY78" s="879">
        <x:f t="shared" si="198"/>
        <x:v>25</x:v>
      </x:c>
      <x:c r="EZ78" s="959">
        <x:f t="shared" si="176"/>
        <x:v>0</x:v>
      </x:c>
      <x:c r="FA78" s="960">
        <x:f t="shared" si="177"/>
        <x:v>0</x:v>
      </x:c>
      <x:c r="FB78" s="880" t="str">
        <x:f t="shared" si="178"/>
        <x:v/>
      </x:c>
      <x:c r="FC78" s="881" t="str">
        <x:f t="shared" si="179"/>
        <x:v/>
      </x:c>
      <x:c r="FD78" s="512">
        <x:f t="shared" si="180"/>
        <x:v>0</x:v>
      </x:c>
      <x:c r="FE78" s="513">
        <x:f t="shared" si="181"/>
        <x:v>0</x:v>
      </x:c>
      <x:c r="FF78" s="754" t="b">
        <x:f t="shared" si="106"/>
        <x:v>0</x:v>
      </x:c>
      <x:c r="FG78" s="754" t="b">
        <x:f t="shared" si="107"/>
        <x:v>0</x:v>
      </x:c>
      <x:c r="FH78" s="754" t="b">
        <x:f t="shared" si="108"/>
        <x:v>0</x:v>
      </x:c>
      <x:c r="FI78" s="917" t="b">
        <x:f t="shared" si="109"/>
        <x:v>0</x:v>
      </x:c>
      <x:c r="FJ78" s="920" t="str">
        <x:f t="shared" si="119"/>
        <x:v/>
      </x:c>
      <x:c r="FK78" s="919" t="str">
        <x:f t="shared" si="120"/>
        <x:v/>
      </x:c>
      <x:c r="FL78" s="320" t="e">
        <x:f t="shared" si="121"/>
        <x:v>#N/A</x:v>
      </x:c>
      <x:c r="FM78" s="312" t="str">
        <x:f t="shared" si="110"/>
        <x:v/>
      </x:c>
      <x:c r="FN78" s="272" t="str">
        <x:f t="shared" ca="1" si="122"/>
        <x:v/>
      </x:c>
      <x:c r="FO78" s="273" t="str">
        <x:f t="shared" ca="1" si="123"/>
        <x:v/>
      </x:c>
      <x:c r="FP78" s="274" t="str">
        <x:f t="shared" ca="1" si="124"/>
        <x:v/>
      </x:c>
      <x:c r="FQ78" s="274" t="str">
        <x:f t="shared" ca="1" si="125"/>
        <x:v/>
      </x:c>
      <x:c r="FR78" s="321">
        <x:f t="shared" ca="1" si="126"/>
        <x:v>0</x:v>
      </x:c>
      <x:c r="FS78" s="322">
        <x:f t="shared" ca="1" si="127"/>
        <x:v>0</x:v>
      </x:c>
      <x:c r="FT78" s="272" t="str">
        <x:f t="shared" ca="1" si="132"/>
        <x:v/>
      </x:c>
      <x:c r="FU78" s="275" t="str">
        <x:f t="shared" ca="1" si="133"/>
        <x:v/>
      </x:c>
      <x:c r="FV78" s="323" t="str">
        <x:f t="shared" ca="1" si="134"/>
        <x:v/>
      </x:c>
      <x:c r="FW78" s="276" t="str">
        <x:f t="shared" ca="1" si="128"/>
        <x:v/>
      </x:c>
      <x:c r="FX78" s="276" t="str">
        <x:f t="shared" ca="1" si="129"/>
        <x:v/>
      </x:c>
      <x:c r="FY78" s="276" t="str">
        <x:f t="shared" ca="1" si="135"/>
        <x:v/>
      </x:c>
      <x:c r="FZ78" s="276" t="str">
        <x:f t="shared" ca="1" si="130"/>
        <x:v/>
      </x:c>
      <x:c r="GA78" s="276" t="str">
        <x:f t="shared" ca="1" si="136"/>
        <x:v/>
      </x:c>
      <x:c r="GB78" s="277" t="str">
        <x:f ca="1">IF(FY78="","",2+SUM(FO78:OFFSET(FO78,(FU78-1)*-1,0)))</x:f>
        <x:v/>
      </x:c>
      <x:c r="GC78" s="316" t="e">
        <x:f t="shared" si="131"/>
        <x:v>#N/A</x:v>
      </x:c>
      <x:c r="GD78" s="324" t="str">
        <x:f t="shared" si="111"/>
        <x:v/>
      </x:c>
      <x:c r="GE78" s="325" t="str">
        <x:f t="shared" si="112"/>
        <x:v/>
      </x:c>
      <x:c r="GF78" s="278" t="str">
        <x:f t="shared" si="113"/>
        <x:v/>
      </x:c>
      <x:c r="GG78" s="279" t="str">
        <x:f t="shared" si="114"/>
        <x:v/>
      </x:c>
      <x:c r="GH78" s="279" t="str">
        <x:f t="shared" si="115"/>
        <x:v/>
      </x:c>
      <x:c r="GI78" s="280" t="str">
        <x:f t="shared" si="116"/>
        <x:v/>
      </x:c>
      <x:c r="GJ78" s="326">
        <x:f t="shared" ca="1" si="117"/>
        <x:v>0</x:v>
      </x:c>
      <x:c r="GK78" s="913" t="str">
        <x:f t="shared" ca="1" si="118"/>
        <x:v/>
      </x:c>
    </x:row>
    <x:row r="79" spans="78:196" ht="12.6" hidden="1" customHeight="1" x14ac:dyDescent="0.2">
      <x:c r="BZ79" s="293"/>
      <x:c r="CA79" s="293"/>
      <x:c r="CB79" s="365" t="str">
        <x:f t="shared" si="137"/>
        <x:v/>
      </x:c>
      <x:c r="CC79" s="1304" t="str">
        <x:f>IF(CG39="","",VLOOKUP(CG39,SectInfo!$B:$N,12,FALSE))</x:f>
        <x:v/>
      </x:c>
      <x:c r="CD79" s="1305" t="str">
        <x:f>IF(ISBLANK(CN39),IF(CG39="","",VLOOKUP(CG39,SectInfo!$B:$N,13,FALSE)),CN39)</x:f>
        <x:v/>
      </x:c>
      <x:c r="CE79" s="1305" t="str">
        <x:f>IF(CG39="","",IF(VLOOKUP(CG39,SectInfo!$B:$N,5,FALSE)="","R",UPPER(VLOOKUP(CG39,SectInfo!$B:$N,5,FALSE))))</x:f>
        <x:v/>
      </x:c>
      <x:c r="CF79" s="1305" t="str">
        <x:f>IF(ISBLANK(CP39),IF(CG39="","",VLOOKUP(CG39,SectInfo!$B:$N,6,FALSE)),CP39)</x:f>
        <x:v/>
      </x:c>
      <x:c r="CG79" s="1305" t="str">
        <x:f>IF(CG39="","",IF(VLOOKUP(CG39,SectInfo!$B:$N,10,FALSE)="","",(VLOOKUP(CG39,SectInfo!$B:$N,10,FALSE)*-1)))</x:f>
        <x:v/>
      </x:c>
      <x:c r="CH79" s="1305" t="str">
        <x:f>IF(CG39="","",IF(VLOOKUP(CG39,SectInfo!$B:$N,7,FALSE)="","",(VLOOKUP(CG39,SectInfo!$B:$N,7,FALSE)*-1)))</x:f>
        <x:v/>
      </x:c>
      <x:c r="CI79" s="1305" t="str">
        <x:f>IF(CG39="","",IF(VLOOKUP(CG39,SectInfo!$B:$N,8,FALSE)="",$FC$4,(VLOOKUP(CG39,SectInfo!$B:$N,8,FALSE))))</x:f>
        <x:v/>
      </x:c>
      <x:c r="CJ79" s="1305" t="str">
        <x:f>IF(CG39="","",VLOOKUP(CG39,SectInfo!$B:$N,9,FALSE))</x:f>
        <x:v/>
      </x:c>
      <x:c r="CK79" s="1306">
        <x:f t="shared" si="138"/>
        <x:v>0</x:v>
      </x:c>
      <x:c r="CL79" s="1304" t="str">
        <x:f>IF(CQ39="","",VLOOKUP(CQ39,SectInfo!$B:$N,12,FALSE))</x:f>
        <x:v/>
      </x:c>
      <x:c r="CM79" s="1305" t="str">
        <x:f>IF(ISBLANK(CX39),IF(CQ39="","",VLOOKUP(CQ39,SectInfo!$B:$N,13,FALSE)),CX39)</x:f>
        <x:v/>
      </x:c>
      <x:c r="CN79" s="1305" t="str">
        <x:f>IF(CQ39="","",IF(VLOOKUP(CQ39,SectInfo!$B:$N,5,FALSE)="","R",UPPER(VLOOKUP(CQ39,SectInfo!$B:$N,5,FALSE))))</x:f>
        <x:v/>
      </x:c>
      <x:c r="CO79" s="1305" t="str">
        <x:f>IF(ISBLANK(CZ39),IF(CQ39="","",VLOOKUP(CQ39,SectInfo!$B:$N,6,FALSE)),CZ39)</x:f>
        <x:v/>
      </x:c>
      <x:c r="CP79" s="1305" t="str">
        <x:f>IF(CQ39="","",IF(VLOOKUP(CQ39,SectInfo!$B:$N,10,FALSE)="","",(VLOOKUP(CQ39,SectInfo!$B:$N,10,FALSE)*-1)))</x:f>
        <x:v/>
      </x:c>
      <x:c r="CQ79" s="367" t="str">
        <x:f>IF(CQ39="","",IF(VLOOKUP(CQ39,SectInfo!$B:$N,7,FALSE)="","",(VLOOKUP(CQ39,SectInfo!$B:$N,7,FALSE)*-1)))</x:f>
        <x:v/>
      </x:c>
      <x:c r="CR79" s="367" t="str">
        <x:f>IF(CQ39="","",IF(VLOOKUP(CQ39,SectInfo!$B:$N,8,FALSE)="",$FC$4,(VLOOKUP(CQ39,SectInfo!$B:$N,8,FALSE))))</x:f>
        <x:v/>
      </x:c>
      <x:c r="CS79" s="367" t="str">
        <x:f>IF(CQ39="","",VLOOKUP(CQ39,SectInfo!$B:$N,9,FALSE))</x:f>
        <x:v/>
      </x:c>
      <x:c r="CT79" s="368">
        <x:f t="shared" si="139"/>
        <x:v>0</x:v>
      </x:c>
      <x:c r="CU79" s="369">
        <x:f t="shared" si="140"/>
        <x:v>0</x:v>
      </x:c>
      <x:c r="CV79" s="274" t="str">
        <x:f t="shared" si="141"/>
        <x:v/>
      </x:c>
      <x:c r="CW79" s="274" t="str">
        <x:f t="shared" si="142"/>
        <x:v/>
      </x:c>
      <x:c r="CX79" s="873" t="str">
        <x:f t="shared" si="143"/>
        <x:v/>
      </x:c>
      <x:c r="CY79" s="874">
        <x:f t="shared" si="144"/>
        <x:v>0</x:v>
      </x:c>
      <x:c r="CZ79" s="874">
        <x:f t="shared" si="145"/>
        <x:v>0</x:v>
      </x:c>
      <x:c r="DA79" s="874" t="str">
        <x:f t="shared" si="146"/>
        <x:v/>
      </x:c>
      <x:c r="DB79" s="1310" t="str">
        <x:f t="shared" si="182"/>
        <x:v/>
      </x:c>
      <x:c r="DC79" s="1310" t="str">
        <x:f t="shared" si="147"/>
        <x:v/>
      </x:c>
      <x:c r="DD79" s="1311">
        <x:f t="shared" si="183"/>
        <x:v>0</x:v>
      </x:c>
      <x:c r="DE79" s="1310">
        <x:f t="shared" si="148"/>
        <x:v>0</x:v>
      </x:c>
      <x:c r="DF79" s="1312">
        <x:f t="shared" si="149"/>
        <x:v>0</x:v>
      </x:c>
      <x:c r="DG79" s="1312" t="str">
        <x:f t="shared" si="150"/>
        <x:v/>
      </x:c>
      <x:c r="DH79" s="1310" t="str">
        <x:f t="shared" si="184"/>
        <x:v/>
      </x:c>
      <x:c r="DI79" s="1310" t="str">
        <x:f t="shared" si="151"/>
        <x:v/>
      </x:c>
      <x:c r="DJ79" s="1311">
        <x:f t="shared" si="185"/>
        <x:v>0</x:v>
      </x:c>
      <x:c r="DK79" s="1310" t="str">
        <x:f t="shared" si="186"/>
        <x:v/>
      </x:c>
      <x:c r="DL79" s="1310" t="str">
        <x:f t="shared" si="187"/>
        <x:v/>
      </x:c>
      <x:c r="DM79" s="1310" t="str">
        <x:f t="shared" si="152"/>
        <x:v/>
      </x:c>
      <x:c r="DN79" s="1310" t="str">
        <x:f t="shared" si="153"/>
        <x:v/>
      </x:c>
      <x:c r="DO79" s="889" t="str">
        <x:f t="shared" si="154"/>
        <x:v>ERR</x:v>
      </x:c>
      <x:c r="DP79" s="889" t="str">
        <x:f t="shared" si="155"/>
        <x:v>ERR</x:v>
      </x:c>
      <x:c r="DQ79" s="1310" t="str">
        <x:f t="shared" si="188"/>
        <x:v/>
      </x:c>
      <x:c r="DR79" s="1310" t="str">
        <x:f t="shared" si="188"/>
        <x:v/>
      </x:c>
      <x:c r="DS79" s="1310" t="str">
        <x:f t="shared" si="189"/>
        <x:v/>
      </x:c>
      <x:c r="DT79" s="1310" t="str">
        <x:f t="shared" si="156"/>
        <x:v/>
      </x:c>
      <x:c r="DU79" s="1310" t="str">
        <x:f t="shared" si="157"/>
        <x:v/>
      </x:c>
      <x:c r="DV79" s="889" t="str">
        <x:f t="shared" si="158"/>
        <x:v>ERR</x:v>
      </x:c>
      <x:c r="DW79" s="889" t="str">
        <x:f t="shared" si="159"/>
        <x:v>ERR</x:v>
      </x:c>
      <x:c r="DX79" s="873" t="str">
        <x:f t="shared" si="190"/>
        <x:v/>
      </x:c>
      <x:c r="DY79" s="873" t="str">
        <x:f t="shared" si="190"/>
        <x:v/>
      </x:c>
      <x:c r="DZ79" s="873" t="str">
        <x:f t="shared" si="199"/>
        <x:v/>
      </x:c>
      <x:c r="EA79" s="873" t="str">
        <x:f t="shared" si="200"/>
        <x:v/>
      </x:c>
      <x:c r="EB79" s="876" t="str">
        <x:f t="shared" si="160"/>
        <x:v/>
      </x:c>
      <x:c r="EC79" s="877" t="str">
        <x:f t="shared" si="191"/>
        <x:v/>
      </x:c>
      <x:c r="ED79" s="876" t="str">
        <x:f t="shared" si="161"/>
        <x:v/>
      </x:c>
      <x:c r="EE79" s="876" t="str">
        <x:f t="shared" si="162"/>
        <x:v/>
      </x:c>
      <x:c r="EF79" s="876" t="str">
        <x:f t="shared" si="163"/>
        <x:v/>
      </x:c>
      <x:c r="EG79" s="876" t="str">
        <x:f t="shared" si="164"/>
        <x:v/>
      </x:c>
      <x:c r="EH79" s="876" t="str">
        <x:f t="shared" si="165"/>
        <x:v/>
      </x:c>
      <x:c r="EI79" s="876" t="str">
        <x:f t="shared" si="166"/>
        <x:v/>
      </x:c>
      <x:c r="EJ79" s="876" t="str">
        <x:f t="shared" si="167"/>
        <x:v/>
      </x:c>
      <x:c r="EK79" s="874">
        <x:f t="shared" si="192"/>
        <x:v>0</x:v>
      </x:c>
      <x:c r="EL79" s="874">
        <x:f t="shared" si="193"/>
        <x:v>0</x:v>
      </x:c>
      <x:c r="EM79" s="874">
        <x:f t="shared" si="168"/>
        <x:v>0</x:v>
      </x:c>
      <x:c r="EN79" s="874" t="str">
        <x:f t="shared" si="169"/>
        <x:v/>
      </x:c>
      <x:c r="EO79" s="873" t="str">
        <x:f t="shared" si="194"/>
        <x:v/>
      </x:c>
      <x:c r="EP79" s="874">
        <x:f t="shared" si="195"/>
        <x:v>0</x:v>
      </x:c>
      <x:c r="EQ79" s="874">
        <x:f t="shared" si="196"/>
        <x:v>0</x:v>
      </x:c>
      <x:c r="ER79" s="874">
        <x:f t="shared" si="170"/>
        <x:v>0</x:v>
      </x:c>
      <x:c r="ES79" s="874" t="str">
        <x:f t="shared" si="171"/>
        <x:v/>
      </x:c>
      <x:c r="ET79" s="873" t="str">
        <x:f t="shared" si="197"/>
        <x:v/>
      </x:c>
      <x:c r="EU79" s="873">
        <x:f t="shared" si="172"/>
        <x:v>0</x:v>
      </x:c>
      <x:c r="EV79" s="876" t="e">
        <x:f t="shared" si="173"/>
        <x:v>#VALUE!</x:v>
      </x:c>
      <x:c r="EW79" s="876" t="e">
        <x:f t="shared" si="174"/>
        <x:v>#VALUE!</x:v>
      </x:c>
      <x:c r="EX79" s="942" t="str">
        <x:f t="shared" si="175"/>
        <x:v/>
      </x:c>
      <x:c r="EY79" s="879">
        <x:f t="shared" si="198"/>
        <x:v>25</x:v>
      </x:c>
      <x:c r="EZ79" s="959">
        <x:f t="shared" si="176"/>
        <x:v>0</x:v>
      </x:c>
      <x:c r="FA79" s="960">
        <x:f t="shared" si="177"/>
        <x:v>0</x:v>
      </x:c>
      <x:c r="FB79" s="880" t="str">
        <x:f t="shared" si="178"/>
        <x:v/>
      </x:c>
      <x:c r="FC79" s="881" t="str">
        <x:f t="shared" si="179"/>
        <x:v/>
      </x:c>
      <x:c r="FD79" s="512">
        <x:f t="shared" si="180"/>
        <x:v>0</x:v>
      </x:c>
      <x:c r="FE79" s="513">
        <x:f t="shared" si="181"/>
        <x:v>0</x:v>
      </x:c>
      <x:c r="FF79" s="754" t="b">
        <x:f t="shared" si="106"/>
        <x:v>0</x:v>
      </x:c>
      <x:c r="FG79" s="754" t="b">
        <x:f t="shared" si="107"/>
        <x:v>0</x:v>
      </x:c>
      <x:c r="FH79" s="754" t="b">
        <x:f t="shared" si="108"/>
        <x:v>0</x:v>
      </x:c>
      <x:c r="FI79" s="917" t="b">
        <x:f t="shared" si="109"/>
        <x:v>0</x:v>
      </x:c>
      <x:c r="FJ79" s="920" t="str">
        <x:f t="shared" si="119"/>
        <x:v/>
      </x:c>
      <x:c r="FK79" s="919" t="str">
        <x:f t="shared" si="120"/>
        <x:v/>
      </x:c>
      <x:c r="FL79" s="320" t="e">
        <x:f t="shared" si="121"/>
        <x:v>#N/A</x:v>
      </x:c>
      <x:c r="FM79" s="312" t="str">
        <x:f t="shared" si="110"/>
        <x:v/>
      </x:c>
      <x:c r="FN79" s="272" t="str">
        <x:f t="shared" ca="1" si="122"/>
        <x:v/>
      </x:c>
      <x:c r="FO79" s="273" t="str">
        <x:f t="shared" ca="1" si="123"/>
        <x:v/>
      </x:c>
      <x:c r="FP79" s="274" t="str">
        <x:f t="shared" ca="1" si="124"/>
        <x:v/>
      </x:c>
      <x:c r="FQ79" s="274" t="str">
        <x:f t="shared" ca="1" si="125"/>
        <x:v/>
      </x:c>
      <x:c r="FR79" s="321">
        <x:f t="shared" ca="1" si="126"/>
        <x:v>0</x:v>
      </x:c>
      <x:c r="FS79" s="322">
        <x:f t="shared" ca="1" si="127"/>
        <x:v>0</x:v>
      </x:c>
      <x:c r="FT79" s="272" t="str">
        <x:f t="shared" ca="1" si="132"/>
        <x:v/>
      </x:c>
      <x:c r="FU79" s="275" t="str">
        <x:f t="shared" ca="1" si="133"/>
        <x:v/>
      </x:c>
      <x:c r="FV79" s="323" t="str">
        <x:f t="shared" ca="1" si="134"/>
        <x:v/>
      </x:c>
      <x:c r="FW79" s="276" t="str">
        <x:f t="shared" ca="1" si="128"/>
        <x:v/>
      </x:c>
      <x:c r="FX79" s="276" t="str">
        <x:f t="shared" ca="1" si="129"/>
        <x:v/>
      </x:c>
      <x:c r="FY79" s="276" t="str">
        <x:f t="shared" ca="1" si="135"/>
        <x:v/>
      </x:c>
      <x:c r="FZ79" s="276" t="str">
        <x:f t="shared" ca="1" si="130"/>
        <x:v/>
      </x:c>
      <x:c r="GA79" s="276" t="str">
        <x:f t="shared" ca="1" si="136"/>
        <x:v/>
      </x:c>
      <x:c r="GB79" s="277" t="str">
        <x:f ca="1">IF(FY79="","",2+SUM(FO79:OFFSET(FO79,(FU79-1)*-1,0)))</x:f>
        <x:v/>
      </x:c>
      <x:c r="GC79" s="316" t="e">
        <x:f t="shared" si="131"/>
        <x:v>#N/A</x:v>
      </x:c>
      <x:c r="GD79" s="324" t="str">
        <x:f t="shared" si="111"/>
        <x:v/>
      </x:c>
      <x:c r="GE79" s="325" t="str">
        <x:f t="shared" si="112"/>
        <x:v/>
      </x:c>
      <x:c r="GF79" s="278" t="str">
        <x:f t="shared" si="113"/>
        <x:v/>
      </x:c>
      <x:c r="GG79" s="279" t="str">
        <x:f t="shared" si="114"/>
        <x:v/>
      </x:c>
      <x:c r="GH79" s="279" t="str">
        <x:f t="shared" si="115"/>
        <x:v/>
      </x:c>
      <x:c r="GI79" s="280" t="str">
        <x:f t="shared" si="116"/>
        <x:v/>
      </x:c>
      <x:c r="GJ79" s="326">
        <x:f t="shared" ca="1" si="117"/>
        <x:v>0</x:v>
      </x:c>
      <x:c r="GK79" s="913" t="str">
        <x:f t="shared" ca="1" si="118"/>
        <x:v/>
      </x:c>
    </x:row>
    <x:row r="80" spans="78:196" ht="12.6" hidden="1" customHeight="1" x14ac:dyDescent="0.2">
      <x:c r="BZ80" s="293"/>
      <x:c r="CA80" s="293"/>
      <x:c r="CB80" s="365" t="str">
        <x:f t="shared" si="137"/>
        <x:v/>
      </x:c>
      <x:c r="CC80" s="1304" t="str">
        <x:f>IF(CG40="","",VLOOKUP(CG40,SectInfo!$B:$N,12,FALSE))</x:f>
        <x:v/>
      </x:c>
      <x:c r="CD80" s="1305" t="str">
        <x:f>IF(ISBLANK(CN40),IF(CG40="","",VLOOKUP(CG40,SectInfo!$B:$N,13,FALSE)),CN40)</x:f>
        <x:v/>
      </x:c>
      <x:c r="CE80" s="1305" t="str">
        <x:f>IF(CG40="","",IF(VLOOKUP(CG40,SectInfo!$B:$N,5,FALSE)="","R",UPPER(VLOOKUP(CG40,SectInfo!$B:$N,5,FALSE))))</x:f>
        <x:v/>
      </x:c>
      <x:c r="CF80" s="1305" t="str">
        <x:f>IF(ISBLANK(CP40),IF(CG40="","",VLOOKUP(CG40,SectInfo!$B:$N,6,FALSE)),CP40)</x:f>
        <x:v/>
      </x:c>
      <x:c r="CG80" s="1305" t="str">
        <x:f>IF(CG40="","",IF(VLOOKUP(CG40,SectInfo!$B:$N,10,FALSE)="","",(VLOOKUP(CG40,SectInfo!$B:$N,10,FALSE)*-1)))</x:f>
        <x:v/>
      </x:c>
      <x:c r="CH80" s="1305" t="str">
        <x:f>IF(CG40="","",IF(VLOOKUP(CG40,SectInfo!$B:$N,7,FALSE)="","",(VLOOKUP(CG40,SectInfo!$B:$N,7,FALSE)*-1)))</x:f>
        <x:v/>
      </x:c>
      <x:c r="CI80" s="1305" t="str">
        <x:f>IF(CG40="","",IF(VLOOKUP(CG40,SectInfo!$B:$N,8,FALSE)="",$FC$4,(VLOOKUP(CG40,SectInfo!$B:$N,8,FALSE))))</x:f>
        <x:v/>
      </x:c>
      <x:c r="CJ80" s="1305" t="str">
        <x:f>IF(CG40="","",VLOOKUP(CG40,SectInfo!$B:$N,9,FALSE))</x:f>
        <x:v/>
      </x:c>
      <x:c r="CK80" s="1306">
        <x:f t="shared" si="138"/>
        <x:v>0</x:v>
      </x:c>
      <x:c r="CL80" s="1304" t="str">
        <x:f>IF(CQ40="","",VLOOKUP(CQ40,SectInfo!$B:$N,12,FALSE))</x:f>
        <x:v/>
      </x:c>
      <x:c r="CM80" s="1305" t="str">
        <x:f>IF(ISBLANK(CX40),IF(CQ40="","",VLOOKUP(CQ40,SectInfo!$B:$N,13,FALSE)),CX40)</x:f>
        <x:v/>
      </x:c>
      <x:c r="CN80" s="1305" t="str">
        <x:f>IF(CQ40="","",IF(VLOOKUP(CQ40,SectInfo!$B:$N,5,FALSE)="","R",UPPER(VLOOKUP(CQ40,SectInfo!$B:$N,5,FALSE))))</x:f>
        <x:v/>
      </x:c>
      <x:c r="CO80" s="1305" t="str">
        <x:f>IF(ISBLANK(CZ40),IF(CQ40="","",VLOOKUP(CQ40,SectInfo!$B:$N,6,FALSE)),CZ40)</x:f>
        <x:v/>
      </x:c>
      <x:c r="CP80" s="1305" t="str">
        <x:f>IF(CQ40="","",IF(VLOOKUP(CQ40,SectInfo!$B:$N,10,FALSE)="","",(VLOOKUP(CQ40,SectInfo!$B:$N,10,FALSE)*-1)))</x:f>
        <x:v/>
      </x:c>
      <x:c r="CQ80" s="367" t="str">
        <x:f>IF(CQ40="","",IF(VLOOKUP(CQ40,SectInfo!$B:$N,7,FALSE)="","",(VLOOKUP(CQ40,SectInfo!$B:$N,7,FALSE)*-1)))</x:f>
        <x:v/>
      </x:c>
      <x:c r="CR80" s="367" t="str">
        <x:f>IF(CQ40="","",IF(VLOOKUP(CQ40,SectInfo!$B:$N,8,FALSE)="",$FC$4,(VLOOKUP(CQ40,SectInfo!$B:$N,8,FALSE))))</x:f>
        <x:v/>
      </x:c>
      <x:c r="CS80" s="367" t="str">
        <x:f>IF(CQ40="","",VLOOKUP(CQ40,SectInfo!$B:$N,9,FALSE))</x:f>
        <x:v/>
      </x:c>
      <x:c r="CT80" s="368">
        <x:f t="shared" si="139"/>
        <x:v>0</x:v>
      </x:c>
      <x:c r="CU80" s="369">
        <x:f t="shared" si="140"/>
        <x:v>0</x:v>
      </x:c>
      <x:c r="CV80" s="274" t="str">
        <x:f t="shared" si="141"/>
        <x:v/>
      </x:c>
      <x:c r="CW80" s="274" t="str">
        <x:f t="shared" si="142"/>
        <x:v/>
      </x:c>
      <x:c r="CX80" s="873" t="str">
        <x:f t="shared" si="143"/>
        <x:v/>
      </x:c>
      <x:c r="CY80" s="874">
        <x:f t="shared" si="144"/>
        <x:v>0</x:v>
      </x:c>
      <x:c r="CZ80" s="874">
        <x:f t="shared" si="145"/>
        <x:v>0</x:v>
      </x:c>
      <x:c r="DA80" s="874" t="str">
        <x:f t="shared" si="146"/>
        <x:v/>
      </x:c>
      <x:c r="DB80" s="1310" t="str">
        <x:f t="shared" si="182"/>
        <x:v/>
      </x:c>
      <x:c r="DC80" s="1310" t="str">
        <x:f t="shared" si="147"/>
        <x:v/>
      </x:c>
      <x:c r="DD80" s="1311">
        <x:f t="shared" si="183"/>
        <x:v>0</x:v>
      </x:c>
      <x:c r="DE80" s="1310">
        <x:f t="shared" si="148"/>
        <x:v>0</x:v>
      </x:c>
      <x:c r="DF80" s="1312">
        <x:f t="shared" si="149"/>
        <x:v>0</x:v>
      </x:c>
      <x:c r="DG80" s="1312" t="str">
        <x:f t="shared" si="150"/>
        <x:v/>
      </x:c>
      <x:c r="DH80" s="1310" t="str">
        <x:f t="shared" si="184"/>
        <x:v/>
      </x:c>
      <x:c r="DI80" s="1310" t="str">
        <x:f t="shared" si="151"/>
        <x:v/>
      </x:c>
      <x:c r="DJ80" s="1311">
        <x:f t="shared" si="185"/>
        <x:v>0</x:v>
      </x:c>
      <x:c r="DK80" s="1310" t="str">
        <x:f t="shared" si="186"/>
        <x:v/>
      </x:c>
      <x:c r="DL80" s="1310" t="str">
        <x:f t="shared" si="187"/>
        <x:v/>
      </x:c>
      <x:c r="DM80" s="1310" t="str">
        <x:f t="shared" si="152"/>
        <x:v/>
      </x:c>
      <x:c r="DN80" s="1310" t="str">
        <x:f t="shared" si="153"/>
        <x:v/>
      </x:c>
      <x:c r="DO80" s="889" t="str">
        <x:f t="shared" si="154"/>
        <x:v>ERR</x:v>
      </x:c>
      <x:c r="DP80" s="889" t="str">
        <x:f t="shared" si="155"/>
        <x:v>ERR</x:v>
      </x:c>
      <x:c r="DQ80" s="1310" t="str">
        <x:f t="shared" si="188"/>
        <x:v/>
      </x:c>
      <x:c r="DR80" s="1310" t="str">
        <x:f t="shared" si="188"/>
        <x:v/>
      </x:c>
      <x:c r="DS80" s="1310" t="str">
        <x:f t="shared" si="189"/>
        <x:v/>
      </x:c>
      <x:c r="DT80" s="1310" t="str">
        <x:f t="shared" si="156"/>
        <x:v/>
      </x:c>
      <x:c r="DU80" s="1310" t="str">
        <x:f t="shared" si="157"/>
        <x:v/>
      </x:c>
      <x:c r="DV80" s="889" t="str">
        <x:f t="shared" si="158"/>
        <x:v>ERR</x:v>
      </x:c>
      <x:c r="DW80" s="889" t="str">
        <x:f t="shared" si="159"/>
        <x:v>ERR</x:v>
      </x:c>
      <x:c r="DX80" s="873" t="str">
        <x:f t="shared" si="190"/>
        <x:v/>
      </x:c>
      <x:c r="DY80" s="873" t="str">
        <x:f t="shared" si="190"/>
        <x:v/>
      </x:c>
      <x:c r="DZ80" s="873" t="str">
        <x:f t="shared" si="199"/>
        <x:v/>
      </x:c>
      <x:c r="EA80" s="873" t="str">
        <x:f t="shared" si="200"/>
        <x:v/>
      </x:c>
      <x:c r="EB80" s="876" t="str">
        <x:f t="shared" si="160"/>
        <x:v/>
      </x:c>
      <x:c r="EC80" s="877" t="str">
        <x:f t="shared" si="191"/>
        <x:v/>
      </x:c>
      <x:c r="ED80" s="876" t="str">
        <x:f t="shared" si="161"/>
        <x:v/>
      </x:c>
      <x:c r="EE80" s="876" t="str">
        <x:f t="shared" si="162"/>
        <x:v/>
      </x:c>
      <x:c r="EF80" s="876" t="str">
        <x:f t="shared" si="163"/>
        <x:v/>
      </x:c>
      <x:c r="EG80" s="876" t="str">
        <x:f t="shared" si="164"/>
        <x:v/>
      </x:c>
      <x:c r="EH80" s="876" t="str">
        <x:f t="shared" si="165"/>
        <x:v/>
      </x:c>
      <x:c r="EI80" s="876" t="str">
        <x:f t="shared" si="166"/>
        <x:v/>
      </x:c>
      <x:c r="EJ80" s="876" t="str">
        <x:f t="shared" si="167"/>
        <x:v/>
      </x:c>
      <x:c r="EK80" s="874">
        <x:f t="shared" si="192"/>
        <x:v>0</x:v>
      </x:c>
      <x:c r="EL80" s="874">
        <x:f t="shared" si="193"/>
        <x:v>0</x:v>
      </x:c>
      <x:c r="EM80" s="874">
        <x:f t="shared" si="168"/>
        <x:v>0</x:v>
      </x:c>
      <x:c r="EN80" s="874" t="str">
        <x:f t="shared" si="169"/>
        <x:v/>
      </x:c>
      <x:c r="EO80" s="873" t="str">
        <x:f t="shared" si="194"/>
        <x:v/>
      </x:c>
      <x:c r="EP80" s="874">
        <x:f t="shared" si="195"/>
        <x:v>0</x:v>
      </x:c>
      <x:c r="EQ80" s="874">
        <x:f t="shared" si="196"/>
        <x:v>0</x:v>
      </x:c>
      <x:c r="ER80" s="874">
        <x:f t="shared" si="170"/>
        <x:v>0</x:v>
      </x:c>
      <x:c r="ES80" s="874" t="str">
        <x:f t="shared" si="171"/>
        <x:v/>
      </x:c>
      <x:c r="ET80" s="873" t="str">
        <x:f t="shared" si="197"/>
        <x:v/>
      </x:c>
      <x:c r="EU80" s="873">
        <x:f t="shared" si="172"/>
        <x:v>0</x:v>
      </x:c>
      <x:c r="EV80" s="876" t="e">
        <x:f t="shared" si="173"/>
        <x:v>#VALUE!</x:v>
      </x:c>
      <x:c r="EW80" s="876" t="e">
        <x:f t="shared" si="174"/>
        <x:v>#VALUE!</x:v>
      </x:c>
      <x:c r="EX80" s="942" t="str">
        <x:f t="shared" si="175"/>
        <x:v/>
      </x:c>
      <x:c r="EY80" s="879">
        <x:f t="shared" si="198"/>
        <x:v>25</x:v>
      </x:c>
      <x:c r="EZ80" s="959">
        <x:f t="shared" si="176"/>
        <x:v>0</x:v>
      </x:c>
      <x:c r="FA80" s="960">
        <x:f t="shared" si="177"/>
        <x:v>0</x:v>
      </x:c>
      <x:c r="FB80" s="880" t="str">
        <x:f t="shared" si="178"/>
        <x:v/>
      </x:c>
      <x:c r="FC80" s="881" t="str">
        <x:f t="shared" si="179"/>
        <x:v/>
      </x:c>
      <x:c r="FD80" s="512">
        <x:f t="shared" si="180"/>
        <x:v>0</x:v>
      </x:c>
      <x:c r="FE80" s="513">
        <x:f t="shared" si="181"/>
        <x:v>0</x:v>
      </x:c>
      <x:c r="FF80" s="754" t="b">
        <x:f t="shared" si="106"/>
        <x:v>0</x:v>
      </x:c>
      <x:c r="FG80" s="754" t="b">
        <x:f t="shared" si="107"/>
        <x:v>0</x:v>
      </x:c>
      <x:c r="FH80" s="754" t="b">
        <x:f t="shared" si="108"/>
        <x:v>0</x:v>
      </x:c>
      <x:c r="FI80" s="917" t="b">
        <x:f t="shared" si="109"/>
        <x:v>0</x:v>
      </x:c>
      <x:c r="FJ80" s="920" t="str">
        <x:f t="shared" si="119"/>
        <x:v/>
      </x:c>
      <x:c r="FK80" s="919" t="str">
        <x:f t="shared" si="120"/>
        <x:v/>
      </x:c>
      <x:c r="FL80" s="320" t="e">
        <x:f t="shared" si="121"/>
        <x:v>#N/A</x:v>
      </x:c>
      <x:c r="FM80" s="312" t="str">
        <x:f t="shared" si="110"/>
        <x:v/>
      </x:c>
      <x:c r="FN80" s="272" t="str">
        <x:f t="shared" ca="1" si="122"/>
        <x:v/>
      </x:c>
      <x:c r="FO80" s="273" t="str">
        <x:f t="shared" ca="1" si="123"/>
        <x:v/>
      </x:c>
      <x:c r="FP80" s="274" t="str">
        <x:f t="shared" ca="1" si="124"/>
        <x:v/>
      </x:c>
      <x:c r="FQ80" s="274" t="str">
        <x:f t="shared" ca="1" si="125"/>
        <x:v/>
      </x:c>
      <x:c r="FR80" s="321">
        <x:f t="shared" ca="1" si="126"/>
        <x:v>0</x:v>
      </x:c>
      <x:c r="FS80" s="322">
        <x:f t="shared" ca="1" si="127"/>
        <x:v>0</x:v>
      </x:c>
      <x:c r="FT80" s="272" t="str">
        <x:f t="shared" ca="1" si="132"/>
        <x:v/>
      </x:c>
      <x:c r="FU80" s="275" t="str">
        <x:f t="shared" ca="1" si="133"/>
        <x:v/>
      </x:c>
      <x:c r="FV80" s="323" t="str">
        <x:f t="shared" ca="1" si="134"/>
        <x:v/>
      </x:c>
      <x:c r="FW80" s="276" t="str">
        <x:f t="shared" ca="1" si="128"/>
        <x:v/>
      </x:c>
      <x:c r="FX80" s="276" t="str">
        <x:f t="shared" ca="1" si="129"/>
        <x:v/>
      </x:c>
      <x:c r="FY80" s="276" t="str">
        <x:f t="shared" ca="1" si="135"/>
        <x:v/>
      </x:c>
      <x:c r="FZ80" s="276" t="str">
        <x:f t="shared" ca="1" si="130"/>
        <x:v/>
      </x:c>
      <x:c r="GA80" s="276" t="str">
        <x:f t="shared" ca="1" si="136"/>
        <x:v/>
      </x:c>
      <x:c r="GB80" s="277" t="str">
        <x:f ca="1">IF(FY80="","",2+SUM(FO80:OFFSET(FO80,(FU80-1)*-1,0)))</x:f>
        <x:v/>
      </x:c>
      <x:c r="GC80" s="316" t="e">
        <x:f t="shared" si="131"/>
        <x:v>#N/A</x:v>
      </x:c>
      <x:c r="GD80" s="324" t="str">
        <x:f t="shared" si="111"/>
        <x:v/>
      </x:c>
      <x:c r="GE80" s="325" t="str">
        <x:f t="shared" si="112"/>
        <x:v/>
      </x:c>
      <x:c r="GF80" s="278" t="str">
        <x:f t="shared" si="113"/>
        <x:v/>
      </x:c>
      <x:c r="GG80" s="279" t="str">
        <x:f t="shared" si="114"/>
        <x:v/>
      </x:c>
      <x:c r="GH80" s="279" t="str">
        <x:f t="shared" si="115"/>
        <x:v/>
      </x:c>
      <x:c r="GI80" s="280" t="str">
        <x:f t="shared" si="116"/>
        <x:v/>
      </x:c>
      <x:c r="GJ80" s="326">
        <x:f t="shared" ca="1" si="117"/>
        <x:v>0</x:v>
      </x:c>
      <x:c r="GK80" s="913" t="str">
        <x:f t="shared" ca="1" si="118"/>
        <x:v/>
      </x:c>
    </x:row>
    <x:row r="81" spans="1:238" ht="12.6" hidden="1" customHeight="1" x14ac:dyDescent="0.2">
      <x:c r="BZ81" s="293"/>
      <x:c r="CA81" s="293"/>
      <x:c r="CB81" s="365" t="str">
        <x:f t="shared" si="137"/>
        <x:v/>
      </x:c>
      <x:c r="CC81" s="1304" t="str">
        <x:f>IF(CG41="","",VLOOKUP(CG41,SectInfo!$B:$N,12,FALSE))</x:f>
        <x:v/>
      </x:c>
      <x:c r="CD81" s="1305" t="str">
        <x:f>IF(ISBLANK(CN41),IF(CG41="","",VLOOKUP(CG41,SectInfo!$B:$N,13,FALSE)),CN41)</x:f>
        <x:v/>
      </x:c>
      <x:c r="CE81" s="1305" t="str">
        <x:f>IF(CG41="","",IF(VLOOKUP(CG41,SectInfo!$B:$N,5,FALSE)="","R",UPPER(VLOOKUP(CG41,SectInfo!$B:$N,5,FALSE))))</x:f>
        <x:v/>
      </x:c>
      <x:c r="CF81" s="1305" t="str">
        <x:f>IF(ISBLANK(CP41),IF(CG41="","",VLOOKUP(CG41,SectInfo!$B:$N,6,FALSE)),CP41)</x:f>
        <x:v/>
      </x:c>
      <x:c r="CG81" s="1305" t="str">
        <x:f>IF(CG41="","",IF(VLOOKUP(CG41,SectInfo!$B:$N,10,FALSE)="","",(VLOOKUP(CG41,SectInfo!$B:$N,10,FALSE)*-1)))</x:f>
        <x:v/>
      </x:c>
      <x:c r="CH81" s="1305" t="str">
        <x:f>IF(CG41="","",IF(VLOOKUP(CG41,SectInfo!$B:$N,7,FALSE)="","",(VLOOKUP(CG41,SectInfo!$B:$N,7,FALSE)*-1)))</x:f>
        <x:v/>
      </x:c>
      <x:c r="CI81" s="1305" t="str">
        <x:f>IF(CG41="","",IF(VLOOKUP(CG41,SectInfo!$B:$N,8,FALSE)="",$FC$4,(VLOOKUP(CG41,SectInfo!$B:$N,8,FALSE))))</x:f>
        <x:v/>
      </x:c>
      <x:c r="CJ81" s="1305" t="str">
        <x:f>IF(CG41="","",VLOOKUP(CG41,SectInfo!$B:$N,9,FALSE))</x:f>
        <x:v/>
      </x:c>
      <x:c r="CK81" s="1306">
        <x:f t="shared" si="138"/>
        <x:v>0</x:v>
      </x:c>
      <x:c r="CL81" s="1304" t="str">
        <x:f>IF(CQ41="","",VLOOKUP(CQ41,SectInfo!$B:$N,12,FALSE))</x:f>
        <x:v/>
      </x:c>
      <x:c r="CM81" s="1305" t="str">
        <x:f>IF(ISBLANK(CX41),IF(CQ41="","",VLOOKUP(CQ41,SectInfo!$B:$N,13,FALSE)),CX41)</x:f>
        <x:v/>
      </x:c>
      <x:c r="CN81" s="1305" t="str">
        <x:f>IF(CQ41="","",IF(VLOOKUP(CQ41,SectInfo!$B:$N,5,FALSE)="","R",UPPER(VLOOKUP(CQ41,SectInfo!$B:$N,5,FALSE))))</x:f>
        <x:v/>
      </x:c>
      <x:c r="CO81" s="1305" t="str">
        <x:f>IF(ISBLANK(CZ41),IF(CQ41="","",VLOOKUP(CQ41,SectInfo!$B:$N,6,FALSE)),CZ41)</x:f>
        <x:v/>
      </x:c>
      <x:c r="CP81" s="1305" t="str">
        <x:f>IF(CQ41="","",IF(VLOOKUP(CQ41,SectInfo!$B:$N,10,FALSE)="","",(VLOOKUP(CQ41,SectInfo!$B:$N,10,FALSE)*-1)))</x:f>
        <x:v/>
      </x:c>
      <x:c r="CQ81" s="367" t="str">
        <x:f>IF(CQ41="","",IF(VLOOKUP(CQ41,SectInfo!$B:$N,7,FALSE)="","",(VLOOKUP(CQ41,SectInfo!$B:$N,7,FALSE)*-1)))</x:f>
        <x:v/>
      </x:c>
      <x:c r="CR81" s="367" t="str">
        <x:f>IF(CQ41="","",IF(VLOOKUP(CQ41,SectInfo!$B:$N,8,FALSE)="",$FC$4,(VLOOKUP(CQ41,SectInfo!$B:$N,8,FALSE))))</x:f>
        <x:v/>
      </x:c>
      <x:c r="CS81" s="367" t="str">
        <x:f>IF(CQ41="","",VLOOKUP(CQ41,SectInfo!$B:$N,9,FALSE))</x:f>
        <x:v/>
      </x:c>
      <x:c r="CT81" s="368">
        <x:f t="shared" si="139"/>
        <x:v>0</x:v>
      </x:c>
      <x:c r="CU81" s="369">
        <x:f t="shared" si="140"/>
        <x:v>0</x:v>
      </x:c>
      <x:c r="CV81" s="274" t="str">
        <x:f t="shared" si="141"/>
        <x:v/>
      </x:c>
      <x:c r="CW81" s="274" t="str">
        <x:f t="shared" si="142"/>
        <x:v/>
      </x:c>
      <x:c r="CX81" s="873" t="str">
        <x:f t="shared" si="143"/>
        <x:v/>
      </x:c>
      <x:c r="CY81" s="874">
        <x:f t="shared" si="144"/>
        <x:v>0</x:v>
      </x:c>
      <x:c r="CZ81" s="874">
        <x:f t="shared" si="145"/>
        <x:v>0</x:v>
      </x:c>
      <x:c r="DA81" s="874" t="str">
        <x:f t="shared" si="146"/>
        <x:v/>
      </x:c>
      <x:c r="DB81" s="1310" t="str">
        <x:f t="shared" si="182"/>
        <x:v/>
      </x:c>
      <x:c r="DC81" s="1310" t="str">
        <x:f t="shared" si="147"/>
        <x:v/>
      </x:c>
      <x:c r="DD81" s="1311">
        <x:f t="shared" si="183"/>
        <x:v>0</x:v>
      </x:c>
      <x:c r="DE81" s="1310">
        <x:f t="shared" si="148"/>
        <x:v>0</x:v>
      </x:c>
      <x:c r="DF81" s="1312">
        <x:f t="shared" si="149"/>
        <x:v>0</x:v>
      </x:c>
      <x:c r="DG81" s="1312" t="str">
        <x:f t="shared" si="150"/>
        <x:v/>
      </x:c>
      <x:c r="DH81" s="1310" t="str">
        <x:f t="shared" si="184"/>
        <x:v/>
      </x:c>
      <x:c r="DI81" s="1310" t="str">
        <x:f t="shared" si="151"/>
        <x:v/>
      </x:c>
      <x:c r="DJ81" s="1311">
        <x:f t="shared" si="185"/>
        <x:v>0</x:v>
      </x:c>
      <x:c r="DK81" s="1310" t="str">
        <x:f t="shared" si="186"/>
        <x:v/>
      </x:c>
      <x:c r="DL81" s="1310" t="str">
        <x:f t="shared" si="187"/>
        <x:v/>
      </x:c>
      <x:c r="DM81" s="1310" t="str">
        <x:f t="shared" si="152"/>
        <x:v/>
      </x:c>
      <x:c r="DN81" s="1310" t="str">
        <x:f t="shared" si="153"/>
        <x:v/>
      </x:c>
      <x:c r="DO81" s="889" t="str">
        <x:f t="shared" si="154"/>
        <x:v>ERR</x:v>
      </x:c>
      <x:c r="DP81" s="889" t="str">
        <x:f t="shared" si="155"/>
        <x:v>ERR</x:v>
      </x:c>
      <x:c r="DQ81" s="1310" t="str">
        <x:f t="shared" si="188"/>
        <x:v/>
      </x:c>
      <x:c r="DR81" s="1310" t="str">
        <x:f t="shared" si="188"/>
        <x:v/>
      </x:c>
      <x:c r="DS81" s="1310" t="str">
        <x:f t="shared" si="189"/>
        <x:v/>
      </x:c>
      <x:c r="DT81" s="1310" t="str">
        <x:f t="shared" si="156"/>
        <x:v/>
      </x:c>
      <x:c r="DU81" s="1310" t="str">
        <x:f t="shared" si="157"/>
        <x:v/>
      </x:c>
      <x:c r="DV81" s="889" t="str">
        <x:f t="shared" si="158"/>
        <x:v>ERR</x:v>
      </x:c>
      <x:c r="DW81" s="889" t="str">
        <x:f t="shared" si="159"/>
        <x:v>ERR</x:v>
      </x:c>
      <x:c r="DX81" s="873" t="str">
        <x:f t="shared" si="190"/>
        <x:v/>
      </x:c>
      <x:c r="DY81" s="873" t="str">
        <x:f t="shared" si="190"/>
        <x:v/>
      </x:c>
      <x:c r="DZ81" s="873" t="str">
        <x:f t="shared" si="199"/>
        <x:v/>
      </x:c>
      <x:c r="EA81" s="873" t="str">
        <x:f t="shared" si="200"/>
        <x:v/>
      </x:c>
      <x:c r="EB81" s="876" t="str">
        <x:f t="shared" si="160"/>
        <x:v/>
      </x:c>
      <x:c r="EC81" s="877" t="str">
        <x:f t="shared" si="191"/>
        <x:v/>
      </x:c>
      <x:c r="ED81" s="876" t="str">
        <x:f t="shared" si="161"/>
        <x:v/>
      </x:c>
      <x:c r="EE81" s="876" t="str">
        <x:f t="shared" si="162"/>
        <x:v/>
      </x:c>
      <x:c r="EF81" s="876" t="str">
        <x:f t="shared" si="163"/>
        <x:v/>
      </x:c>
      <x:c r="EG81" s="876" t="str">
        <x:f t="shared" si="164"/>
        <x:v/>
      </x:c>
      <x:c r="EH81" s="876" t="str">
        <x:f t="shared" si="165"/>
        <x:v/>
      </x:c>
      <x:c r="EI81" s="876" t="str">
        <x:f t="shared" si="166"/>
        <x:v/>
      </x:c>
      <x:c r="EJ81" s="876" t="str">
        <x:f t="shared" si="167"/>
        <x:v/>
      </x:c>
      <x:c r="EK81" s="874">
        <x:f t="shared" si="192"/>
        <x:v>0</x:v>
      </x:c>
      <x:c r="EL81" s="874">
        <x:f t="shared" si="193"/>
        <x:v>0</x:v>
      </x:c>
      <x:c r="EM81" s="874">
        <x:f t="shared" si="168"/>
        <x:v>0</x:v>
      </x:c>
      <x:c r="EN81" s="874" t="str">
        <x:f t="shared" si="169"/>
        <x:v/>
      </x:c>
      <x:c r="EO81" s="873" t="str">
        <x:f t="shared" si="194"/>
        <x:v/>
      </x:c>
      <x:c r="EP81" s="874">
        <x:f t="shared" si="195"/>
        <x:v>0</x:v>
      </x:c>
      <x:c r="EQ81" s="874">
        <x:f t="shared" si="196"/>
        <x:v>0</x:v>
      </x:c>
      <x:c r="ER81" s="874">
        <x:f t="shared" si="170"/>
        <x:v>0</x:v>
      </x:c>
      <x:c r="ES81" s="874" t="str">
        <x:f t="shared" si="171"/>
        <x:v/>
      </x:c>
      <x:c r="ET81" s="873" t="str">
        <x:f t="shared" si="197"/>
        <x:v/>
      </x:c>
      <x:c r="EU81" s="873">
        <x:f t="shared" si="172"/>
        <x:v>0</x:v>
      </x:c>
      <x:c r="EV81" s="876" t="e">
        <x:f t="shared" si="173"/>
        <x:v>#VALUE!</x:v>
      </x:c>
      <x:c r="EW81" s="876" t="e">
        <x:f t="shared" si="174"/>
        <x:v>#VALUE!</x:v>
      </x:c>
      <x:c r="EX81" s="942" t="str">
        <x:f t="shared" si="175"/>
        <x:v/>
      </x:c>
      <x:c r="EY81" s="879">
        <x:f t="shared" si="198"/>
        <x:v>25</x:v>
      </x:c>
      <x:c r="EZ81" s="959">
        <x:f t="shared" si="176"/>
        <x:v>0</x:v>
      </x:c>
      <x:c r="FA81" s="960">
        <x:f t="shared" si="177"/>
        <x:v>0</x:v>
      </x:c>
      <x:c r="FB81" s="880" t="str">
        <x:f t="shared" si="178"/>
        <x:v/>
      </x:c>
      <x:c r="FC81" s="881" t="str">
        <x:f t="shared" si="179"/>
        <x:v/>
      </x:c>
      <x:c r="FD81" s="512">
        <x:f t="shared" si="180"/>
        <x:v>0</x:v>
      </x:c>
      <x:c r="FE81" s="513">
        <x:f t="shared" si="181"/>
        <x:v>0</x:v>
      </x:c>
      <x:c r="FF81" s="754" t="b">
        <x:f t="shared" si="106"/>
        <x:v>0</x:v>
      </x:c>
      <x:c r="FG81" s="754" t="b">
        <x:f t="shared" si="107"/>
        <x:v>0</x:v>
      </x:c>
      <x:c r="FH81" s="754" t="b">
        <x:f t="shared" si="108"/>
        <x:v>0</x:v>
      </x:c>
      <x:c r="FI81" s="917" t="b">
        <x:f t="shared" si="109"/>
        <x:v>0</x:v>
      </x:c>
      <x:c r="FJ81" s="920" t="str">
        <x:f t="shared" si="119"/>
        <x:v/>
      </x:c>
      <x:c r="FK81" s="919" t="str">
        <x:f t="shared" si="120"/>
        <x:v/>
      </x:c>
      <x:c r="FL81" s="320" t="e">
        <x:f t="shared" si="121"/>
        <x:v>#N/A</x:v>
      </x:c>
      <x:c r="FM81" s="312" t="str">
        <x:f t="shared" si="110"/>
        <x:v/>
      </x:c>
      <x:c r="FN81" s="272" t="str">
        <x:f t="shared" ca="1" si="122"/>
        <x:v/>
      </x:c>
      <x:c r="FO81" s="273" t="str">
        <x:f t="shared" ca="1" si="123"/>
        <x:v/>
      </x:c>
      <x:c r="FP81" s="274" t="str">
        <x:f t="shared" ca="1" si="124"/>
        <x:v/>
      </x:c>
      <x:c r="FQ81" s="274" t="str">
        <x:f t="shared" ca="1" si="125"/>
        <x:v/>
      </x:c>
      <x:c r="FR81" s="321">
        <x:f t="shared" ca="1" si="126"/>
        <x:v>0</x:v>
      </x:c>
      <x:c r="FS81" s="322">
        <x:f t="shared" ca="1" si="127"/>
        <x:v>0</x:v>
      </x:c>
      <x:c r="FT81" s="272" t="str">
        <x:f t="shared" ca="1" si="132"/>
        <x:v/>
      </x:c>
      <x:c r="FU81" s="275" t="str">
        <x:f t="shared" ca="1" si="133"/>
        <x:v/>
      </x:c>
      <x:c r="FV81" s="323" t="str">
        <x:f t="shared" ca="1" si="134"/>
        <x:v/>
      </x:c>
      <x:c r="FW81" s="276" t="str">
        <x:f t="shared" ca="1" si="128"/>
        <x:v/>
      </x:c>
      <x:c r="FX81" s="276" t="str">
        <x:f t="shared" ca="1" si="129"/>
        <x:v/>
      </x:c>
      <x:c r="FY81" s="276" t="str">
        <x:f t="shared" ca="1" si="135"/>
        <x:v/>
      </x:c>
      <x:c r="FZ81" s="276" t="str">
        <x:f t="shared" ca="1" si="130"/>
        <x:v/>
      </x:c>
      <x:c r="GA81" s="276" t="str">
        <x:f t="shared" ca="1" si="136"/>
        <x:v/>
      </x:c>
      <x:c r="GB81" s="277" t="str">
        <x:f ca="1">IF(FY81="","",2+SUM(FO81:OFFSET(FO81,(FU81-1)*-1,0)))</x:f>
        <x:v/>
      </x:c>
      <x:c r="GC81" s="316" t="e">
        <x:f t="shared" si="131"/>
        <x:v>#N/A</x:v>
      </x:c>
      <x:c r="GD81" s="324" t="str">
        <x:f t="shared" si="111"/>
        <x:v/>
      </x:c>
      <x:c r="GE81" s="325" t="str">
        <x:f t="shared" si="112"/>
        <x:v/>
      </x:c>
      <x:c r="GF81" s="278" t="str">
        <x:f t="shared" si="113"/>
        <x:v/>
      </x:c>
      <x:c r="GG81" s="279" t="str">
        <x:f t="shared" si="114"/>
        <x:v/>
      </x:c>
      <x:c r="GH81" s="279" t="str">
        <x:f t="shared" si="115"/>
        <x:v/>
      </x:c>
      <x:c r="GI81" s="280" t="str">
        <x:f t="shared" si="116"/>
        <x:v/>
      </x:c>
      <x:c r="GJ81" s="326">
        <x:f t="shared" ca="1" si="117"/>
        <x:v>0</x:v>
      </x:c>
      <x:c r="GK81" s="913" t="str">
        <x:f t="shared" ca="1" si="118"/>
        <x:v/>
      </x:c>
    </x:row>
    <x:row r="82" spans="1:238" ht="12.6" hidden="1" customHeight="1" x14ac:dyDescent="0.2">
      <x:c r="BZ82" s="293"/>
      <x:c r="CA82" s="293"/>
      <x:c r="CB82" s="365" t="str">
        <x:f t="shared" si="137"/>
        <x:v/>
      </x:c>
      <x:c r="CC82" s="1304" t="str">
        <x:f>IF(CG42="","",VLOOKUP(CG42,SectInfo!$B:$N,12,FALSE))</x:f>
        <x:v/>
      </x:c>
      <x:c r="CD82" s="1305" t="str">
        <x:f>IF(ISBLANK(CN42),IF(CG42="","",VLOOKUP(CG42,SectInfo!$B:$N,13,FALSE)),CN42)</x:f>
        <x:v/>
      </x:c>
      <x:c r="CE82" s="1305" t="str">
        <x:f>IF(CG42="","",IF(VLOOKUP(CG42,SectInfo!$B:$N,5,FALSE)="","R",UPPER(VLOOKUP(CG42,SectInfo!$B:$N,5,FALSE))))</x:f>
        <x:v/>
      </x:c>
      <x:c r="CF82" s="1305" t="str">
        <x:f>IF(ISBLANK(CP42),IF(CG42="","",VLOOKUP(CG42,SectInfo!$B:$N,6,FALSE)),CP42)</x:f>
        <x:v/>
      </x:c>
      <x:c r="CG82" s="1305" t="str">
        <x:f>IF(CG42="","",IF(VLOOKUP(CG42,SectInfo!$B:$N,10,FALSE)="","",(VLOOKUP(CG42,SectInfo!$B:$N,10,FALSE)*-1)))</x:f>
        <x:v/>
      </x:c>
      <x:c r="CH82" s="1305" t="str">
        <x:f>IF(CG42="","",IF(VLOOKUP(CG42,SectInfo!$B:$N,7,FALSE)="","",(VLOOKUP(CG42,SectInfo!$B:$N,7,FALSE)*-1)))</x:f>
        <x:v/>
      </x:c>
      <x:c r="CI82" s="1305" t="str">
        <x:f>IF(CG42="","",IF(VLOOKUP(CG42,SectInfo!$B:$N,8,FALSE)="",$FC$4,(VLOOKUP(CG42,SectInfo!$B:$N,8,FALSE))))</x:f>
        <x:v/>
      </x:c>
      <x:c r="CJ82" s="1305" t="str">
        <x:f>IF(CG42="","",VLOOKUP(CG42,SectInfo!$B:$N,9,FALSE))</x:f>
        <x:v/>
      </x:c>
      <x:c r="CK82" s="1306">
        <x:f t="shared" si="138"/>
        <x:v>0</x:v>
      </x:c>
      <x:c r="CL82" s="1304" t="str">
        <x:f>IF(CQ42="","",VLOOKUP(CQ42,SectInfo!$B:$N,12,FALSE))</x:f>
        <x:v/>
      </x:c>
      <x:c r="CM82" s="1305" t="str">
        <x:f>IF(ISBLANK(CX42),IF(CQ42="","",VLOOKUP(CQ42,SectInfo!$B:$N,13,FALSE)),CX42)</x:f>
        <x:v/>
      </x:c>
      <x:c r="CN82" s="1305" t="str">
        <x:f>IF(CQ42="","",IF(VLOOKUP(CQ42,SectInfo!$B:$N,5,FALSE)="","R",UPPER(VLOOKUP(CQ42,SectInfo!$B:$N,5,FALSE))))</x:f>
        <x:v/>
      </x:c>
      <x:c r="CO82" s="1305" t="str">
        <x:f>IF(ISBLANK(CZ42),IF(CQ42="","",VLOOKUP(CQ42,SectInfo!$B:$N,6,FALSE)),CZ42)</x:f>
        <x:v/>
      </x:c>
      <x:c r="CP82" s="1305" t="str">
        <x:f>IF(CQ42="","",IF(VLOOKUP(CQ42,SectInfo!$B:$N,10,FALSE)="","",(VLOOKUP(CQ42,SectInfo!$B:$N,10,FALSE)*-1)))</x:f>
        <x:v/>
      </x:c>
      <x:c r="CQ82" s="367" t="str">
        <x:f>IF(CQ42="","",IF(VLOOKUP(CQ42,SectInfo!$B:$N,7,FALSE)="","",(VLOOKUP(CQ42,SectInfo!$B:$N,7,FALSE)*-1)))</x:f>
        <x:v/>
      </x:c>
      <x:c r="CR82" s="367" t="str">
        <x:f>IF(CQ42="","",IF(VLOOKUP(CQ42,SectInfo!$B:$N,8,FALSE)="",$FC$4,(VLOOKUP(CQ42,SectInfo!$B:$N,8,FALSE))))</x:f>
        <x:v/>
      </x:c>
      <x:c r="CS82" s="367" t="str">
        <x:f>IF(CQ42="","",VLOOKUP(CQ42,SectInfo!$B:$N,9,FALSE))</x:f>
        <x:v/>
      </x:c>
      <x:c r="CT82" s="368">
        <x:f t="shared" si="139"/>
        <x:v>0</x:v>
      </x:c>
      <x:c r="CU82" s="369">
        <x:f t="shared" si="140"/>
        <x:v>0</x:v>
      </x:c>
      <x:c r="CV82" s="274" t="str">
        <x:f t="shared" si="141"/>
        <x:v/>
      </x:c>
      <x:c r="CW82" s="274" t="str">
        <x:f t="shared" si="142"/>
        <x:v/>
      </x:c>
      <x:c r="CX82" s="873" t="str">
        <x:f t="shared" si="143"/>
        <x:v/>
      </x:c>
      <x:c r="CY82" s="874">
        <x:f t="shared" si="144"/>
        <x:v>0</x:v>
      </x:c>
      <x:c r="CZ82" s="874">
        <x:f t="shared" si="145"/>
        <x:v>0</x:v>
      </x:c>
      <x:c r="DA82" s="874" t="str">
        <x:f t="shared" si="146"/>
        <x:v/>
      </x:c>
      <x:c r="DB82" s="1310" t="str">
        <x:f t="shared" si="182"/>
        <x:v/>
      </x:c>
      <x:c r="DC82" s="1310" t="str">
        <x:f t="shared" si="147"/>
        <x:v/>
      </x:c>
      <x:c r="DD82" s="1311">
        <x:f t="shared" si="183"/>
        <x:v>0</x:v>
      </x:c>
      <x:c r="DE82" s="1310">
        <x:f t="shared" si="148"/>
        <x:v>0</x:v>
      </x:c>
      <x:c r="DF82" s="1312">
        <x:f t="shared" si="149"/>
        <x:v>0</x:v>
      </x:c>
      <x:c r="DG82" s="1312" t="str">
        <x:f t="shared" si="150"/>
        <x:v/>
      </x:c>
      <x:c r="DH82" s="1310" t="str">
        <x:f t="shared" si="184"/>
        <x:v/>
      </x:c>
      <x:c r="DI82" s="1310" t="str">
        <x:f t="shared" si="151"/>
        <x:v/>
      </x:c>
      <x:c r="DJ82" s="1311">
        <x:f t="shared" si="185"/>
        <x:v>0</x:v>
      </x:c>
      <x:c r="DK82" s="1310" t="str">
        <x:f t="shared" si="186"/>
        <x:v/>
      </x:c>
      <x:c r="DL82" s="1310" t="str">
        <x:f t="shared" si="187"/>
        <x:v/>
      </x:c>
      <x:c r="DM82" s="1310" t="str">
        <x:f t="shared" si="152"/>
        <x:v/>
      </x:c>
      <x:c r="DN82" s="1310" t="str">
        <x:f t="shared" si="153"/>
        <x:v/>
      </x:c>
      <x:c r="DO82" s="889" t="str">
        <x:f t="shared" si="154"/>
        <x:v>ERR</x:v>
      </x:c>
      <x:c r="DP82" s="889" t="str">
        <x:f t="shared" si="155"/>
        <x:v>ERR</x:v>
      </x:c>
      <x:c r="DQ82" s="1310" t="str">
        <x:f t="shared" si="188"/>
        <x:v/>
      </x:c>
      <x:c r="DR82" s="1310" t="str">
        <x:f t="shared" si="188"/>
        <x:v/>
      </x:c>
      <x:c r="DS82" s="1310" t="str">
        <x:f t="shared" si="189"/>
        <x:v/>
      </x:c>
      <x:c r="DT82" s="1310" t="str">
        <x:f t="shared" si="156"/>
        <x:v/>
      </x:c>
      <x:c r="DU82" s="1310" t="str">
        <x:f t="shared" si="157"/>
        <x:v/>
      </x:c>
      <x:c r="DV82" s="889" t="str">
        <x:f t="shared" si="158"/>
        <x:v>ERR</x:v>
      </x:c>
      <x:c r="DW82" s="889" t="str">
        <x:f t="shared" si="159"/>
        <x:v>ERR</x:v>
      </x:c>
      <x:c r="DX82" s="873" t="str">
        <x:f t="shared" si="190"/>
        <x:v/>
      </x:c>
      <x:c r="DY82" s="873" t="str">
        <x:f t="shared" si="190"/>
        <x:v/>
      </x:c>
      <x:c r="DZ82" s="873" t="str">
        <x:f t="shared" si="199"/>
        <x:v/>
      </x:c>
      <x:c r="EA82" s="873" t="str">
        <x:f t="shared" si="200"/>
        <x:v/>
      </x:c>
      <x:c r="EB82" s="876" t="str">
        <x:f t="shared" si="160"/>
        <x:v/>
      </x:c>
      <x:c r="EC82" s="877" t="str">
        <x:f t="shared" si="191"/>
        <x:v/>
      </x:c>
      <x:c r="ED82" s="876" t="str">
        <x:f t="shared" si="161"/>
        <x:v/>
      </x:c>
      <x:c r="EE82" s="876" t="str">
        <x:f t="shared" si="162"/>
        <x:v/>
      </x:c>
      <x:c r="EF82" s="876" t="str">
        <x:f t="shared" si="163"/>
        <x:v/>
      </x:c>
      <x:c r="EG82" s="876" t="str">
        <x:f t="shared" si="164"/>
        <x:v/>
      </x:c>
      <x:c r="EH82" s="876" t="str">
        <x:f t="shared" si="165"/>
        <x:v/>
      </x:c>
      <x:c r="EI82" s="876" t="str">
        <x:f t="shared" si="166"/>
        <x:v/>
      </x:c>
      <x:c r="EJ82" s="876" t="str">
        <x:f t="shared" si="167"/>
        <x:v/>
      </x:c>
      <x:c r="EK82" s="874">
        <x:f t="shared" si="192"/>
        <x:v>0</x:v>
      </x:c>
      <x:c r="EL82" s="874">
        <x:f t="shared" si="193"/>
        <x:v>0</x:v>
      </x:c>
      <x:c r="EM82" s="874">
        <x:f t="shared" si="168"/>
        <x:v>0</x:v>
      </x:c>
      <x:c r="EN82" s="874" t="str">
        <x:f t="shared" si="169"/>
        <x:v/>
      </x:c>
      <x:c r="EO82" s="873" t="str">
        <x:f t="shared" si="194"/>
        <x:v/>
      </x:c>
      <x:c r="EP82" s="874">
        <x:f t="shared" si="195"/>
        <x:v>0</x:v>
      </x:c>
      <x:c r="EQ82" s="874">
        <x:f t="shared" si="196"/>
        <x:v>0</x:v>
      </x:c>
      <x:c r="ER82" s="874">
        <x:f t="shared" si="170"/>
        <x:v>0</x:v>
      </x:c>
      <x:c r="ES82" s="874" t="str">
        <x:f t="shared" si="171"/>
        <x:v/>
      </x:c>
      <x:c r="ET82" s="873" t="str">
        <x:f t="shared" si="197"/>
        <x:v/>
      </x:c>
      <x:c r="EU82" s="873">
        <x:f t="shared" si="172"/>
        <x:v>0</x:v>
      </x:c>
      <x:c r="EV82" s="876" t="e">
        <x:f t="shared" si="173"/>
        <x:v>#VALUE!</x:v>
      </x:c>
      <x:c r="EW82" s="876" t="e">
        <x:f t="shared" si="174"/>
        <x:v>#VALUE!</x:v>
      </x:c>
      <x:c r="EX82" s="942" t="str">
        <x:f t="shared" si="175"/>
        <x:v/>
      </x:c>
      <x:c r="EY82" s="879">
        <x:f t="shared" si="198"/>
        <x:v>25</x:v>
      </x:c>
      <x:c r="EZ82" s="959">
        <x:f t="shared" si="176"/>
        <x:v>0</x:v>
      </x:c>
      <x:c r="FA82" s="960">
        <x:f t="shared" si="177"/>
        <x:v>0</x:v>
      </x:c>
      <x:c r="FB82" s="880" t="str">
        <x:f t="shared" si="178"/>
        <x:v/>
      </x:c>
      <x:c r="FC82" s="881" t="str">
        <x:f t="shared" si="179"/>
        <x:v/>
      </x:c>
      <x:c r="FD82" s="512">
        <x:f t="shared" si="180"/>
        <x:v>0</x:v>
      </x:c>
      <x:c r="FE82" s="513">
        <x:f t="shared" si="181"/>
        <x:v>0</x:v>
      </x:c>
      <x:c r="FF82" s="754" t="b">
        <x:f t="shared" si="106"/>
        <x:v>0</x:v>
      </x:c>
      <x:c r="FG82" s="754" t="b">
        <x:f t="shared" si="107"/>
        <x:v>0</x:v>
      </x:c>
      <x:c r="FH82" s="754" t="b">
        <x:f t="shared" si="108"/>
        <x:v>0</x:v>
      </x:c>
      <x:c r="FI82" s="917" t="b">
        <x:f t="shared" si="109"/>
        <x:v>0</x:v>
      </x:c>
      <x:c r="FJ82" s="920" t="str">
        <x:f t="shared" si="119"/>
        <x:v/>
      </x:c>
      <x:c r="FK82" s="919" t="str">
        <x:f t="shared" si="120"/>
        <x:v/>
      </x:c>
      <x:c r="FL82" s="320" t="e">
        <x:f t="shared" si="121"/>
        <x:v>#N/A</x:v>
      </x:c>
      <x:c r="FM82" s="312" t="str">
        <x:f t="shared" si="110"/>
        <x:v/>
      </x:c>
      <x:c r="FN82" s="272" t="str">
        <x:f t="shared" ca="1" si="122"/>
        <x:v/>
      </x:c>
      <x:c r="FO82" s="273" t="str">
        <x:f t="shared" ca="1" si="123"/>
        <x:v/>
      </x:c>
      <x:c r="FP82" s="274" t="str">
        <x:f t="shared" ca="1" si="124"/>
        <x:v/>
      </x:c>
      <x:c r="FQ82" s="274" t="str">
        <x:f t="shared" ca="1" si="125"/>
        <x:v/>
      </x:c>
      <x:c r="FR82" s="321">
        <x:f t="shared" ca="1" si="126"/>
        <x:v>0</x:v>
      </x:c>
      <x:c r="FS82" s="322">
        <x:f t="shared" ca="1" si="127"/>
        <x:v>0</x:v>
      </x:c>
      <x:c r="FT82" s="272" t="str">
        <x:f t="shared" ca="1" si="132"/>
        <x:v/>
      </x:c>
      <x:c r="FU82" s="275" t="str">
        <x:f t="shared" ca="1" si="133"/>
        <x:v/>
      </x:c>
      <x:c r="FV82" s="323" t="str">
        <x:f t="shared" ca="1" si="134"/>
        <x:v/>
      </x:c>
      <x:c r="FW82" s="276" t="str">
        <x:f t="shared" ca="1" si="128"/>
        <x:v/>
      </x:c>
      <x:c r="FX82" s="276" t="str">
        <x:f t="shared" ca="1" si="129"/>
        <x:v/>
      </x:c>
      <x:c r="FY82" s="276" t="str">
        <x:f t="shared" ca="1" si="135"/>
        <x:v/>
      </x:c>
      <x:c r="FZ82" s="276" t="str">
        <x:f t="shared" ca="1" si="130"/>
        <x:v/>
      </x:c>
      <x:c r="GA82" s="276" t="str">
        <x:f t="shared" ca="1" si="136"/>
        <x:v/>
      </x:c>
      <x:c r="GB82" s="277" t="str">
        <x:f ca="1">IF(FY82="","",2+SUM(FO82:OFFSET(FO82,(FU82-1)*-1,0)))</x:f>
        <x:v/>
      </x:c>
      <x:c r="GC82" s="316" t="e">
        <x:f t="shared" si="131"/>
        <x:v>#N/A</x:v>
      </x:c>
      <x:c r="GD82" s="324" t="str">
        <x:f t="shared" si="111"/>
        <x:v/>
      </x:c>
      <x:c r="GE82" s="325" t="str">
        <x:f t="shared" si="112"/>
        <x:v/>
      </x:c>
      <x:c r="GF82" s="278" t="str">
        <x:f t="shared" si="113"/>
        <x:v/>
      </x:c>
      <x:c r="GG82" s="279" t="str">
        <x:f t="shared" si="114"/>
        <x:v/>
      </x:c>
      <x:c r="GH82" s="279" t="str">
        <x:f t="shared" si="115"/>
        <x:v/>
      </x:c>
      <x:c r="GI82" s="280" t="str">
        <x:f t="shared" si="116"/>
        <x:v/>
      </x:c>
      <x:c r="GJ82" s="326">
        <x:f t="shared" ca="1" si="117"/>
        <x:v>0</x:v>
      </x:c>
      <x:c r="GK82" s="913" t="str">
        <x:f t="shared" ca="1" si="118"/>
        <x:v/>
      </x:c>
    </x:row>
    <x:row r="83" spans="1:238" ht="12.6" hidden="1" customHeight="1" x14ac:dyDescent="0.2">
      <x:c r="BZ83" s="293"/>
      <x:c r="CA83" s="293"/>
      <x:c r="CB83" s="365" t="str">
        <x:f t="shared" si="137"/>
        <x:v/>
      </x:c>
      <x:c r="CC83" s="1304" t="str">
        <x:f>IF(CG43="","",VLOOKUP(CG43,SectInfo!$B:$N,12,FALSE))</x:f>
        <x:v/>
      </x:c>
      <x:c r="CD83" s="1305" t="str">
        <x:f>IF(ISBLANK(CN43),IF(CG43="","",VLOOKUP(CG43,SectInfo!$B:$N,13,FALSE)),CN43)</x:f>
        <x:v/>
      </x:c>
      <x:c r="CE83" s="1305" t="str">
        <x:f>IF(CG43="","",IF(VLOOKUP(CG43,SectInfo!$B:$N,5,FALSE)="","R",UPPER(VLOOKUP(CG43,SectInfo!$B:$N,5,FALSE))))</x:f>
        <x:v/>
      </x:c>
      <x:c r="CF83" s="1305" t="str">
        <x:f>IF(ISBLANK(CP43),IF(CG43="","",VLOOKUP(CG43,SectInfo!$B:$N,6,FALSE)),CP43)</x:f>
        <x:v/>
      </x:c>
      <x:c r="CG83" s="1305" t="str">
        <x:f>IF(CG43="","",IF(VLOOKUP(CG43,SectInfo!$B:$N,10,FALSE)="","",(VLOOKUP(CG43,SectInfo!$B:$N,10,FALSE)*-1)))</x:f>
        <x:v/>
      </x:c>
      <x:c r="CH83" s="1305" t="str">
        <x:f>IF(CG43="","",IF(VLOOKUP(CG43,SectInfo!$B:$N,7,FALSE)="","",(VLOOKUP(CG43,SectInfo!$B:$N,7,FALSE)*-1)))</x:f>
        <x:v/>
      </x:c>
      <x:c r="CI83" s="1305" t="str">
        <x:f>IF(CG43="","",IF(VLOOKUP(CG43,SectInfo!$B:$N,8,FALSE)="",$FC$4,(VLOOKUP(CG43,SectInfo!$B:$N,8,FALSE))))</x:f>
        <x:v/>
      </x:c>
      <x:c r="CJ83" s="1305" t="str">
        <x:f>IF(CG43="","",VLOOKUP(CG43,SectInfo!$B:$N,9,FALSE))</x:f>
        <x:v/>
      </x:c>
      <x:c r="CK83" s="1306">
        <x:f t="shared" si="138"/>
        <x:v>0</x:v>
      </x:c>
      <x:c r="CL83" s="1304" t="str">
        <x:f>IF(CQ43="","",VLOOKUP(CQ43,SectInfo!$B:$N,12,FALSE))</x:f>
        <x:v/>
      </x:c>
      <x:c r="CM83" s="1305" t="str">
        <x:f>IF(ISBLANK(CX43),IF(CQ43="","",VLOOKUP(CQ43,SectInfo!$B:$N,13,FALSE)),CX43)</x:f>
        <x:v/>
      </x:c>
      <x:c r="CN83" s="1305" t="str">
        <x:f>IF(CQ43="","",IF(VLOOKUP(CQ43,SectInfo!$B:$N,5,FALSE)="","R",UPPER(VLOOKUP(CQ43,SectInfo!$B:$N,5,FALSE))))</x:f>
        <x:v/>
      </x:c>
      <x:c r="CO83" s="1305" t="str">
        <x:f>IF(ISBLANK(CZ43),IF(CQ43="","",VLOOKUP(CQ43,SectInfo!$B:$N,6,FALSE)),CZ43)</x:f>
        <x:v/>
      </x:c>
      <x:c r="CP83" s="1305" t="str">
        <x:f>IF(CQ43="","",IF(VLOOKUP(CQ43,SectInfo!$B:$N,10,FALSE)="","",(VLOOKUP(CQ43,SectInfo!$B:$N,10,FALSE)*-1)))</x:f>
        <x:v/>
      </x:c>
      <x:c r="CQ83" s="367" t="str">
        <x:f>IF(CQ43="","",IF(VLOOKUP(CQ43,SectInfo!$B:$N,7,FALSE)="","",(VLOOKUP(CQ43,SectInfo!$B:$N,7,FALSE)*-1)))</x:f>
        <x:v/>
      </x:c>
      <x:c r="CR83" s="367" t="str">
        <x:f>IF(CQ43="","",IF(VLOOKUP(CQ43,SectInfo!$B:$N,8,FALSE)="",$FC$4,(VLOOKUP(CQ43,SectInfo!$B:$N,8,FALSE))))</x:f>
        <x:v/>
      </x:c>
      <x:c r="CS83" s="367" t="str">
        <x:f>IF(CQ43="","",VLOOKUP(CQ43,SectInfo!$B:$N,9,FALSE))</x:f>
        <x:v/>
      </x:c>
      <x:c r="CT83" s="368">
        <x:f t="shared" si="139"/>
        <x:v>0</x:v>
      </x:c>
      <x:c r="CU83" s="369">
        <x:f t="shared" si="140"/>
        <x:v>0</x:v>
      </x:c>
      <x:c r="CV83" s="274" t="str">
        <x:f t="shared" si="141"/>
        <x:v/>
      </x:c>
      <x:c r="CW83" s="274" t="str">
        <x:f t="shared" si="142"/>
        <x:v/>
      </x:c>
      <x:c r="CX83" s="873" t="str">
        <x:f t="shared" si="143"/>
        <x:v/>
      </x:c>
      <x:c r="CY83" s="874">
        <x:f t="shared" si="144"/>
        <x:v>0</x:v>
      </x:c>
      <x:c r="CZ83" s="874">
        <x:f t="shared" si="145"/>
        <x:v>0</x:v>
      </x:c>
      <x:c r="DA83" s="874" t="str">
        <x:f t="shared" si="146"/>
        <x:v/>
      </x:c>
      <x:c r="DB83" s="1310" t="str">
        <x:f t="shared" si="182"/>
        <x:v/>
      </x:c>
      <x:c r="DC83" s="1310" t="str">
        <x:f t="shared" si="147"/>
        <x:v/>
      </x:c>
      <x:c r="DD83" s="1311">
        <x:f t="shared" si="183"/>
        <x:v>0</x:v>
      </x:c>
      <x:c r="DE83" s="1310">
        <x:f t="shared" si="148"/>
        <x:v>0</x:v>
      </x:c>
      <x:c r="DF83" s="1312">
        <x:f t="shared" si="149"/>
        <x:v>0</x:v>
      </x:c>
      <x:c r="DG83" s="1312" t="str">
        <x:f t="shared" si="150"/>
        <x:v/>
      </x:c>
      <x:c r="DH83" s="1310" t="str">
        <x:f t="shared" si="184"/>
        <x:v/>
      </x:c>
      <x:c r="DI83" s="1310" t="str">
        <x:f t="shared" si="151"/>
        <x:v/>
      </x:c>
      <x:c r="DJ83" s="1311">
        <x:f t="shared" si="185"/>
        <x:v>0</x:v>
      </x:c>
      <x:c r="DK83" s="1310" t="str">
        <x:f t="shared" si="186"/>
        <x:v/>
      </x:c>
      <x:c r="DL83" s="1310" t="str">
        <x:f t="shared" si="187"/>
        <x:v/>
      </x:c>
      <x:c r="DM83" s="1310" t="str">
        <x:f t="shared" si="152"/>
        <x:v/>
      </x:c>
      <x:c r="DN83" s="1310" t="str">
        <x:f t="shared" si="153"/>
        <x:v/>
      </x:c>
      <x:c r="DO83" s="889" t="str">
        <x:f t="shared" si="154"/>
        <x:v>ERR</x:v>
      </x:c>
      <x:c r="DP83" s="889" t="str">
        <x:f t="shared" si="155"/>
        <x:v>ERR</x:v>
      </x:c>
      <x:c r="DQ83" s="1310" t="str">
        <x:f t="shared" si="188"/>
        <x:v/>
      </x:c>
      <x:c r="DR83" s="1310" t="str">
        <x:f t="shared" si="188"/>
        <x:v/>
      </x:c>
      <x:c r="DS83" s="1310" t="str">
        <x:f t="shared" si="189"/>
        <x:v/>
      </x:c>
      <x:c r="DT83" s="1310" t="str">
        <x:f t="shared" si="156"/>
        <x:v/>
      </x:c>
      <x:c r="DU83" s="1310" t="str">
        <x:f t="shared" si="157"/>
        <x:v/>
      </x:c>
      <x:c r="DV83" s="889" t="str">
        <x:f t="shared" si="158"/>
        <x:v>ERR</x:v>
      </x:c>
      <x:c r="DW83" s="889" t="str">
        <x:f t="shared" si="159"/>
        <x:v>ERR</x:v>
      </x:c>
      <x:c r="DX83" s="873" t="str">
        <x:f t="shared" si="190"/>
        <x:v/>
      </x:c>
      <x:c r="DY83" s="873" t="str">
        <x:f t="shared" si="190"/>
        <x:v/>
      </x:c>
      <x:c r="DZ83" s="873" t="str">
        <x:f t="shared" si="199"/>
        <x:v/>
      </x:c>
      <x:c r="EA83" s="873" t="str">
        <x:f t="shared" si="200"/>
        <x:v/>
      </x:c>
      <x:c r="EB83" s="876" t="str">
        <x:f t="shared" si="160"/>
        <x:v/>
      </x:c>
      <x:c r="EC83" s="877" t="str">
        <x:f t="shared" si="191"/>
        <x:v/>
      </x:c>
      <x:c r="ED83" s="876" t="str">
        <x:f t="shared" si="161"/>
        <x:v/>
      </x:c>
      <x:c r="EE83" s="876" t="str">
        <x:f t="shared" si="162"/>
        <x:v/>
      </x:c>
      <x:c r="EF83" s="876" t="str">
        <x:f t="shared" si="163"/>
        <x:v/>
      </x:c>
      <x:c r="EG83" s="876" t="str">
        <x:f t="shared" si="164"/>
        <x:v/>
      </x:c>
      <x:c r="EH83" s="876" t="str">
        <x:f t="shared" si="165"/>
        <x:v/>
      </x:c>
      <x:c r="EI83" s="876" t="str">
        <x:f t="shared" si="166"/>
        <x:v/>
      </x:c>
      <x:c r="EJ83" s="876" t="str">
        <x:f t="shared" si="167"/>
        <x:v/>
      </x:c>
      <x:c r="EK83" s="874">
        <x:f t="shared" si="192"/>
        <x:v>0</x:v>
      </x:c>
      <x:c r="EL83" s="874">
        <x:f t="shared" si="193"/>
        <x:v>0</x:v>
      </x:c>
      <x:c r="EM83" s="874">
        <x:f t="shared" si="168"/>
        <x:v>0</x:v>
      </x:c>
      <x:c r="EN83" s="874" t="str">
        <x:f t="shared" si="169"/>
        <x:v/>
      </x:c>
      <x:c r="EO83" s="873" t="str">
        <x:f t="shared" si="194"/>
        <x:v/>
      </x:c>
      <x:c r="EP83" s="874">
        <x:f t="shared" si="195"/>
        <x:v>0</x:v>
      </x:c>
      <x:c r="EQ83" s="874">
        <x:f t="shared" si="196"/>
        <x:v>0</x:v>
      </x:c>
      <x:c r="ER83" s="874">
        <x:f t="shared" si="170"/>
        <x:v>0</x:v>
      </x:c>
      <x:c r="ES83" s="874" t="str">
        <x:f t="shared" si="171"/>
        <x:v/>
      </x:c>
      <x:c r="ET83" s="873" t="str">
        <x:f t="shared" si="197"/>
        <x:v/>
      </x:c>
      <x:c r="EU83" s="873">
        <x:f t="shared" si="172"/>
        <x:v>0</x:v>
      </x:c>
      <x:c r="EV83" s="876" t="e">
        <x:f t="shared" si="173"/>
        <x:v>#VALUE!</x:v>
      </x:c>
      <x:c r="EW83" s="876" t="e">
        <x:f t="shared" si="174"/>
        <x:v>#VALUE!</x:v>
      </x:c>
      <x:c r="EX83" s="942" t="str">
        <x:f t="shared" si="175"/>
        <x:v/>
      </x:c>
      <x:c r="EY83" s="879">
        <x:f t="shared" si="198"/>
        <x:v>25</x:v>
      </x:c>
      <x:c r="EZ83" s="959">
        <x:f t="shared" si="176"/>
        <x:v>0</x:v>
      </x:c>
      <x:c r="FA83" s="960">
        <x:f t="shared" si="177"/>
        <x:v>0</x:v>
      </x:c>
      <x:c r="FB83" s="880" t="str">
        <x:f t="shared" si="178"/>
        <x:v/>
      </x:c>
      <x:c r="FC83" s="881" t="str">
        <x:f t="shared" si="179"/>
        <x:v/>
      </x:c>
      <x:c r="FD83" s="512">
        <x:f t="shared" si="180"/>
        <x:v>0</x:v>
      </x:c>
      <x:c r="FE83" s="513">
        <x:f t="shared" si="181"/>
        <x:v>0</x:v>
      </x:c>
      <x:c r="FF83" s="754" t="b">
        <x:f t="shared" si="106"/>
        <x:v>0</x:v>
      </x:c>
      <x:c r="FG83" s="754" t="b">
        <x:f t="shared" si="107"/>
        <x:v>0</x:v>
      </x:c>
      <x:c r="FH83" s="754" t="b">
        <x:f t="shared" si="108"/>
        <x:v>0</x:v>
      </x:c>
      <x:c r="FI83" s="917" t="b">
        <x:f t="shared" si="109"/>
        <x:v>0</x:v>
      </x:c>
      <x:c r="FJ83" s="920" t="str">
        <x:f t="shared" si="119"/>
        <x:v/>
      </x:c>
      <x:c r="FK83" s="919" t="str">
        <x:f t="shared" si="120"/>
        <x:v/>
      </x:c>
      <x:c r="FL83" s="320" t="e">
        <x:f t="shared" si="121"/>
        <x:v>#N/A</x:v>
      </x:c>
      <x:c r="FM83" s="312" t="str">
        <x:f t="shared" si="110"/>
        <x:v/>
      </x:c>
      <x:c r="FN83" s="272" t="str">
        <x:f t="shared" ca="1" si="122"/>
        <x:v/>
      </x:c>
      <x:c r="FO83" s="273" t="str">
        <x:f t="shared" ca="1" si="123"/>
        <x:v/>
      </x:c>
      <x:c r="FP83" s="274" t="str">
        <x:f t="shared" ca="1" si="124"/>
        <x:v/>
      </x:c>
      <x:c r="FQ83" s="274" t="str">
        <x:f t="shared" ca="1" si="125"/>
        <x:v/>
      </x:c>
      <x:c r="FR83" s="321">
        <x:f t="shared" ca="1" si="126"/>
        <x:v>0</x:v>
      </x:c>
      <x:c r="FS83" s="322">
        <x:f t="shared" ca="1" si="127"/>
        <x:v>0</x:v>
      </x:c>
      <x:c r="FT83" s="272" t="str">
        <x:f t="shared" ca="1" si="132"/>
        <x:v/>
      </x:c>
      <x:c r="FU83" s="275" t="str">
        <x:f t="shared" ca="1" si="133"/>
        <x:v/>
      </x:c>
      <x:c r="FV83" s="323" t="str">
        <x:f t="shared" ca="1" si="134"/>
        <x:v/>
      </x:c>
      <x:c r="FW83" s="276" t="str">
        <x:f t="shared" ca="1" si="128"/>
        <x:v/>
      </x:c>
      <x:c r="FX83" s="276" t="str">
        <x:f t="shared" ca="1" si="129"/>
        <x:v/>
      </x:c>
      <x:c r="FY83" s="276" t="str">
        <x:f t="shared" ca="1" si="135"/>
        <x:v/>
      </x:c>
      <x:c r="FZ83" s="276" t="str">
        <x:f t="shared" ca="1" si="130"/>
        <x:v/>
      </x:c>
      <x:c r="GA83" s="276" t="str">
        <x:f t="shared" ca="1" si="136"/>
        <x:v/>
      </x:c>
      <x:c r="GB83" s="277" t="str">
        <x:f ca="1">IF(FY83="","",2+SUM(FO83:OFFSET(FO83,(FU83-1)*-1,0)))</x:f>
        <x:v/>
      </x:c>
      <x:c r="GC83" s="316" t="e">
        <x:f t="shared" si="131"/>
        <x:v>#N/A</x:v>
      </x:c>
      <x:c r="GD83" s="324" t="str">
        <x:f t="shared" si="111"/>
        <x:v/>
      </x:c>
      <x:c r="GE83" s="325" t="str">
        <x:f t="shared" si="112"/>
        <x:v/>
      </x:c>
      <x:c r="GF83" s="278" t="str">
        <x:f t="shared" si="113"/>
        <x:v/>
      </x:c>
      <x:c r="GG83" s="279" t="str">
        <x:f t="shared" si="114"/>
        <x:v/>
      </x:c>
      <x:c r="GH83" s="279" t="str">
        <x:f t="shared" si="115"/>
        <x:v/>
      </x:c>
      <x:c r="GI83" s="280" t="str">
        <x:f t="shared" si="116"/>
        <x:v/>
      </x:c>
      <x:c r="GJ83" s="326">
        <x:f t="shared" ca="1" si="117"/>
        <x:v>0</x:v>
      </x:c>
      <x:c r="GK83" s="913" t="str">
        <x:f t="shared" ca="1" si="118"/>
        <x:v/>
      </x:c>
    </x:row>
    <x:row r="84" spans="1:238" ht="12.6" hidden="1" customHeight="1" x14ac:dyDescent="0.2">
      <x:c r="BZ84" s="293"/>
      <x:c r="CA84" s="293"/>
      <x:c r="CB84" s="365" t="str">
        <x:f t="shared" si="137"/>
        <x:v/>
      </x:c>
      <x:c r="CC84" s="1304" t="str">
        <x:f>IF(CG44="","",VLOOKUP(CG44,SectInfo!$B:$N,12,FALSE))</x:f>
        <x:v/>
      </x:c>
      <x:c r="CD84" s="1305" t="str">
        <x:f>IF(ISBLANK(CN44),IF(CG44="","",VLOOKUP(CG44,SectInfo!$B:$N,13,FALSE)),CN44)</x:f>
        <x:v/>
      </x:c>
      <x:c r="CE84" s="1305" t="str">
        <x:f>IF(CG44="","",IF(VLOOKUP(CG44,SectInfo!$B:$N,5,FALSE)="","R",UPPER(VLOOKUP(CG44,SectInfo!$B:$N,5,FALSE))))</x:f>
        <x:v/>
      </x:c>
      <x:c r="CF84" s="1305" t="str">
        <x:f>IF(ISBLANK(CP44),IF(CG44="","",VLOOKUP(CG44,SectInfo!$B:$N,6,FALSE)),CP44)</x:f>
        <x:v/>
      </x:c>
      <x:c r="CG84" s="1305" t="str">
        <x:f>IF(CG44="","",IF(VLOOKUP(CG44,SectInfo!$B:$N,10,FALSE)="","",(VLOOKUP(CG44,SectInfo!$B:$N,10,FALSE)*-1)))</x:f>
        <x:v/>
      </x:c>
      <x:c r="CH84" s="1305" t="str">
        <x:f>IF(CG44="","",IF(VLOOKUP(CG44,SectInfo!$B:$N,7,FALSE)="","",(VLOOKUP(CG44,SectInfo!$B:$N,7,FALSE)*-1)))</x:f>
        <x:v/>
      </x:c>
      <x:c r="CI84" s="1305" t="str">
        <x:f>IF(CG44="","",IF(VLOOKUP(CG44,SectInfo!$B:$N,8,FALSE)="",$FC$4,(VLOOKUP(CG44,SectInfo!$B:$N,8,FALSE))))</x:f>
        <x:v/>
      </x:c>
      <x:c r="CJ84" s="1305" t="str">
        <x:f>IF(CG44="","",VLOOKUP(CG44,SectInfo!$B:$N,9,FALSE))</x:f>
        <x:v/>
      </x:c>
      <x:c r="CK84" s="1306">
        <x:f t="shared" si="138"/>
        <x:v>0</x:v>
      </x:c>
      <x:c r="CL84" s="1304" t="str">
        <x:f>IF(CQ44="","",VLOOKUP(CQ44,SectInfo!$B:$N,12,FALSE))</x:f>
        <x:v/>
      </x:c>
      <x:c r="CM84" s="1305" t="str">
        <x:f>IF(ISBLANK(CX44),IF(CQ44="","",VLOOKUP(CQ44,SectInfo!$B:$N,13,FALSE)),CX44)</x:f>
        <x:v/>
      </x:c>
      <x:c r="CN84" s="1305" t="str">
        <x:f>IF(CQ44="","",IF(VLOOKUP(CQ44,SectInfo!$B:$N,5,FALSE)="","R",UPPER(VLOOKUP(CQ44,SectInfo!$B:$N,5,FALSE))))</x:f>
        <x:v/>
      </x:c>
      <x:c r="CO84" s="1305" t="str">
        <x:f>IF(ISBLANK(CZ44),IF(CQ44="","",VLOOKUP(CQ44,SectInfo!$B:$N,6,FALSE)),CZ44)</x:f>
        <x:v/>
      </x:c>
      <x:c r="CP84" s="1305" t="str">
        <x:f>IF(CQ44="","",IF(VLOOKUP(CQ44,SectInfo!$B:$N,10,FALSE)="","",(VLOOKUP(CQ44,SectInfo!$B:$N,10,FALSE)*-1)))</x:f>
        <x:v/>
      </x:c>
      <x:c r="CQ84" s="367" t="str">
        <x:f>IF(CQ44="","",IF(VLOOKUP(CQ44,SectInfo!$B:$N,7,FALSE)="","",(VLOOKUP(CQ44,SectInfo!$B:$N,7,FALSE)*-1)))</x:f>
        <x:v/>
      </x:c>
      <x:c r="CR84" s="367" t="str">
        <x:f>IF(CQ44="","",IF(VLOOKUP(CQ44,SectInfo!$B:$N,8,FALSE)="",$FC$4,(VLOOKUP(CQ44,SectInfo!$B:$N,8,FALSE))))</x:f>
        <x:v/>
      </x:c>
      <x:c r="CS84" s="367" t="str">
        <x:f>IF(CQ44="","",VLOOKUP(CQ44,SectInfo!$B:$N,9,FALSE))</x:f>
        <x:v/>
      </x:c>
      <x:c r="CT84" s="368">
        <x:f t="shared" si="139"/>
        <x:v>0</x:v>
      </x:c>
      <x:c r="CU84" s="369">
        <x:f t="shared" si="140"/>
        <x:v>0</x:v>
      </x:c>
      <x:c r="CV84" s="274" t="str">
        <x:f t="shared" si="141"/>
        <x:v/>
      </x:c>
      <x:c r="CW84" s="274" t="str">
        <x:f t="shared" si="142"/>
        <x:v/>
      </x:c>
      <x:c r="CX84" s="873" t="str">
        <x:f t="shared" si="143"/>
        <x:v/>
      </x:c>
      <x:c r="CY84" s="874">
        <x:f t="shared" si="144"/>
        <x:v>0</x:v>
      </x:c>
      <x:c r="CZ84" s="874">
        <x:f t="shared" si="145"/>
        <x:v>0</x:v>
      </x:c>
      <x:c r="DA84" s="874" t="str">
        <x:f t="shared" si="146"/>
        <x:v/>
      </x:c>
      <x:c r="DB84" s="1310" t="str">
        <x:f t="shared" si="182"/>
        <x:v/>
      </x:c>
      <x:c r="DC84" s="1310" t="str">
        <x:f t="shared" si="147"/>
        <x:v/>
      </x:c>
      <x:c r="DD84" s="1311">
        <x:f t="shared" si="183"/>
        <x:v>0</x:v>
      </x:c>
      <x:c r="DE84" s="1310">
        <x:f t="shared" si="148"/>
        <x:v>0</x:v>
      </x:c>
      <x:c r="DF84" s="1312">
        <x:f t="shared" si="149"/>
        <x:v>0</x:v>
      </x:c>
      <x:c r="DG84" s="1312" t="str">
        <x:f t="shared" si="150"/>
        <x:v/>
      </x:c>
      <x:c r="DH84" s="1310" t="str">
        <x:f t="shared" si="184"/>
        <x:v/>
      </x:c>
      <x:c r="DI84" s="1310" t="str">
        <x:f t="shared" si="151"/>
        <x:v/>
      </x:c>
      <x:c r="DJ84" s="1311">
        <x:f t="shared" si="185"/>
        <x:v>0</x:v>
      </x:c>
      <x:c r="DK84" s="1310" t="str">
        <x:f t="shared" si="186"/>
        <x:v/>
      </x:c>
      <x:c r="DL84" s="1310" t="str">
        <x:f t="shared" si="187"/>
        <x:v/>
      </x:c>
      <x:c r="DM84" s="1310" t="str">
        <x:f t="shared" si="152"/>
        <x:v/>
      </x:c>
      <x:c r="DN84" s="1310" t="str">
        <x:f t="shared" si="153"/>
        <x:v/>
      </x:c>
      <x:c r="DO84" s="889" t="str">
        <x:f t="shared" si="154"/>
        <x:v>ERR</x:v>
      </x:c>
      <x:c r="DP84" s="889" t="str">
        <x:f t="shared" si="155"/>
        <x:v>ERR</x:v>
      </x:c>
      <x:c r="DQ84" s="1310" t="str">
        <x:f t="shared" si="188"/>
        <x:v/>
      </x:c>
      <x:c r="DR84" s="1310" t="str">
        <x:f t="shared" si="188"/>
        <x:v/>
      </x:c>
      <x:c r="DS84" s="1310" t="str">
        <x:f t="shared" si="189"/>
        <x:v/>
      </x:c>
      <x:c r="DT84" s="1310" t="str">
        <x:f t="shared" si="156"/>
        <x:v/>
      </x:c>
      <x:c r="DU84" s="1310" t="str">
        <x:f t="shared" si="157"/>
        <x:v/>
      </x:c>
      <x:c r="DV84" s="889" t="str">
        <x:f t="shared" si="158"/>
        <x:v>ERR</x:v>
      </x:c>
      <x:c r="DW84" s="889" t="str">
        <x:f t="shared" si="159"/>
        <x:v>ERR</x:v>
      </x:c>
      <x:c r="DX84" s="873" t="str">
        <x:f t="shared" si="190"/>
        <x:v/>
      </x:c>
      <x:c r="DY84" s="873" t="str">
        <x:f t="shared" si="190"/>
        <x:v/>
      </x:c>
      <x:c r="DZ84" s="873" t="str">
        <x:f t="shared" si="199"/>
        <x:v/>
      </x:c>
      <x:c r="EA84" s="873" t="str">
        <x:f t="shared" si="200"/>
        <x:v/>
      </x:c>
      <x:c r="EB84" s="876" t="str">
        <x:f t="shared" si="160"/>
        <x:v/>
      </x:c>
      <x:c r="EC84" s="877" t="str">
        <x:f t="shared" si="191"/>
        <x:v/>
      </x:c>
      <x:c r="ED84" s="876" t="str">
        <x:f t="shared" si="161"/>
        <x:v/>
      </x:c>
      <x:c r="EE84" s="876" t="str">
        <x:f t="shared" si="162"/>
        <x:v/>
      </x:c>
      <x:c r="EF84" s="876" t="str">
        <x:f t="shared" si="163"/>
        <x:v/>
      </x:c>
      <x:c r="EG84" s="876" t="str">
        <x:f t="shared" si="164"/>
        <x:v/>
      </x:c>
      <x:c r="EH84" s="876" t="str">
        <x:f t="shared" si="165"/>
        <x:v/>
      </x:c>
      <x:c r="EI84" s="876" t="str">
        <x:f t="shared" si="166"/>
        <x:v/>
      </x:c>
      <x:c r="EJ84" s="876" t="str">
        <x:f t="shared" si="167"/>
        <x:v/>
      </x:c>
      <x:c r="EK84" s="874">
        <x:f t="shared" si="192"/>
        <x:v>0</x:v>
      </x:c>
      <x:c r="EL84" s="874">
        <x:f t="shared" si="193"/>
        <x:v>0</x:v>
      </x:c>
      <x:c r="EM84" s="874">
        <x:f t="shared" si="168"/>
        <x:v>0</x:v>
      </x:c>
      <x:c r="EN84" s="874" t="str">
        <x:f t="shared" si="169"/>
        <x:v/>
      </x:c>
      <x:c r="EO84" s="873" t="str">
        <x:f t="shared" si="194"/>
        <x:v/>
      </x:c>
      <x:c r="EP84" s="874">
        <x:f t="shared" si="195"/>
        <x:v>0</x:v>
      </x:c>
      <x:c r="EQ84" s="874">
        <x:f t="shared" si="196"/>
        <x:v>0</x:v>
      </x:c>
      <x:c r="ER84" s="874">
        <x:f t="shared" si="170"/>
        <x:v>0</x:v>
      </x:c>
      <x:c r="ES84" s="874" t="str">
        <x:f t="shared" si="171"/>
        <x:v/>
      </x:c>
      <x:c r="ET84" s="873" t="str">
        <x:f t="shared" si="197"/>
        <x:v/>
      </x:c>
      <x:c r="EU84" s="873">
        <x:f t="shared" si="172"/>
        <x:v>0</x:v>
      </x:c>
      <x:c r="EV84" s="876" t="e">
        <x:f t="shared" si="173"/>
        <x:v>#VALUE!</x:v>
      </x:c>
      <x:c r="EW84" s="876" t="e">
        <x:f t="shared" si="174"/>
        <x:v>#VALUE!</x:v>
      </x:c>
      <x:c r="EX84" s="942" t="str">
        <x:f t="shared" si="175"/>
        <x:v/>
      </x:c>
      <x:c r="EY84" s="879" t="e">
        <x:f t="shared" si="198"/>
        <x:v>#DIV/0!</x:v>
      </x:c>
      <x:c r="EZ84" s="959" t="e">
        <x:f t="shared" si="176"/>
        <x:v>#DIV/0!</x:v>
      </x:c>
      <x:c r="FA84" s="960" t="e">
        <x:f t="shared" si="177"/>
        <x:v>#DIV/0!</x:v>
      </x:c>
      <x:c r="FB84" s="880" t="str">
        <x:f t="shared" si="178"/>
        <x:v/>
      </x:c>
      <x:c r="FC84" s="881" t="str">
        <x:f t="shared" si="179"/>
        <x:v/>
      </x:c>
      <x:c r="FD84" s="512">
        <x:f t="shared" si="180"/>
        <x:v>0</x:v>
      </x:c>
      <x:c r="FE84" s="513">
        <x:f t="shared" si="181"/>
        <x:v>0</x:v>
      </x:c>
      <x:c r="FF84" s="754" t="b">
        <x:f t="shared" si="106"/>
        <x:v>0</x:v>
      </x:c>
      <x:c r="FG84" s="754" t="b">
        <x:f t="shared" si="107"/>
        <x:v>0</x:v>
      </x:c>
      <x:c r="FH84" s="754" t="b">
        <x:f t="shared" si="108"/>
        <x:v>0</x:v>
      </x:c>
      <x:c r="FI84" s="917" t="b">
        <x:f t="shared" si="109"/>
        <x:v>0</x:v>
      </x:c>
      <x:c r="FJ84" s="920" t="str">
        <x:f t="shared" si="119"/>
        <x:v/>
      </x:c>
      <x:c r="FK84" s="919" t="str">
        <x:f t="shared" si="120"/>
        <x:v/>
      </x:c>
      <x:c r="FL84" s="320" t="e">
        <x:f t="shared" si="121"/>
        <x:v>#N/A</x:v>
      </x:c>
      <x:c r="FM84" s="312" t="str">
        <x:f t="shared" si="110"/>
        <x:v/>
      </x:c>
      <x:c r="FN84" s="272" t="str">
        <x:f t="shared" ca="1" si="122"/>
        <x:v/>
      </x:c>
      <x:c r="FO84" s="273" t="str">
        <x:f t="shared" ca="1" si="123"/>
        <x:v/>
      </x:c>
      <x:c r="FP84" s="274" t="str">
        <x:f t="shared" ca="1" si="124"/>
        <x:v/>
      </x:c>
      <x:c r="FQ84" s="274" t="str">
        <x:f t="shared" ca="1" si="125"/>
        <x:v/>
      </x:c>
      <x:c r="FR84" s="321">
        <x:f t="shared" ca="1" si="126"/>
        <x:v>0</x:v>
      </x:c>
      <x:c r="FS84" s="322">
        <x:f t="shared" ca="1" si="127"/>
        <x:v>0</x:v>
      </x:c>
      <x:c r="FT84" s="272" t="str">
        <x:f t="shared" ca="1" si="132"/>
        <x:v/>
      </x:c>
      <x:c r="FU84" s="275" t="str">
        <x:f t="shared" ca="1" si="133"/>
        <x:v/>
      </x:c>
      <x:c r="FV84" s="323" t="str">
        <x:f t="shared" ca="1" si="134"/>
        <x:v/>
      </x:c>
      <x:c r="FW84" s="276" t="str">
        <x:f t="shared" ca="1" si="128"/>
        <x:v/>
      </x:c>
      <x:c r="FX84" s="276" t="str">
        <x:f t="shared" ca="1" si="129"/>
        <x:v/>
      </x:c>
      <x:c r="FY84" s="276" t="str">
        <x:f t="shared" ca="1" si="135"/>
        <x:v/>
      </x:c>
      <x:c r="FZ84" s="276" t="str">
        <x:f t="shared" ca="1" si="130"/>
        <x:v/>
      </x:c>
      <x:c r="GA84" s="276" t="str">
        <x:f t="shared" ca="1" si="136"/>
        <x:v/>
      </x:c>
      <x:c r="GB84" s="277" t="str">
        <x:f ca="1">IF(FY84="","",2+SUM(FO84:OFFSET(FO84,(FU84-1)*-1,0)))</x:f>
        <x:v/>
      </x:c>
      <x:c r="GC84" s="316" t="e">
        <x:f t="shared" si="131"/>
        <x:v>#N/A</x:v>
      </x:c>
      <x:c r="GD84" s="324" t="str">
        <x:f t="shared" si="111"/>
        <x:v/>
      </x:c>
      <x:c r="GE84" s="325" t="str">
        <x:f t="shared" si="112"/>
        <x:v/>
      </x:c>
      <x:c r="GF84" s="278" t="str">
        <x:f t="shared" si="113"/>
        <x:v/>
      </x:c>
      <x:c r="GG84" s="279" t="str">
        <x:f t="shared" si="114"/>
        <x:v/>
      </x:c>
      <x:c r="GH84" s="279" t="str">
        <x:f t="shared" si="115"/>
        <x:v/>
      </x:c>
      <x:c r="GI84" s="280" t="str">
        <x:f t="shared" si="116"/>
        <x:v/>
      </x:c>
      <x:c r="GJ84" s="326">
        <x:f t="shared" ca="1" si="117"/>
        <x:v>0</x:v>
      </x:c>
      <x:c r="GK84" s="913" t="str">
        <x:f t="shared" ca="1" si="118"/>
        <x:v/>
      </x:c>
    </x:row>
    <x:row r="85" spans="1:238" ht="12.6" hidden="1" customHeight="1" thickBot="1" x14ac:dyDescent="0.25">
      <x:c r="BZ85" s="293"/>
      <x:c r="CA85" s="293"/>
      <x:c r="CB85" s="636" t="str">
        <x:f t="shared" si="137"/>
        <x:v/>
      </x:c>
      <x:c r="CC85" s="1307" t="str">
        <x:f>IF(CG45="","",VLOOKUP(CG45,SectInfo!$B:$N,12,FALSE))</x:f>
        <x:v/>
      </x:c>
      <x:c r="CD85" s="1308" t="str">
        <x:f>IF(ISBLANK(CN45),IF(CG45="","",VLOOKUP(CG45,SectInfo!$B:$N,13,FALSE)),CN45)</x:f>
        <x:v/>
      </x:c>
      <x:c r="CE85" s="1308" t="str">
        <x:f>IF(CG45="","",IF(VLOOKUP(CG45,SectInfo!$B:$N,5,FALSE)="","R",UPPER(VLOOKUP(CG45,SectInfo!$B:$N,5,FALSE))))</x:f>
        <x:v/>
      </x:c>
      <x:c r="CF85" s="1308" t="str">
        <x:f>IF(ISBLANK(CP45),IF(CG45="","",VLOOKUP(CG45,SectInfo!$B:$N,6,FALSE)),CP45)</x:f>
        <x:v/>
      </x:c>
      <x:c r="CG85" s="1308" t="str">
        <x:f>IF(CG45="","",IF(VLOOKUP(CG45,SectInfo!$B:$N,10,FALSE)="","",(VLOOKUP(CG45,SectInfo!$B:$N,10,FALSE)*-1)))</x:f>
        <x:v/>
      </x:c>
      <x:c r="CH85" s="1308" t="str">
        <x:f>IF(CG45="","",IF(VLOOKUP(CG45,SectInfo!$B:$N,7,FALSE)="","",(VLOOKUP(CG45,SectInfo!$B:$N,7,FALSE)*-1)))</x:f>
        <x:v/>
      </x:c>
      <x:c r="CI85" s="1308" t="str">
        <x:f>IF(CG45="","",IF(VLOOKUP(CG45,SectInfo!$B:$N,8,FALSE)="",$FC$4,(VLOOKUP(CG45,SectInfo!$B:$N,8,FALSE))))</x:f>
        <x:v/>
      </x:c>
      <x:c r="CJ85" s="1308" t="str">
        <x:f>IF(CG45="","",VLOOKUP(CG45,SectInfo!$B:$N,9,FALSE))</x:f>
        <x:v/>
      </x:c>
      <x:c r="CK85" s="1309">
        <x:f t="shared" si="138"/>
        <x:v>0</x:v>
      </x:c>
      <x:c r="CL85" s="1307" t="str">
        <x:f>IF(CQ45="","",VLOOKUP(CQ45,SectInfo!$B:$N,12,FALSE))</x:f>
        <x:v/>
      </x:c>
      <x:c r="CM85" s="1308" t="str">
        <x:f>IF(ISBLANK(CX45),IF(CQ45="","",VLOOKUP(CQ45,SectInfo!$B:$N,13,FALSE)),CX45)</x:f>
        <x:v/>
      </x:c>
      <x:c r="CN85" s="1308" t="str">
        <x:f>IF(CQ45="","",IF(VLOOKUP(CQ45,SectInfo!$B:$N,5,FALSE)="","R",UPPER(VLOOKUP(CQ45,SectInfo!$B:$N,5,FALSE))))</x:f>
        <x:v/>
      </x:c>
      <x:c r="CO85" s="1308" t="str">
        <x:f>IF(ISBLANK(CZ45),IF(CQ45="","",VLOOKUP(CQ45,SectInfo!$B:$N,6,FALSE)),CZ45)</x:f>
        <x:v/>
      </x:c>
      <x:c r="CP85" s="1308" t="str">
        <x:f>IF(CQ45="","",IF(VLOOKUP(CQ45,SectInfo!$B:$N,10,FALSE)="","",(VLOOKUP(CQ45,SectInfo!$B:$N,10,FALSE)*-1)))</x:f>
        <x:v/>
      </x:c>
      <x:c r="CQ85" s="637" t="str">
        <x:f>IF(CQ45="","",IF(VLOOKUP(CQ45,SectInfo!$B:$N,7,FALSE)="","",(VLOOKUP(CQ45,SectInfo!$B:$N,7,FALSE)*-1)))</x:f>
        <x:v/>
      </x:c>
      <x:c r="CR85" s="637" t="str">
        <x:f>IF(CQ45="","",IF(VLOOKUP(CQ45,SectInfo!$B:$N,8,FALSE)="",$FC$4,(VLOOKUP(CQ45,SectInfo!$B:$N,8,FALSE))))</x:f>
        <x:v/>
      </x:c>
      <x:c r="CS85" s="637" t="str">
        <x:f>IF(CQ45="","",VLOOKUP(CQ45,SectInfo!$B:$N,9,FALSE))</x:f>
        <x:v/>
      </x:c>
      <x:c r="CT85" s="638">
        <x:f t="shared" si="139"/>
        <x:v>0</x:v>
      </x:c>
      <x:c r="CU85" s="639">
        <x:f t="shared" si="140"/>
        <x:v>0</x:v>
      </x:c>
      <x:c r="CV85" s="283" t="str">
        <x:f t="shared" si="141"/>
        <x:v/>
      </x:c>
      <x:c r="CW85" s="283" t="str">
        <x:f t="shared" si="142"/>
        <x:v/>
      </x:c>
      <x:c r="CX85" s="882" t="str">
        <x:f t="shared" si="143"/>
        <x:v/>
      </x:c>
      <x:c r="CY85" s="883">
        <x:f t="shared" si="144"/>
        <x:v>0</x:v>
      </x:c>
      <x:c r="CZ85" s="883">
        <x:f t="shared" si="145"/>
        <x:v>0</x:v>
      </x:c>
      <x:c r="DA85" s="883" t="str">
        <x:f t="shared" si="146"/>
        <x:v/>
      </x:c>
      <x:c r="DB85" s="1313" t="str">
        <x:f t="shared" si="182"/>
        <x:v/>
      </x:c>
      <x:c r="DC85" s="1313" t="str">
        <x:f t="shared" si="147"/>
        <x:v/>
      </x:c>
      <x:c r="DD85" s="1314">
        <x:f t="shared" si="183"/>
        <x:v>0</x:v>
      </x:c>
      <x:c r="DE85" s="1313">
        <x:f t="shared" si="148"/>
        <x:v>0</x:v>
      </x:c>
      <x:c r="DF85" s="1315">
        <x:f t="shared" si="149"/>
        <x:v>0</x:v>
      </x:c>
      <x:c r="DG85" s="1315" t="str">
        <x:f t="shared" si="150"/>
        <x:v/>
      </x:c>
      <x:c r="DH85" s="1313" t="str">
        <x:f t="shared" si="184"/>
        <x:v/>
      </x:c>
      <x:c r="DI85" s="1313" t="str">
        <x:f t="shared" si="151"/>
        <x:v/>
      </x:c>
      <x:c r="DJ85" s="1314">
        <x:f t="shared" si="185"/>
        <x:v>0</x:v>
      </x:c>
      <x:c r="DK85" s="1313" t="str">
        <x:f t="shared" si="186"/>
        <x:v/>
      </x:c>
      <x:c r="DL85" s="1313" t="str">
        <x:f t="shared" si="187"/>
        <x:v/>
      </x:c>
      <x:c r="DM85" s="1313" t="str">
        <x:f t="shared" si="152"/>
        <x:v/>
      </x:c>
      <x:c r="DN85" s="1313" t="str">
        <x:f t="shared" si="153"/>
        <x:v/>
      </x:c>
      <x:c r="DO85" s="891" t="str">
        <x:f t="shared" si="154"/>
        <x:v>ERR</x:v>
      </x:c>
      <x:c r="DP85" s="891" t="str">
        <x:f t="shared" si="155"/>
        <x:v>ERR</x:v>
      </x:c>
      <x:c r="DQ85" s="1313" t="str">
        <x:f t="shared" si="188"/>
        <x:v/>
      </x:c>
      <x:c r="DR85" s="1313" t="str">
        <x:f t="shared" si="188"/>
        <x:v/>
      </x:c>
      <x:c r="DS85" s="1313" t="str">
        <x:f t="shared" si="189"/>
        <x:v/>
      </x:c>
      <x:c r="DT85" s="1313" t="str">
        <x:f t="shared" si="156"/>
        <x:v/>
      </x:c>
      <x:c r="DU85" s="1313" t="str">
        <x:f t="shared" si="157"/>
        <x:v/>
      </x:c>
      <x:c r="DV85" s="891" t="str">
        <x:f t="shared" si="158"/>
        <x:v>ERR</x:v>
      </x:c>
      <x:c r="DW85" s="891" t="str">
        <x:f t="shared" si="159"/>
        <x:v>ERR</x:v>
      </x:c>
      <x:c r="DX85" s="882" t="str">
        <x:f t="shared" si="190"/>
        <x:v/>
      </x:c>
      <x:c r="DY85" s="882" t="str">
        <x:f t="shared" si="190"/>
        <x:v/>
      </x:c>
      <x:c r="DZ85" s="882" t="str">
        <x:f t="shared" si="199"/>
        <x:v/>
      </x:c>
      <x:c r="EA85" s="882" t="str">
        <x:f t="shared" si="200"/>
        <x:v/>
      </x:c>
      <x:c r="EB85" s="884" t="str">
        <x:f t="shared" si="160"/>
        <x:v/>
      </x:c>
      <x:c r="EC85" s="885" t="str">
        <x:f t="shared" si="191"/>
        <x:v/>
      </x:c>
      <x:c r="ED85" s="884" t="str">
        <x:f t="shared" si="161"/>
        <x:v/>
      </x:c>
      <x:c r="EE85" s="884" t="str">
        <x:f t="shared" si="162"/>
        <x:v/>
      </x:c>
      <x:c r="EF85" s="884" t="str">
        <x:f t="shared" si="163"/>
        <x:v/>
      </x:c>
      <x:c r="EG85" s="884" t="str">
        <x:f t="shared" si="164"/>
        <x:v/>
      </x:c>
      <x:c r="EH85" s="884" t="str">
        <x:f t="shared" si="165"/>
        <x:v/>
      </x:c>
      <x:c r="EI85" s="884" t="str">
        <x:f t="shared" si="166"/>
        <x:v/>
      </x:c>
      <x:c r="EJ85" s="884" t="str">
        <x:f t="shared" si="167"/>
        <x:v/>
      </x:c>
      <x:c r="EK85" s="883">
        <x:f t="shared" si="192"/>
        <x:v>0</x:v>
      </x:c>
      <x:c r="EL85" s="883">
        <x:f t="shared" si="193"/>
        <x:v>0</x:v>
      </x:c>
      <x:c r="EM85" s="883">
        <x:f t="shared" si="168"/>
        <x:v>0</x:v>
      </x:c>
      <x:c r="EN85" s="883" t="str">
        <x:f t="shared" si="169"/>
        <x:v/>
      </x:c>
      <x:c r="EO85" s="882" t="str">
        <x:f t="shared" si="194"/>
        <x:v/>
      </x:c>
      <x:c r="EP85" s="883">
        <x:f t="shared" si="195"/>
        <x:v>0</x:v>
      </x:c>
      <x:c r="EQ85" s="883">
        <x:f t="shared" si="196"/>
        <x:v>0</x:v>
      </x:c>
      <x:c r="ER85" s="883">
        <x:f t="shared" si="170"/>
        <x:v>0</x:v>
      </x:c>
      <x:c r="ES85" s="883" t="str">
        <x:f t="shared" si="171"/>
        <x:v/>
      </x:c>
      <x:c r="ET85" s="882" t="str">
        <x:f t="shared" si="197"/>
        <x:v/>
      </x:c>
      <x:c r="EU85" s="882">
        <x:f t="shared" si="172"/>
        <x:v>0</x:v>
      </x:c>
      <x:c r="EV85" s="884" t="e">
        <x:f t="shared" si="173"/>
        <x:v>#VALUE!</x:v>
      </x:c>
      <x:c r="EW85" s="884" t="e">
        <x:f t="shared" si="174"/>
        <x:v>#VALUE!</x:v>
      </x:c>
      <x:c r="EX85" s="943" t="str">
        <x:f t="shared" si="175"/>
        <x:v/>
      </x:c>
      <x:c r="EY85" s="886" t="e">
        <x:f t="shared" si="198"/>
        <x:v>#DIV/0!</x:v>
      </x:c>
      <x:c r="EZ85" s="961" t="e">
        <x:f t="shared" si="176"/>
        <x:v>#DIV/0!</x:v>
      </x:c>
      <x:c r="FA85" s="962" t="e">
        <x:f t="shared" si="177"/>
        <x:v>#DIV/0!</x:v>
      </x:c>
      <x:c r="FB85" s="887" t="str">
        <x:f t="shared" si="178"/>
        <x:v/>
      </x:c>
      <x:c r="FC85" s="888" t="str">
        <x:f t="shared" si="179"/>
        <x:v/>
      </x:c>
      <x:c r="FD85" s="514">
        <x:f t="shared" si="180"/>
        <x:v>0</x:v>
      </x:c>
      <x:c r="FE85" s="515">
        <x:f t="shared" si="181"/>
        <x:v>0</x:v>
      </x:c>
      <x:c r="FF85" s="754" t="b">
        <x:f t="shared" si="106"/>
        <x:v>0</x:v>
      </x:c>
      <x:c r="FG85" s="754" t="b">
        <x:f t="shared" si="107"/>
        <x:v>0</x:v>
      </x:c>
      <x:c r="FH85" s="754" t="b">
        <x:f t="shared" si="108"/>
        <x:v>0</x:v>
      </x:c>
      <x:c r="FI85" s="917" t="b">
        <x:f t="shared" si="109"/>
        <x:v>0</x:v>
      </x:c>
      <x:c r="FJ85" s="920" t="str">
        <x:f t="shared" si="119"/>
        <x:v/>
      </x:c>
      <x:c r="FK85" s="919" t="str">
        <x:f t="shared" si="120"/>
        <x:v/>
      </x:c>
      <x:c r="FL85" s="327" t="e">
        <x:f t="shared" si="121"/>
        <x:v>#N/A</x:v>
      </x:c>
      <x:c r="FM85" s="328" t="str">
        <x:f t="shared" si="110"/>
        <x:v/>
      </x:c>
      <x:c r="FN85" s="281" t="str">
        <x:f t="shared" ca="1" si="122"/>
        <x:v/>
      </x:c>
      <x:c r="FO85" s="282" t="str">
        <x:f t="shared" ca="1" si="123"/>
        <x:v/>
      </x:c>
      <x:c r="FP85" s="283" t="str">
        <x:f t="shared" ca="1" si="124"/>
        <x:v/>
      </x:c>
      <x:c r="FQ85" s="283" t="str">
        <x:f t="shared" ca="1" si="125"/>
        <x:v/>
      </x:c>
      <x:c r="FR85" s="329">
        <x:f t="shared" ca="1" si="126"/>
        <x:v>0</x:v>
      </x:c>
      <x:c r="FS85" s="330">
        <x:f t="shared" ca="1" si="127"/>
        <x:v>0</x:v>
      </x:c>
      <x:c r="FT85" s="281" t="str">
        <x:f t="shared" ca="1" si="132"/>
        <x:v/>
      </x:c>
      <x:c r="FU85" s="284" t="str">
        <x:f t="shared" ca="1" si="133"/>
        <x:v/>
      </x:c>
      <x:c r="FV85" s="331" t="str">
        <x:f t="shared" ca="1" si="134"/>
        <x:v/>
      </x:c>
      <x:c r="FW85" s="285" t="str">
        <x:f t="shared" ca="1" si="128"/>
        <x:v/>
      </x:c>
      <x:c r="FX85" s="285" t="str">
        <x:f t="shared" ca="1" si="129"/>
        <x:v/>
      </x:c>
      <x:c r="FY85" s="285" t="str">
        <x:f t="shared" ca="1" si="135"/>
        <x:v/>
      </x:c>
      <x:c r="FZ85" s="285" t="str">
        <x:f t="shared" ca="1" si="130"/>
        <x:v/>
      </x:c>
      <x:c r="GA85" s="285" t="str">
        <x:f t="shared" ca="1" si="136"/>
        <x:v/>
      </x:c>
      <x:c r="GB85" s="286" t="str">
        <x:f ca="1">IF(FY85="","",2+SUM(FO85:OFFSET(FO85,(FU85-1)*-1,0)))</x:f>
        <x:v/>
      </x:c>
      <x:c r="GC85" s="332" t="e">
        <x:f t="shared" si="131"/>
        <x:v>#N/A</x:v>
      </x:c>
      <x:c r="GD85" s="333" t="str">
        <x:f t="shared" si="111"/>
        <x:v/>
      </x:c>
      <x:c r="GE85" s="334" t="str">
        <x:f t="shared" si="112"/>
        <x:v/>
      </x:c>
      <x:c r="GF85" s="287" t="str">
        <x:f t="shared" si="113"/>
        <x:v/>
      </x:c>
      <x:c r="GG85" s="288" t="str">
        <x:f t="shared" si="114"/>
        <x:v/>
      </x:c>
      <x:c r="GH85" s="288" t="str">
        <x:f t="shared" si="115"/>
        <x:v/>
      </x:c>
      <x:c r="GI85" s="289" t="str">
        <x:f t="shared" si="116"/>
        <x:v/>
      </x:c>
      <x:c r="GJ85" s="335">
        <x:f ca="1">IF(FY85="",FM46,(FY85-(FQ85+VLOOKUP(FK85,$CB$54:$EU$85,12,FALSE)-VLOOKUP(FK85,$CB$54:$EU$85,34,FALSE))/COS(VLOOKUP(FK85,$CB$54:$EU$85,72,FALSE)))/2)</x:f>
        <x:v>0</x:v>
      </x:c>
      <x:c r="GK85" s="914" t="str">
        <x:f t="shared" ca="1" si="118"/>
        <x:v/>
      </x:c>
    </x:row>
    <x:row r="86" spans="1:238" ht="12.6" hidden="1" customHeight="1" x14ac:dyDescent="0.2">
      <x:c r="Z86" s="1140"/>
      <x:c r="AA86" s="1140"/>
      <x:c r="AB86" s="1140"/>
    </x:row>
    <x:row r="87" spans="1:238" ht="12.6" hidden="1" customHeight="1" x14ac:dyDescent="0.25">
      <x:c r="A87" s="1214" t="str">
        <x:f>IF(ISBLANK(CB87),"",CB87)</x:f>
        <x:v/>
      </x:c>
      <x:c r="B87" s="1678" t="str">
        <x:f t="shared" ref="B87" si="201">IF(ISBLANK(CC87),"",CC87)</x:f>
        <x:v/>
      </x:c>
      <x:c r="C87" s="1215" t="str">
        <x:f>IF(ISBLANK(CD87),"",CD87)</x:f>
        <x:v/>
      </x:c>
      <x:c r="D87" s="1216" t="str">
        <x:f>IF(CV127="","",TRUNC(CV127/12))</x:f>
        <x:v/>
      </x:c>
      <x:c r="E87" s="1217" t="str">
        <x:f>IF(CV127="","",CV127-(D87*12))</x:f>
        <x:v/>
      </x:c>
      <x:c r="F87" s="1218" t="str">
        <x:f>IF(ISBLANK(CY87),"",CY87)</x:f>
        <x:v/>
      </x:c>
      <x:c r="G87" s="1219" t="str">
        <x:f>IF(DD127=0,"",TRUNC(DD127/12))</x:f>
        <x:v/>
      </x:c>
      <x:c r="H87" s="1220" t="str">
        <x:f>IF(DD127=0,"",DD127-(G87*12))</x:f>
        <x:v/>
      </x:c>
      <x:c r="I87" s="1221" t="str">
        <x:f>IF(DD127=0,"",CE127)</x:f>
        <x:v/>
      </x:c>
      <x:c r="J87" s="1216" t="str">
        <x:f>IF(DJ127=0,"",TRUNC(DJ127/12))</x:f>
        <x:v/>
      </x:c>
      <x:c r="K87" s="1220" t="str">
        <x:f>IF(DJ127=0,"",DJ127-(J87*12))</x:f>
        <x:v/>
      </x:c>
      <x:c r="L87" s="1222" t="str">
        <x:f>IF(DJ127=0,"",CN127)</x:f>
        <x:v/>
      </x:c>
      <x:c r="M87" s="1223" t="str">
        <x:f>IF(CW127="","",CW127)</x:f>
        <x:v/>
      </x:c>
      <x:c r="N87" s="1224" t="str">
        <x:f>IF(CX127="","",CX127)</x:f>
        <x:v/>
      </x:c>
      <x:c r="O87" s="1219" t="str">
        <x:f>IF(DZ127="","",IF(AND(DZ127&gt;-12,DZ127&lt;0),-0.000001,TRUNC(DZ127/12)))</x:f>
        <x:v/>
      </x:c>
      <x:c r="P87" s="1220" t="str">
        <x:f>IF(DZ127="","",IF(AND(DZ127&lt;0,DZ127-(O87*12)=0),-0.00001,DZ127-(O87*12)))</x:f>
        <x:v/>
      </x:c>
      <x:c r="Q87" s="1216" t="str">
        <x:f>IF(EA127="","",IF(AND(EA127&gt;-12,EA127&lt;0),-0.000001,TRUNC(EA127/12)))</x:f>
        <x:v/>
      </x:c>
      <x:c r="R87" s="1217" t="str">
        <x:f>IF(EA127="","",IF(AND(EA127&lt;0,EA127-(Q87*12)=0),-0.00001,EA127-(Q87*12)))</x:f>
        <x:v/>
      </x:c>
      <x:c r="S87" s="1225" t="str">
        <x:f>IF(DR127="","",IF(DR127="ERR",TRUNC(DQ127/12),TRUNC(DR127/12)))</x:f>
        <x:v/>
      </x:c>
      <x:c r="T87" s="1220" t="str">
        <x:f>IF(DR127="","",IF(DR127="ERR",DQ127-(S87*12),DR127-(S87*12)))</x:f>
        <x:v/>
      </x:c>
      <x:c r="U87" s="1216" t="str">
        <x:f>IF(DY127="","",IF(DY127="ERR",TRUNC(DX127/12),TRUNC(DY127/12)))</x:f>
        <x:v/>
      </x:c>
      <x:c r="V87" s="1220" t="str">
        <x:f>IF(DY127="","",IF(DY127="ERR",DX127-(U87*12),DY127-(U87*12)))</x:f>
        <x:v/>
      </x:c>
      <x:c r="W87" s="1224">
        <x:f>IF(EC127="",0,EC127)</x:f>
        <x:v>0</x:v>
      </x:c>
      <x:c r="X87" s="1226" t="str">
        <x:f>IF(EN127="","",EN127)</x:f>
        <x:v/>
      </x:c>
      <x:c r="Y87" s="1227" t="str">
        <x:f>IF(ES127="","",ES127)</x:f>
        <x:v/>
      </x:c>
      <x:c r="Z87" s="1233" t="str">
        <x:f>CONCATENATE(IF(CW87="","",CONCATENATE("[",SUBSTITUTE(CW87," ",""),"] ")),IF(CV87="","",CONCATENATE("(",SUBSTITUTE(CV87," ",""),")")))</x:f>
        <x:v/>
      </x:c>
      <x:c r="AA87" s="1289" t="str">
        <x:f>IF(ISBLANK(CX87),"",CX87)</x:f>
        <x:v/>
      </x:c>
      <x:c r="AB87" s="1001" t="str">
        <x:f>IF(ISBLANK(DH87),"",DH87)</x:f>
        <x:v/>
      </x:c>
      <x:c r="AC87" s="997" t="str">
        <x:f>IF(ISBLANK(DI87),"",DI87)</x:f>
        <x:v/>
      </x:c>
      <x:c r="AD87" s="998" t="str">
        <x:f>IF(FV127="","",TRUNC(FV127/12))</x:f>
        <x:v/>
      </x:c>
      <x:c r="AE87" s="999" t="str">
        <x:f>IF(FV127="","",FV127-(AD87*12))</x:f>
        <x:v/>
      </x:c>
      <x:c r="AF87" s="997" t="str">
        <x:f>IF(FO127="","",FO127)</x:f>
        <x:v/>
      </x:c>
      <x:c r="AG87" s="998" t="str">
        <x:f>IF(FX127="","",TRUNC(FX127/12))</x:f>
        <x:v/>
      </x:c>
      <x:c r="AH87" s="999" t="str">
        <x:f>IF(FX127="","",FX127-(AG87*12))</x:f>
        <x:v/>
      </x:c>
      <x:c r="AI87" s="998" t="str">
        <x:f>IF(FZ127="","",TRUNC(FZ127/12))</x:f>
        <x:v/>
      </x:c>
      <x:c r="AJ87" s="999" t="str">
        <x:f>IF(FZ127="","",FZ127-(AI87*12))</x:f>
        <x:v/>
      </x:c>
      <x:c r="AK87" s="1228" t="str">
        <x:f>IF(ISBLANK(DO87),"",DO87)</x:f>
        <x:v/>
      </x:c>
      <x:c r="AL87" s="1229" t="str">
        <x:f>IF(ISBLANK(DP87),"",DP87)</x:f>
        <x:v/>
      </x:c>
      <x:c r="AM87" s="1230" t="str">
        <x:f>IF(ISBLANK(DQ87),"",DQ87)</x:f>
        <x:v/>
      </x:c>
      <x:c r="AN87" s="997" t="str">
        <x:f>IF(ISBLANK(DR87),"",DR87)</x:f>
        <x:v/>
      </x:c>
      <x:c r="AO87" s="1095" t="str">
        <x:f>IF(ISBLANK(DS87),"",DS87)</x:f>
        <x:v/>
      </x:c>
      <x:c r="AP87" s="1045" t="str">
        <x:f>IF(OR(GD127="",GD127=0),"",GD127)</x:f>
        <x:v/>
      </x:c>
      <x:c r="AQ87" s="1231" t="str">
        <x:f>IF(OR(GE127="",GE127=0),"",GE127)</x:f>
        <x:v/>
      </x:c>
      <x:c r="AR87" s="1000" t="str">
        <x:f>IF(GF127="","",IF(ISTEXT(GF127),"P",TRUNC(GF127/12)))</x:f>
        <x:v/>
      </x:c>
      <x:c r="AS87" s="999" t="str">
        <x:f>IF(GF127="","",IF(AR87="P",GF127,GF127-(AR87*12)))</x:f>
        <x:v/>
      </x:c>
      <x:c r="AT87" s="1232" t="str">
        <x:f>IF(ISBLANK(DX87),"",DX87)</x:f>
        <x:v/>
      </x:c>
      <x:c r="AU87" s="1096" t="str">
        <x:f>IF(ISBLANK(DY87),"",DY87)</x:f>
        <x:v/>
      </x:c>
      <x:c r="AV87" s="1046" t="str">
        <x:f>IF(GG127="","",IF(ISTEXT(GG127),"P",TRUNC(GG127/12)))</x:f>
        <x:v/>
      </x:c>
      <x:c r="AW87" s="999" t="str">
        <x:f>IF(GG127="","",IF(AV87="P",GG127,GG127-(AV87*12)))</x:f>
        <x:v/>
      </x:c>
      <x:c r="AX87" s="1232" t="str">
        <x:f>IF(ISBLANK(EB87),"",EB87)</x:f>
        <x:v/>
      </x:c>
      <x:c r="AY87" s="1096" t="str">
        <x:f>IF(ISBLANK(EC87),"",EC87)</x:f>
        <x:v/>
      </x:c>
      <x:c r="AZ87" s="1046" t="str">
        <x:f>IF(GH127="","",IF(ISTEXT(GH127),"P",TRUNC(GH127/12)))</x:f>
        <x:v/>
      </x:c>
      <x:c r="BA87" s="999" t="str">
        <x:f>IF(GH127="","",IF(AZ87="P",GH127,GH127-(AZ87*12)))</x:f>
        <x:v/>
      </x:c>
      <x:c r="BB87" s="1232" t="str">
        <x:f>IF(ISBLANK(EF87),"",EF87)</x:f>
        <x:v/>
      </x:c>
      <x:c r="BC87" s="1096" t="str">
        <x:f>IF(ISBLANK(EG87),"",EG87)</x:f>
        <x:v/>
      </x:c>
      <x:c r="BD87" s="1046" t="str">
        <x:f>IF(GI127="","",IF(ISTEXT(GI127),"P",TRUNC(GI127/12)))</x:f>
        <x:v/>
      </x:c>
      <x:c r="BE87" s="999" t="str">
        <x:f>IF(GI127="","",IF(BD87="P",GI127,GI127-(BD87*12)))</x:f>
        <x:v/>
      </x:c>
      <x:c r="BF87" s="1232" t="str">
        <x:f>IF(ISBLANK(EJ87),"",EJ87)</x:f>
        <x:v/>
      </x:c>
      <x:c r="BG87" s="1096" t="str">
        <x:f>IF(ISBLANK(EK87),"",EK87)</x:f>
        <x:v/>
      </x:c>
      <x:c r="BH87" s="261">
        <x:v>12.5</x:v>
      </x:c>
      <x:c r="BJ87" s="995" t="str">
        <x:f>IF(AND(OR(ISBLANK(A87),A87=""),Z87&lt;&gt;""),BJ86,IF(OR(ISBLANK(A87),A87=""),"",A87))</x:f>
        <x:v/>
      </x:c>
      <x:c r="BK87" s="993" t="b">
        <x:f>IF($BK$1,IF(BJ87=BJ86,BK86,IF(AND(BJ87&lt;&gt;"",OR(B87=0,B87="")),TRUE,FALSE)),FALSE)</x:f>
        <x:v>0</x:v>
      </x:c>
      <x:c r="BL87" s="989" t="b">
        <x:v>0</x:v>
      </x:c>
      <x:c r="BM87" s="989">
        <x:f>IF(C87="",0,VALUE(IF(BN87="","",LEFT(C87,SEARCH(BN87,C87)-1))))</x:f>
        <x:v>0</x:v>
      </x:c>
      <x:c r="BN87" s="989">
        <x:f>IF(C87="",0,IF(NOT(ISERROR(SEARCH("VG",C87))),"VG",IF(NOT(ISERROR(SEARCH("BG",C87))),"BG",IF(NOT(ISERROR(SEARCH("G",C87))),"G"))))</x:f>
        <x:v>0</x:v>
      </x:c>
      <x:c r="BO87" s="989">
        <x:f>IF(C87="",0,VALUE(MID(C87,SEARCH(BN87,C87)+LEN(BN87),SEARCH("N",C87)-SEARCH(BN87,C87)-LEN(BN87))))</x:f>
        <x:v>0</x:v>
      </x:c>
      <x:c r="BP87" s="989">
        <x:f>IF(ISERROR(SEARCH("F",C87)),IF(C87="",0,VALUE(MID(C87,SEARCH("N",C87)+1,SEARCH("K",C87)-SEARCH("N",C87)-1))),IF(C87="",0,VALUE(MID(C87,SEARCH("N",C87)+1,SEARCH("F",C87)-SEARCH("N",C87)-1))))</x:f>
        <x:v>0</x:v>
      </x:c>
      <x:c r="BQ87" s="989">
        <x:f>IF(ISERROR(SEARCH("F",C87)),IF(C87="",0,IF(SEARCH("K",C87)=LEN(C87),0,VALUE(MID(C87,SEARCH("K",C87)+1,LEN(C87))))),IF(C87="",0,IF(SEARCH("F",C87)=LEN(C87),0,VALUE(MID(C87,SEARCH("F",C87)+1,LEN(C87))))))</x:f>
        <x:v>0</x:v>
      </x:c>
      <x:c r="BR87" s="989" t="b">
        <x:f>IF(OR(ISERROR(BM87),ISERROR(BN87),ISERROR(BO87),ISERROR(BP87),ISERROR(BQ87)),FALSE,TRUE)</x:f>
        <x:v>1</x:v>
      </x:c>
      <x:c r="BS87" s="990">
        <x:f>6+IF(LEFT(I87,1)="R",IF(ISNUMBER(G87),G87*12,0)+IF(ISNUMBER(H87),H87,0),0)</x:f>
        <x:v>6</x:v>
      </x:c>
      <x:c r="BT87" s="990" t="str">
        <x:f>IF(IF(ISNUMBER(S87),S87*12,0)+IF(ISNUMBER(T87),T87,0)&gt;0,IF(AND(IF(ISNUMBER(S87),S87*12,0)+IF(ISNUMBER(T87),T87,0)&gt;=1.25,IF(ISNUMBER(S87),S87*12,0)+IF(ISNUMBER(T87),T87,0)&lt;=(BS87-1.25)+IF(I87="X",2,0)),"Yes","No"),"No")</x:f>
        <x:v>No</x:v>
      </x:c>
      <x:c r="BU87" s="990">
        <x:f>6+IF(LEFT(L87,1)="R",IF(ISNUMBER(J87),J87*12,0)+IF(ISNUMBER(K87),K87,0),0)</x:f>
        <x:v>6</x:v>
      </x:c>
      <x:c r="BV87" s="990" t="str">
        <x:f>IF(IF(ISNUMBER(U87),U87*12,0)+IF(ISNUMBER(V87),V87,0)&gt;0,IF(AND(IF(ISNUMBER(U87),U87*12,0)+IF(ISNUMBER(V87),V87,0)&gt;=1.25,IF(ISNUMBER(U87),U87*12,0)+IF(ISNUMBER(V87),V87,0)&lt;=(BU87-1.25)+IF(L87="X",2,0)),"Yes","No"),"No")</x:f>
        <x:v>No</x:v>
      </x:c>
      <x:c r="BW87" s="991">
        <x:f>IF(AB87="",0,1)+IF(AC87="",0,1)+IF(AD87="",0,1)+IF(AE87="",0,1)+IF(AF87="",0,1)+IF(AG87="",0,1)+IF(AH87="",0,1)+IF(AI87="",0,1)+IF(AJ87="",0,1)+IF(AK87="",0,1)+IF(AL87="",0,1)+IF(AM87="",0,1)+IF(AN87="",0,1)+IF(AO87="",0,1)+IF(AP87="",0,1)+IF(AQ87="",0,1)+IF(AR87="",0,1)+IF(AS87="",0,1)+IF(AT87="",0,1)+IF(AU87="",0,1)+IF(AV87="",0,1)+IF(AW87="",0,1)+IF(AX87="",0,1)+IF(AY87="",0,1)+IF(AZ87="",0,1)+IF(BA87="",0,1)+IF(BB87="",0,1)+IF(BC87="",0,1)+IF(BD87="",0,1)+IF(BE87="",0,1)+IF(BF87="",0,1)+IF(BG87="",0,1)</x:f>
        <x:v>0</x:v>
      </x:c>
      <x:c r="BX87" s="991" t="str">
        <x:f>IF(AND(AB87="",BW87&gt;0),BX86,IF(ISBLANK(AB87),"",AB87))</x:f>
        <x:v/>
      </x:c>
      <x:c r="BY87" s="991" t="b">
        <x:f>IF(ISERROR(VLOOKUP(BX87,$BJ$14:$BL$45,3,FALSE)),FALSE,VLOOKUP(BX87,$BJ$14:$BL$45,3,FALSE))</x:f>
        <x:v>0</x:v>
      </x:c>
      <x:c r="BZ87" s="992" t="b">
        <x:f>IF($BK$1,IF(BX87="",FALSE,IF(ISERROR(VLOOKUP(BX87,$A$28:$B$45,2,FALSE)),FALSE,IF(VLOOKUP(BX87,$A$28:$B$45,2,FALSE)=0,TRUE,FALSE))))</x:f>
        <x:v>0</x:v>
      </x:c>
      <x:c r="CA87" s="105"/>
      <x:c r="FU87" s="2"/>
      <x:c r="FV87" s="2"/>
      <x:c r="FW87" s="2"/>
      <x:c r="FX87" s="2"/>
      <x:c r="FY87" s="2"/>
      <x:c r="FZ87" s="2"/>
      <x:c r="GG87" s="907"/>
      <x:c r="GH87" s="1643">
        <x:f>IF(D87="",0,D87*12+E87)</x:f>
        <x:v>0</x:v>
      </x:c>
      <x:c r="GI87" s="1640" t="e">
        <x:f>(GA48*12+GB48+GC48+GD48)/COS(ATAN(ABS(GE48/12)))</x:f>
        <x:v>#VALUE!</x:v>
      </x:c>
      <x:c r="GJ87" s="1641" t="e">
        <x:f>IF(ABS(GH87-GI87)&gt;=0.125,ABS(GH87-GI87),0)</x:f>
        <x:v>#VALUE!</x:v>
      </x:c>
      <x:c r="GK87" s="2"/>
      <x:c r="GR87" s="211"/>
      <x:c r="GS87" s="212"/>
      <x:c r="GT87" s="213"/>
      <x:c r="GU87" s="214"/>
      <x:c r="GV87" s="215"/>
      <x:c r="GW87" s="211"/>
      <x:c r="GX87" s="216"/>
      <x:c r="GY87" s="217"/>
      <x:c r="GZ87" s="216"/>
      <x:c r="HA87" s="217"/>
      <x:c r="HB87" s="218"/>
      <x:c r="HC87" s="219"/>
      <x:c r="HD87" s="211"/>
      <x:c r="HE87" s="216"/>
      <x:c r="HF87" s="217"/>
      <x:c r="HG87" s="216"/>
      <x:c r="HH87" s="217"/>
      <x:c r="HI87" s="218"/>
      <x:c r="HJ87" s="219"/>
      <x:c r="HK87" s="220"/>
      <x:c r="HL87" s="211"/>
      <x:c r="HM87" s="228"/>
      <x:c r="HN87" s="229"/>
      <x:c r="HO87" s="230"/>
      <x:c r="HP87" s="149">
        <x:f ca="1">IF(IZ87&lt;&gt;"",1,IF(HP86=0,0,IF(OFFSET(IZ87,HP86*-1,0)&lt;HP86+1,0,HP86+1)))</x:f>
        <x:v>0</x:v>
      </x:c>
      <x:c r="HQ87" s="149"/>
      <x:c r="HR87" s="149"/>
      <x:c r="HS87" s="149"/>
      <x:c r="HT87" s="149"/>
      <x:c r="HU87" s="149"/>
      <x:c r="HV87" s="211"/>
      <x:c r="HW87" s="221"/>
      <x:c r="HX87" s="222"/>
      <x:c r="HY87" s="223"/>
      <x:c r="HZ87" s="551"/>
      <x:c r="IA87" s="224"/>
      <x:c r="IB87" s="225"/>
      <x:c r="IC87" s="226"/>
      <x:c r="ID87" s="227"/>
    </x:row>
    <x:row r="88" spans="1:238" ht="12.6" hidden="1" customHeight="1" x14ac:dyDescent="0.2">
      <x:c r="Z88" s="1141"/>
    </x:row>
    <x:row r="89" spans="1:238" ht="12.75" customHeight="1" x14ac:dyDescent="0.2">
      <x:c r="B89" s="533" t="s">
        <x:v>721</x:v>
      </x:c>
    </x:row>
    <x:row r="92" spans="1:238" ht="13.5" customHeight="1" x14ac:dyDescent="0.2"/>
  </x:sheetData>
  <x:sheetProtection algorithmName="SHA-512" hashValue="iHwn8rtYxthhmJVdKOC5v586TK9SByfzMp+4YIvXKUraQUz+PIN/COYeDDvho84B2A8cCDFlLpi2Nvdz2E7XJA==" saltValue="V7eDY/7d08PwteE6DR2K+Q==" spinCount="100000" sheet="1" objects="1" scenarios="1" selectLockedCells="1"/>
  <x:mergeCells count="392">
    <x:mergeCell ref="Q1:T1"/>
    <x:mergeCell ref="W1:Y1"/>
    <x:mergeCell ref="AU1:AX1"/>
    <x:mergeCell ref="BA1:BC1"/>
    <x:mergeCell ref="BD1:BF1"/>
    <x:mergeCell ref="Q2:T3"/>
    <x:mergeCell ref="W2:Y2"/>
    <x:mergeCell ref="AU2:AX3"/>
    <x:mergeCell ref="BA2:BC2"/>
    <x:mergeCell ref="BD2:BF2"/>
    <x:mergeCell ref="IO2:IT2"/>
    <x:mergeCell ref="IU2:JJ2"/>
    <x:mergeCell ref="JK2:JK3"/>
    <x:mergeCell ref="W3:Y3"/>
    <x:mergeCell ref="BA3:BC3"/>
    <x:mergeCell ref="BD3:BF3"/>
    <x:mergeCell ref="FG3:FI3"/>
    <x:mergeCell ref="HG3:HH3"/>
    <x:mergeCell ref="HJ3:HK3"/>
    <x:mergeCell ref="HS3:HT3"/>
    <x:mergeCell ref="IA2:IA3"/>
    <x:mergeCell ref="IF2:IF3"/>
    <x:mergeCell ref="IG2:IH3"/>
    <x:mergeCell ref="II2:IK2"/>
    <x:mergeCell ref="IL2:IM3"/>
    <x:mergeCell ref="IN2:IN3"/>
    <x:mergeCell ref="IJ3:IK3"/>
    <x:mergeCell ref="HJ2:HL2"/>
    <x:mergeCell ref="HM2:HN2"/>
    <x:mergeCell ref="HO2:HP3"/>
    <x:mergeCell ref="HQ2:HR3"/>
    <x:mergeCell ref="HS2:HW2"/>
    <x:mergeCell ref="HX2:HY2"/>
    <x:mergeCell ref="HU3:HV3"/>
    <x:mergeCell ref="IU3:IV3"/>
    <x:mergeCell ref="IY3:IZ3"/>
    <x:mergeCell ref="JC3:JD3"/>
    <x:mergeCell ref="JG3:JH3"/>
    <x:mergeCell ref="Q4:T4"/>
    <x:mergeCell ref="W4:Y4"/>
    <x:mergeCell ref="AU4:AX4"/>
    <x:mergeCell ref="BA4:BC4"/>
    <x:mergeCell ref="BD4:BF4"/>
    <x:mergeCell ref="HA4:HA5"/>
    <x:mergeCell ref="HA2:HA3"/>
    <x:mergeCell ref="HB2:HB3"/>
    <x:mergeCell ref="HC2:HC3"/>
    <x:mergeCell ref="HD2:HE3"/>
    <x:mergeCell ref="HF2:HF3"/>
    <x:mergeCell ref="HG2:HI2"/>
    <x:mergeCell ref="HK4:HK5"/>
    <x:mergeCell ref="HL4:HL5"/>
    <x:mergeCell ref="HM4:HM5"/>
    <x:mergeCell ref="HN4:HO5"/>
    <x:mergeCell ref="HP4:HQ5"/>
    <x:mergeCell ref="HR4:HR5"/>
    <x:mergeCell ref="HB4:HB5"/>
    <x:mergeCell ref="HC4:HC5"/>
    <x:mergeCell ref="JK4:JK5"/>
    <x:mergeCell ref="A5:L5"/>
    <x:mergeCell ref="AB5:AQ5"/>
    <x:mergeCell ref="M6:T6"/>
    <x:mergeCell ref="V6:W6"/>
    <x:mergeCell ref="X6:Y6"/>
    <x:mergeCell ref="AZ6:BA6"/>
    <x:mergeCell ref="BB6:BD6"/>
    <x:mergeCell ref="DH6:EK8"/>
    <x:mergeCell ref="IZ4:IZ5"/>
    <x:mergeCell ref="JA4:JB4"/>
    <x:mergeCell ref="JC4:JC5"/>
    <x:mergeCell ref="JD4:JD5"/>
    <x:mergeCell ref="JE4:JF4"/>
    <x:mergeCell ref="JG4:JG5"/>
    <x:mergeCell ref="IQ4:IR4"/>
    <x:mergeCell ref="IS4:IT4"/>
    <x:mergeCell ref="IU4:IU5"/>
    <x:mergeCell ref="IV4:IV5"/>
    <x:mergeCell ref="IW4:IX4"/>
    <x:mergeCell ref="HY4:HY5"/>
    <x:mergeCell ref="DV9:EK11"/>
    <x:mergeCell ref="A10:B10"/>
    <x:mergeCell ref="C10:P10"/>
    <x:mergeCell ref="Q10:S10"/>
    <x:mergeCell ref="T10:W10"/>
    <x:mergeCell ref="X10:Y10"/>
    <x:mergeCell ref="HD4:HE5"/>
    <x:mergeCell ref="HF4:HF5"/>
    <x:mergeCell ref="HG4:HH5"/>
    <x:mergeCell ref="HI4:HJ5"/>
    <x:mergeCell ref="AB9:AD9"/>
    <x:mergeCell ref="AE9:AT9"/>
    <x:mergeCell ref="K7:L7"/>
    <x:mergeCell ref="M7:S7"/>
    <x:mergeCell ref="V7:W7"/>
    <x:mergeCell ref="AZ7:BA7"/>
    <x:mergeCell ref="A8:AA8"/>
    <x:mergeCell ref="AB8:BG8"/>
    <x:mergeCell ref="HS4:HS5"/>
    <x:mergeCell ref="AU10:AW10"/>
    <x:mergeCell ref="AU9:AW9"/>
    <x:mergeCell ref="AX9:BG9"/>
    <x:mergeCell ref="DH9:DH13"/>
    <x:mergeCell ref="DI9:DN11"/>
    <x:mergeCell ref="DO9:DO13"/>
    <x:mergeCell ref="JH4:JH5"/>
    <x:mergeCell ref="IN4:IN5"/>
    <x:mergeCell ref="IO4:IO5"/>
    <x:mergeCell ref="IP4:IP5"/>
    <x:mergeCell ref="HZ4:HZ5"/>
    <x:mergeCell ref="IA4:IB4"/>
    <x:mergeCell ref="IC4:ID4"/>
    <x:mergeCell ref="IF4:IF5"/>
    <x:mergeCell ref="IG4:IH5"/>
    <x:mergeCell ref="II4:II5"/>
    <x:mergeCell ref="IY4:IY5"/>
    <x:mergeCell ref="IJ4:IK5"/>
    <x:mergeCell ref="IL4:IL5"/>
    <x:mergeCell ref="IM4:IM5"/>
    <x:mergeCell ref="HT4:HT5"/>
    <x:mergeCell ref="HU4:HV4"/>
    <x:mergeCell ref="HW4:HW5"/>
    <x:mergeCell ref="HX4:HX5"/>
    <x:mergeCell ref="DP9:DU10"/>
    <x:mergeCell ref="AX10:BA10"/>
    <x:mergeCell ref="BB10:BD10"/>
    <x:mergeCell ref="BE10:BG10"/>
    <x:mergeCell ref="AR12:BG12"/>
    <x:mergeCell ref="A9:B9"/>
    <x:mergeCell ref="C9:P9"/>
    <x:mergeCell ref="Q9:S9"/>
    <x:mergeCell ref="T9:AA9"/>
    <x:mergeCell ref="A11:AA11"/>
    <x:mergeCell ref="DP11:DP13"/>
    <x:mergeCell ref="DR11:DR13"/>
    <x:mergeCell ref="AB12:AB13"/>
    <x:mergeCell ref="AC12:AC13"/>
    <x:mergeCell ref="AD12:AE13"/>
    <x:mergeCell ref="AF12:AH12"/>
    <x:mergeCell ref="AI12:AJ13"/>
    <x:mergeCell ref="AK12:AK13"/>
    <x:mergeCell ref="AL12:AQ12"/>
    <x:mergeCell ref="DS12:DS13"/>
    <x:mergeCell ref="DT12:DU12"/>
    <x:mergeCell ref="Z10:AA10"/>
    <x:mergeCell ref="AB10:AD10"/>
    <x:mergeCell ref="AE10:AT10"/>
    <x:mergeCell ref="DV12:DW12"/>
    <x:mergeCell ref="DX12:DX13"/>
    <x:mergeCell ref="DY12:DY13"/>
    <x:mergeCell ref="DZ12:EA12"/>
    <x:mergeCell ref="BW12:BZ12"/>
    <x:mergeCell ref="DI12:DI13"/>
    <x:mergeCell ref="DJ12:DK13"/>
    <x:mergeCell ref="DL12:DL13"/>
    <x:mergeCell ref="DM12:DN13"/>
    <x:mergeCell ref="DQ12:DQ13"/>
    <x:mergeCell ref="EJ12:EJ13"/>
    <x:mergeCell ref="EK12:EK13"/>
    <x:mergeCell ref="EM12:EM13"/>
    <x:mergeCell ref="IE12:IE13"/>
    <x:mergeCell ref="IF12:IF13"/>
    <x:mergeCell ref="IG12:IG13"/>
    <x:mergeCell ref="EB12:EB13"/>
    <x:mergeCell ref="EC12:EC13"/>
    <x:mergeCell ref="ED12:EE12"/>
    <x:mergeCell ref="EF12:EF13"/>
    <x:mergeCell ref="EG12:EG13"/>
    <x:mergeCell ref="EH12:EI12"/>
    <x:mergeCell ref="IN12:IN13"/>
    <x:mergeCell ref="IO12:IO13"/>
    <x:mergeCell ref="IP12:IP13"/>
    <x:mergeCell ref="IQ12:IQ13"/>
    <x:mergeCell ref="IR12:IR13"/>
    <x:mergeCell ref="IS12:IS13"/>
    <x:mergeCell ref="IH12:IH13"/>
    <x:mergeCell ref="II12:II13"/>
    <x:mergeCell ref="IJ12:IJ13"/>
    <x:mergeCell ref="IK12:IK13"/>
    <x:mergeCell ref="IL12:IL13"/>
    <x:mergeCell ref="IM12:IM13"/>
    <x:mergeCell ref="JL12:JL13"/>
    <x:mergeCell ref="AG13:AH13"/>
    <x:mergeCell ref="AR13:AS13"/>
    <x:mergeCell ref="AV13:AW13"/>
    <x:mergeCell ref="AZ13:BA13"/>
    <x:mergeCell ref="BD13:BE13"/>
    <x:mergeCell ref="JF12:JF13"/>
    <x:mergeCell ref="JG12:JG13"/>
    <x:mergeCell ref="JH12:JH13"/>
    <x:mergeCell ref="JI12:JI13"/>
    <x:mergeCell ref="JJ12:JJ13"/>
    <x:mergeCell ref="JK12:JK13"/>
    <x:mergeCell ref="IZ12:IZ13"/>
    <x:mergeCell ref="JA12:JA13"/>
    <x:mergeCell ref="JB12:JB13"/>
    <x:mergeCell ref="JC12:JC13"/>
    <x:mergeCell ref="JD12:JD13"/>
    <x:mergeCell ref="JE12:JE13"/>
    <x:mergeCell ref="IT12:IT13"/>
    <x:mergeCell ref="IU12:IU13"/>
    <x:mergeCell ref="IV12:IV13"/>
    <x:mergeCell ref="IW12:IW13"/>
    <x:mergeCell ref="IX12:IX13"/>
    <x:mergeCell ref="IY12:IY13"/>
    <x:mergeCell ref="HA15:HX17"/>
    <x:mergeCell ref="DA20:DB20"/>
    <x:mergeCell ref="CB22:DE23"/>
    <x:mergeCell ref="X24:Y24"/>
    <x:mergeCell ref="CB24:CF25"/>
    <x:mergeCell ref="CG24:CP25"/>
    <x:mergeCell ref="CQ24:CZ25"/>
    <x:mergeCell ref="DB24:DE24"/>
    <x:mergeCell ref="ET24:EU26"/>
    <x:mergeCell ref="DB25:DC26"/>
    <x:mergeCell ref="DD26:DD27"/>
    <x:mergeCell ref="DE26:DE27"/>
    <x:mergeCell ref="GM26:GM27"/>
    <x:mergeCell ref="HA26:HA27"/>
    <x:mergeCell ref="HB26:HB27"/>
    <x:mergeCell ref="HC26:HC27"/>
    <x:mergeCell ref="HD26:HE27"/>
    <x:mergeCell ref="HF26:HF27"/>
    <x:mergeCell ref="GE26:GE27"/>
    <x:mergeCell ref="GF26:GF27"/>
    <x:mergeCell ref="GG26:GH26"/>
    <x:mergeCell ref="GI26:GJ26"/>
    <x:mergeCell ref="GK26:GK27"/>
    <x:mergeCell ref="GL26:GL27"/>
    <x:mergeCell ref="S26:W26"/>
    <x:mergeCell ref="X26:Y26"/>
    <x:mergeCell ref="AA26:AA27"/>
    <x:mergeCell ref="CB26:CB27"/>
    <x:mergeCell ref="DD25:DE25"/>
    <x:mergeCell ref="GA25:GJ25"/>
    <x:mergeCell ref="A26:A27"/>
    <x:mergeCell ref="B26:B27"/>
    <x:mergeCell ref="C26:C27"/>
    <x:mergeCell ref="D26:E27"/>
    <x:mergeCell ref="F26:F27"/>
    <x:mergeCell ref="G26:I26"/>
    <x:mergeCell ref="J26:L26"/>
    <x:mergeCell ref="M26:N26"/>
    <x:mergeCell ref="EM26:EM27"/>
    <x:mergeCell ref="EN26:EP26"/>
    <x:mergeCell ref="EQ26:EQ27"/>
    <x:mergeCell ref="ER26:ES26"/>
    <x:mergeCell ref="GA26:GB26"/>
    <x:mergeCell ref="GC26:GD26"/>
    <x:mergeCell ref="CV26:CV27"/>
    <x:mergeCell ref="CW26:CW27"/>
    <x:mergeCell ref="CX26:CZ26"/>
    <x:mergeCell ref="DA26:DA27"/>
    <x:mergeCell ref="HM26:HM27"/>
    <x:mergeCell ref="HN26:HN27"/>
    <x:mergeCell ref="HO26:HO27"/>
    <x:mergeCell ref="HP26:HP27"/>
    <x:mergeCell ref="HQ26:HQ27"/>
    <x:mergeCell ref="HR26:HR27"/>
    <x:mergeCell ref="HG26:HG27"/>
    <x:mergeCell ref="HH26:HH27"/>
    <x:mergeCell ref="HI26:HI27"/>
    <x:mergeCell ref="HJ26:HJ27"/>
    <x:mergeCell ref="HK26:HK27"/>
    <x:mergeCell ref="HL26:HL27"/>
    <x:mergeCell ref="HY26:HY27"/>
    <x:mergeCell ref="HZ26:HZ27"/>
    <x:mergeCell ref="IA26:IA27"/>
    <x:mergeCell ref="IB26:IB27"/>
    <x:mergeCell ref="IC26:IC27"/>
    <x:mergeCell ref="ID26:ID27"/>
    <x:mergeCell ref="HS26:HS27"/>
    <x:mergeCell ref="HT26:HT27"/>
    <x:mergeCell ref="HU26:HU27"/>
    <x:mergeCell ref="HV26:HV27"/>
    <x:mergeCell ref="HW26:HW27"/>
    <x:mergeCell ref="HX26:HX27"/>
    <x:mergeCell ref="G27:H27"/>
    <x:mergeCell ref="J27:K27"/>
    <x:mergeCell ref="S27:T27"/>
    <x:mergeCell ref="U27:V27"/>
    <x:mergeCell ref="ED50:ED53"/>
    <x:mergeCell ref="EE50:EE53"/>
    <x:mergeCell ref="CC51:CK51"/>
    <x:mergeCell ref="CL51:CT51"/>
    <x:mergeCell ref="CB52:CB53"/>
    <x:mergeCell ref="CC52:CC53"/>
    <x:mergeCell ref="CL26:CL27"/>
    <x:mergeCell ref="CM26:CM27"/>
    <x:mergeCell ref="CN26:CP26"/>
    <x:mergeCell ref="CQ26:CQ27"/>
    <x:mergeCell ref="CR26:CS27"/>
    <x:mergeCell ref="CT26:CU27"/>
    <x:mergeCell ref="CC26:CC27"/>
    <x:mergeCell ref="CD26:CD27"/>
    <x:mergeCell ref="CE26:CF27"/>
    <x:mergeCell ref="CG26:CG27"/>
    <x:mergeCell ref="CH26:CI27"/>
    <x:mergeCell ref="CJ26:CK27"/>
    <x:mergeCell ref="O26:P27"/>
    <x:mergeCell ref="Q26:R27"/>
    <x:mergeCell ref="FN50:FS51"/>
    <x:mergeCell ref="FT50:FZ51"/>
    <x:mergeCell ref="EX51:EX53"/>
    <x:mergeCell ref="EY51:EY53"/>
    <x:mergeCell ref="FF51:FI51"/>
    <x:mergeCell ref="FB52:FB53"/>
    <x:mergeCell ref="EL50:EL53"/>
    <x:mergeCell ref="EM50:EM53"/>
    <x:mergeCell ref="EN50:EN53"/>
    <x:mergeCell ref="EO50:EO53"/>
    <x:mergeCell ref="EP50:EP53"/>
    <x:mergeCell ref="EQ50:EQ53"/>
    <x:mergeCell ref="FO52:FO53"/>
    <x:mergeCell ref="FP52:FP53"/>
    <x:mergeCell ref="FQ52:FQ53"/>
    <x:mergeCell ref="FR52:FR53"/>
    <x:mergeCell ref="FS52:FS53"/>
    <x:mergeCell ref="FT52:FT53"/>
    <x:mergeCell ref="FC52:FC53"/>
    <x:mergeCell ref="FD52:FE52"/>
    <x:mergeCell ref="FK52:FK53"/>
    <x:mergeCell ref="FL52:FL53"/>
    <x:mergeCell ref="FM52:FM53"/>
    <x:mergeCell ref="FN52:FN53"/>
    <x:mergeCell ref="CJ52:CJ53"/>
    <x:mergeCell ref="CK52:CK53"/>
    <x:mergeCell ref="CL52:CL53"/>
    <x:mergeCell ref="CM52:CM53"/>
    <x:mergeCell ref="CN52:CN53"/>
    <x:mergeCell ref="CO52:CO53"/>
    <x:mergeCell ref="CD52:CD53"/>
    <x:mergeCell ref="CE52:CE53"/>
    <x:mergeCell ref="CF52:CF53"/>
    <x:mergeCell ref="CG52:CG53"/>
    <x:mergeCell ref="CH52:CH53"/>
    <x:mergeCell ref="CI52:CI53"/>
    <x:mergeCell ref="CV52:CV53"/>
    <x:mergeCell ref="CW52:CW53"/>
    <x:mergeCell ref="CX52:CX53"/>
    <x:mergeCell ref="CY52:CY53"/>
    <x:mergeCell ref="CZ52:DA52"/>
    <x:mergeCell ref="DB52:DB53"/>
    <x:mergeCell ref="CP52:CP53"/>
    <x:mergeCell ref="CQ52:CQ53"/>
    <x:mergeCell ref="CR52:CR53"/>
    <x:mergeCell ref="CS52:CS53"/>
    <x:mergeCell ref="CT52:CT53"/>
    <x:mergeCell ref="CU52:CU53"/>
    <x:mergeCell ref="DJ52:DJ53"/>
    <x:mergeCell ref="DK52:DK53"/>
    <x:mergeCell ref="DL52:DL53"/>
    <x:mergeCell ref="DM52:DN52"/>
    <x:mergeCell ref="DO52:DP52"/>
    <x:mergeCell ref="DQ52:DR52"/>
    <x:mergeCell ref="DC52:DC53"/>
    <x:mergeCell ref="DD52:DD53"/>
    <x:mergeCell ref="DE52:DE53"/>
    <x:mergeCell ref="DF52:DG52"/>
    <x:mergeCell ref="DH52:DH53"/>
    <x:mergeCell ref="DI52:DI53"/>
    <x:mergeCell ref="EB52:EB53"/>
    <x:mergeCell ref="EC52:EC53"/>
    <x:mergeCell ref="EV52:EV53"/>
    <x:mergeCell ref="EW52:EW53"/>
    <x:mergeCell ref="EZ52:EZ53"/>
    <x:mergeCell ref="FA52:FA53"/>
    <x:mergeCell ref="DS52:DS53"/>
    <x:mergeCell ref="DT52:DU52"/>
    <x:mergeCell ref="DV52:DW52"/>
    <x:mergeCell ref="DX52:DY52"/>
    <x:mergeCell ref="DZ52:DZ53"/>
    <x:mergeCell ref="EA52:EA53"/>
    <x:mergeCell ref="ER50:ER53"/>
    <x:mergeCell ref="ES50:ES53"/>
    <x:mergeCell ref="ET50:ET53"/>
    <x:mergeCell ref="EU50:EU53"/>
    <x:mergeCell ref="EF50:EF53"/>
    <x:mergeCell ref="EG50:EG53"/>
    <x:mergeCell ref="EH50:EH53"/>
    <x:mergeCell ref="EI50:EI53"/>
    <x:mergeCell ref="EJ50:EJ53"/>
    <x:mergeCell ref="EK50:EK53"/>
    <x:mergeCell ref="GA52:GA53"/>
    <x:mergeCell ref="GB52:GB53"/>
    <x:mergeCell ref="GC52:GC53"/>
    <x:mergeCell ref="GJ52:GJ53"/>
    <x:mergeCell ref="FU52:FU53"/>
    <x:mergeCell ref="FV52:FV53"/>
    <x:mergeCell ref="FW52:FW53"/>
    <x:mergeCell ref="FX52:FX53"/>
    <x:mergeCell ref="FY52:FY53"/>
    <x:mergeCell ref="FZ52:FZ53"/>
  </x:mergeCells>
  <x:conditionalFormatting sqref="CD28:CD45">
    <x:cfRule type="expression" dxfId="545" priority="38">
      <x:formula>AND(NOT($BK28),NOT($BR28))</x:formula>
    </x:cfRule>
  </x:conditionalFormatting>
  <x:conditionalFormatting sqref="DM54:DM85 DT54:DT85">
    <x:cfRule type="cellIs" dxfId="544" priority="39" stopIfTrue="1" operator="notEqual">
      <x:formula>DN54</x:formula>
    </x:cfRule>
  </x:conditionalFormatting>
  <x:conditionalFormatting sqref="DD28:DD45">
    <x:cfRule type="cellIs" dxfId="543" priority="40" operator="greaterThan">
      <x:formula>EY68</x:formula>
    </x:cfRule>
    <x:cfRule type="expression" dxfId="542" priority="41">
      <x:formula>AND(ISBLANK(DD28),EY68&gt;0)</x:formula>
    </x:cfRule>
  </x:conditionalFormatting>
  <x:conditionalFormatting sqref="DE28:DE45">
    <x:cfRule type="cellIs" dxfId="541" priority="42" operator="lessThan">
      <x:formula>EX68</x:formula>
    </x:cfRule>
    <x:cfRule type="expression" dxfId="540" priority="43">
      <x:formula>AND(ISBLANK(DE28),EX68&lt;&gt;"")</x:formula>
    </x:cfRule>
  </x:conditionalFormatting>
  <x:conditionalFormatting sqref="A28:B45">
    <x:cfRule type="expression" dxfId="539" priority="44">
      <x:formula>AND(NOT($BK$1),$B28=0,OR($BJ$1="",$BJ$1="M"))</x:formula>
    </x:cfRule>
  </x:conditionalFormatting>
  <x:conditionalFormatting sqref="FQ54:FR85">
    <x:cfRule type="cellIs" dxfId="538" priority="49" stopIfTrue="1" operator="lessThan">
      <x:formula>0</x:formula>
    </x:cfRule>
  </x:conditionalFormatting>
  <x:conditionalFormatting sqref="DI14">
    <x:cfRule type="expression" dxfId="537" priority="45">
      <x:formula>UPPER(#REF!)="X"</x:formula>
    </x:cfRule>
  </x:conditionalFormatting>
  <x:conditionalFormatting sqref="DJ14">
    <x:cfRule type="expression" dxfId="536" priority="46">
      <x:formula>OR(UPPER(#REF!)="X",UPPER(#REF!="X"))</x:formula>
    </x:cfRule>
  </x:conditionalFormatting>
  <x:conditionalFormatting sqref="DK14">
    <x:cfRule type="expression" dxfId="535" priority="47">
      <x:formula>OR(UPPER(#REF!)="X",UPPER(#REF!="X"))</x:formula>
    </x:cfRule>
  </x:conditionalFormatting>
  <x:conditionalFormatting sqref="Q2:T4 AU2:AX4">
    <x:cfRule type="cellIs" dxfId="534" priority="53" stopIfTrue="1" operator="equal">
      <x:formula>""</x:formula>
    </x:cfRule>
  </x:conditionalFormatting>
  <x:conditionalFormatting sqref="M7">
    <x:cfRule type="expression" dxfId="533" priority="54" stopIfTrue="1">
      <x:formula>OR(ISBLANK($M$7),$M$7="")</x:formula>
    </x:cfRule>
    <x:cfRule type="expression" dxfId="532" priority="55" stopIfTrue="1">
      <x:formula>NOT(OR(COUNTIF(masterFinishList, $M$7) &gt; 0, COUNTIF($M$7, "Other:*") &gt; 0))</x:formula>
    </x:cfRule>
  </x:conditionalFormatting>
  <x:conditionalFormatting sqref="DA20">
    <x:cfRule type="expression" dxfId="531" priority="56" stopIfTrue="1">
      <x:formula>NOT(ISBLANK($DA$20))</x:formula>
    </x:cfRule>
  </x:conditionalFormatting>
  <x:conditionalFormatting sqref="C28:C45">
    <x:cfRule type="expression" dxfId="530" priority="35">
      <x:formula>AND(NOT($BK28),NOT(BR28))</x:formula>
    </x:cfRule>
  </x:conditionalFormatting>
  <x:conditionalFormatting sqref="U28:U45">
    <x:cfRule type="expression" dxfId="529" priority="36">
      <x:formula>AND(NOT($BK28),BV28="No")</x:formula>
    </x:cfRule>
  </x:conditionalFormatting>
  <x:conditionalFormatting sqref="V28:V45">
    <x:cfRule type="expression" dxfId="528" priority="37">
      <x:formula>AND(NOT($BK28),BV28="No")</x:formula>
    </x:cfRule>
  </x:conditionalFormatting>
  <x:conditionalFormatting sqref="S28:S45">
    <x:cfRule type="expression" dxfId="527" priority="33">
      <x:formula>AND(NOT($BK28),BT28="No")</x:formula>
    </x:cfRule>
  </x:conditionalFormatting>
  <x:conditionalFormatting sqref="T28:T45">
    <x:cfRule type="expression" dxfId="526" priority="34">
      <x:formula>AND(NOT($BK28),BT28="No")</x:formula>
    </x:cfRule>
  </x:conditionalFormatting>
  <x:conditionalFormatting sqref="W28:W45">
    <x:cfRule type="expression" dxfId="525" priority="26">
      <x:formula>$W28=0</x:formula>
    </x:cfRule>
  </x:conditionalFormatting>
  <x:conditionalFormatting sqref="DI15:DI45">
    <x:cfRule type="expression" dxfId="524" priority="48">
      <x:formula>FM54="X"</x:formula>
    </x:cfRule>
  </x:conditionalFormatting>
  <x:conditionalFormatting sqref="DJ15:DJ45">
    <x:cfRule type="expression" dxfId="523" priority="50">
      <x:formula>FM54="X"</x:formula>
    </x:cfRule>
  </x:conditionalFormatting>
  <x:conditionalFormatting sqref="DK15:DK45">
    <x:cfRule type="expression" dxfId="522" priority="51">
      <x:formula>FM54="X"</x:formula>
    </x:cfRule>
  </x:conditionalFormatting>
  <x:conditionalFormatting sqref="DH14:DH45">
    <x:cfRule type="expression" dxfId="521" priority="12">
      <x:formula>NOT($FQ14)</x:formula>
    </x:cfRule>
    <x:cfRule type="expression" dxfId="520" priority="52">
      <x:formula>FJ54="G"</x:formula>
    </x:cfRule>
  </x:conditionalFormatting>
  <x:conditionalFormatting sqref="DT14:DU45">
    <x:cfRule type="expression" dxfId="519" priority="57">
      <x:formula>GD54=0</x:formula>
    </x:cfRule>
  </x:conditionalFormatting>
  <x:conditionalFormatting sqref="AR87:AS87 AR14:AS45">
    <x:cfRule type="expression" dxfId="518" priority="58">
      <x:formula>AND(NOT($BZ14),$FF54)</x:formula>
    </x:cfRule>
  </x:conditionalFormatting>
  <x:conditionalFormatting sqref="AV87:AW87 AV14:AW45">
    <x:cfRule type="expression" dxfId="517" priority="59">
      <x:formula>AND(NOT($BZ14),$FG54)</x:formula>
    </x:cfRule>
  </x:conditionalFormatting>
  <x:conditionalFormatting sqref="AZ87:BA87 AZ14:BA45">
    <x:cfRule type="expression" dxfId="516" priority="60">
      <x:formula>AND(NOT($BZ14),$FH54)</x:formula>
    </x:cfRule>
  </x:conditionalFormatting>
  <x:conditionalFormatting sqref="BD87:BE87 BD14:BE45">
    <x:cfRule type="expression" dxfId="515" priority="61">
      <x:formula>AND(NOT($BZ14),$FI54)</x:formula>
    </x:cfRule>
  </x:conditionalFormatting>
  <x:conditionalFormatting sqref="DW14:DW45">
    <x:cfRule type="expression" dxfId="514" priority="62">
      <x:formula>FF54</x:formula>
    </x:cfRule>
  </x:conditionalFormatting>
  <x:conditionalFormatting sqref="EA14:EA45">
    <x:cfRule type="expression" dxfId="513" priority="63">
      <x:formula>FG54</x:formula>
    </x:cfRule>
  </x:conditionalFormatting>
  <x:conditionalFormatting sqref="EE14:EE45">
    <x:cfRule type="expression" dxfId="512" priority="64">
      <x:formula>FH54</x:formula>
    </x:cfRule>
  </x:conditionalFormatting>
  <x:conditionalFormatting sqref="EI14:EI45">
    <x:cfRule type="expression" dxfId="511" priority="65">
      <x:formula>FI54</x:formula>
    </x:cfRule>
  </x:conditionalFormatting>
  <x:conditionalFormatting sqref="AD87:AE87 DJ14:DK45 AD14:AE45">
    <x:cfRule type="expression" dxfId="510" priority="66">
      <x:formula>AND(NOT($BZ14),FIND("A",$GK54))</x:formula>
    </x:cfRule>
  </x:conditionalFormatting>
  <x:conditionalFormatting sqref="AI87:AJ87 DM14:DN45 AI14:AJ45">
    <x:cfRule type="expression" dxfId="509" priority="67">
      <x:formula>AND(NOT($BZ14),FIND("B",$GK54))</x:formula>
    </x:cfRule>
  </x:conditionalFormatting>
  <x:conditionalFormatting sqref="DL14:DL45">
    <x:cfRule type="expression" dxfId="508" priority="4">
      <x:formula>AND(NOT(ISBLANK($DH14)),ISBLANK($DL14))</x:formula>
    </x:cfRule>
    <x:cfRule type="expression" dxfId="507" priority="31">
      <x:formula>FIND("B",$GK54)</x:formula>
    </x:cfRule>
  </x:conditionalFormatting>
  <x:conditionalFormatting sqref="DI14:DI45">
    <x:cfRule type="expression" dxfId="506" priority="68">
      <x:formula>NOT($EY14)</x:formula>
    </x:cfRule>
  </x:conditionalFormatting>
  <x:conditionalFormatting sqref="AC14:AC45">
    <x:cfRule type="expression" dxfId="505" priority="69">
      <x:formula>AND(NOT($BZ14),NOT($EY14))</x:formula>
    </x:cfRule>
  </x:conditionalFormatting>
  <x:conditionalFormatting sqref="AM14:AM45">
    <x:cfRule type="expression" dxfId="504" priority="30">
      <x:formula>AND(NOT($BZ14),AM14&lt;&gt;EZ14)</x:formula>
    </x:cfRule>
  </x:conditionalFormatting>
  <x:conditionalFormatting sqref="DQ14:DQ45">
    <x:cfRule type="expression" dxfId="503" priority="29">
      <x:formula>DQ14&lt;&gt;EZ14</x:formula>
    </x:cfRule>
  </x:conditionalFormatting>
  <x:conditionalFormatting sqref="DB28:DC45">
    <x:cfRule type="expression" dxfId="502" priority="28">
      <x:formula>AND(NOT($BK28),LEN($Z28)&gt;27)</x:formula>
    </x:cfRule>
  </x:conditionalFormatting>
  <x:conditionalFormatting sqref="FF14:FF45">
    <x:cfRule type="expression" dxfId="501" priority="32">
      <x:formula>$FC14=0</x:formula>
    </x:cfRule>
  </x:conditionalFormatting>
  <x:conditionalFormatting sqref="AD14:AJ45">
    <x:cfRule type="expression" dxfId="500" priority="27">
      <x:formula>AND(NOT($BZ14),NOT($FA14))</x:formula>
    </x:cfRule>
  </x:conditionalFormatting>
  <x:conditionalFormatting sqref="A87">
    <x:cfRule type="expression" dxfId="499" priority="24" stopIfTrue="1">
      <x:formula>AND(NOT($BK$1),$B87=0,OR($BJ$1="",$BJ$1="M"))</x:formula>
    </x:cfRule>
  </x:conditionalFormatting>
  <x:conditionalFormatting sqref="C87">
    <x:cfRule type="expression" dxfId="498" priority="21" stopIfTrue="1">
      <x:formula>AND(NOT($BK87),NOT(BR87))</x:formula>
    </x:cfRule>
  </x:conditionalFormatting>
  <x:conditionalFormatting sqref="U87">
    <x:cfRule type="expression" dxfId="497" priority="22" stopIfTrue="1">
      <x:formula>AND(NOT($BK87),BV87="No")</x:formula>
    </x:cfRule>
  </x:conditionalFormatting>
  <x:conditionalFormatting sqref="V87">
    <x:cfRule type="expression" dxfId="496" priority="23" stopIfTrue="1">
      <x:formula>AND(NOT($BK87),BV87="No")</x:formula>
    </x:cfRule>
  </x:conditionalFormatting>
  <x:conditionalFormatting sqref="S87">
    <x:cfRule type="expression" dxfId="495" priority="19" stopIfTrue="1">
      <x:formula>AND(NOT($BK87),BT87="No")</x:formula>
    </x:cfRule>
  </x:conditionalFormatting>
  <x:conditionalFormatting sqref="T87">
    <x:cfRule type="expression" dxfId="494" priority="20" stopIfTrue="1">
      <x:formula>AND(NOT($BK87),BT87="No")</x:formula>
    </x:cfRule>
  </x:conditionalFormatting>
  <x:conditionalFormatting sqref="W87">
    <x:cfRule type="expression" dxfId="493" priority="13">
      <x:formula>$W87=0</x:formula>
    </x:cfRule>
  </x:conditionalFormatting>
  <x:conditionalFormatting sqref="AC87">
    <x:cfRule type="expression" dxfId="492" priority="25">
      <x:formula>AND(NOT($BZ87),NOT($EY87))</x:formula>
    </x:cfRule>
  </x:conditionalFormatting>
  <x:conditionalFormatting sqref="AM87">
    <x:cfRule type="expression" dxfId="491" priority="18">
      <x:formula>AND(NOT($BZ87),AM87&lt;&gt;EZ87)</x:formula>
    </x:cfRule>
  </x:conditionalFormatting>
  <x:conditionalFormatting sqref="AD87:AJ87">
    <x:cfRule type="expression" dxfId="490" priority="17">
      <x:formula>AND(NOT($BZ87),NOT($FA87))</x:formula>
    </x:cfRule>
  </x:conditionalFormatting>
  <x:conditionalFormatting sqref="A87 CB28:DA45 C87:AA87">
    <x:cfRule type="expression" dxfId="489" priority="14">
      <x:formula>$FN28</x:formula>
    </x:cfRule>
  </x:conditionalFormatting>
  <x:conditionalFormatting sqref="AB87:BG87">
    <x:cfRule type="expression" dxfId="488" priority="16">
      <x:formula>$CA87</x:formula>
    </x:cfRule>
  </x:conditionalFormatting>
  <x:conditionalFormatting sqref="Z87">
    <x:cfRule type="expression" dxfId="487" priority="15">
      <x:formula>AND(NOT($BK87),LEN($Z87)&gt;27)</x:formula>
    </x:cfRule>
  </x:conditionalFormatting>
  <x:conditionalFormatting sqref="DH14:EK45 AB14:BG45">
    <x:cfRule type="expression" dxfId="486" priority="70">
      <x:formula>$FP14</x:formula>
    </x:cfRule>
  </x:conditionalFormatting>
  <x:conditionalFormatting sqref="A28:Y45 AA28:AA45">
    <x:cfRule type="expression" dxfId="485" priority="71">
      <x:formula>$FN28</x:formula>
    </x:cfRule>
  </x:conditionalFormatting>
  <x:conditionalFormatting sqref="CB28:CB45">
    <x:cfRule type="expression" dxfId="484" priority="5">
      <x:formula>NOT($FO28)</x:formula>
    </x:cfRule>
  </x:conditionalFormatting>
  <x:conditionalFormatting sqref="A28:A45">
    <x:cfRule type="expression" dxfId="483" priority="10">
      <x:formula>NOT($FO28)</x:formula>
    </x:cfRule>
  </x:conditionalFormatting>
  <x:conditionalFormatting sqref="AB14:AB45">
    <x:cfRule type="expression" dxfId="482" priority="9">
      <x:formula>NOT($FQ14)</x:formula>
    </x:cfRule>
  </x:conditionalFormatting>
  <x:conditionalFormatting sqref="Z28:Z45">
    <x:cfRule type="expression" dxfId="481" priority="7">
      <x:formula>$FN28</x:formula>
    </x:cfRule>
  </x:conditionalFormatting>
  <x:conditionalFormatting sqref="Z28:Z45">
    <x:cfRule type="expression" dxfId="480" priority="8">
      <x:formula>AND(NOT($BK28),LEN($Z28)&gt;27)</x:formula>
    </x:cfRule>
  </x:conditionalFormatting>
  <x:conditionalFormatting sqref="GA28:GB45">
    <x:cfRule type="expression" dxfId="479" priority="6" stopIfTrue="1">
      <x:formula>$GM28&gt;=0.125</x:formula>
    </x:cfRule>
  </x:conditionalFormatting>
  <x:conditionalFormatting sqref="CB28:CC45">
    <x:cfRule type="expression" dxfId="478" priority="11">
      <x:formula>AND(NOT($BK$1),$B28=0,OR($BJ$1="",$BJ$1="M"))</x:formula>
    </x:cfRule>
  </x:conditionalFormatting>
  <x:conditionalFormatting sqref="DB28:DE45">
    <x:cfRule type="expression" dxfId="477" priority="72">
      <x:formula>$FN28</x:formula>
    </x:cfRule>
  </x:conditionalFormatting>
  <x:conditionalFormatting sqref="CJ28:CJ45">
    <x:cfRule type="expression" dxfId="476" priority="73">
      <x:formula>AND(NOT($BK28),OR($CC68="M",$CC68="C",$CC68="G"))</x:formula>
    </x:cfRule>
    <x:cfRule type="expression" dxfId="475" priority="74">
      <x:formula>AND(NOT($BK28),AND(OR($CC68="B",$CC68="G"),CJ28="",CK28=""))</x:formula>
    </x:cfRule>
    <x:cfRule type="expression" dxfId="474" priority="75">
      <x:formula>AND(NOT($BK28),EG68="ERR")</x:formula>
    </x:cfRule>
  </x:conditionalFormatting>
  <x:conditionalFormatting sqref="CK28:CK45">
    <x:cfRule type="expression" dxfId="473" priority="76">
      <x:formula>AND(NOT($BK28),OR($CC68="M",$CC68="C",$CC68="G"))</x:formula>
    </x:cfRule>
    <x:cfRule type="expression" dxfId="472" priority="77">
      <x:formula>AND(NOT($BK28),AND(OR($CC68="B",$CC68="G"),CJ28="",CK28=""))</x:formula>
    </x:cfRule>
    <x:cfRule type="expression" dxfId="471" priority="78">
      <x:formula>AND(NOT($BK28),EG68="ERR")</x:formula>
    </x:cfRule>
  </x:conditionalFormatting>
  <x:conditionalFormatting sqref="CH28:CH45">
    <x:cfRule type="expression" dxfId="470" priority="79">
      <x:formula>AND(NOT($BK28),OR($CC68="M",$CC68="C"))</x:formula>
    </x:cfRule>
    <x:cfRule type="expression" dxfId="469" priority="80">
      <x:formula>AND(NOT($BK28),AND(CH28="",CI28="",OR($CC68="B",$CC68="G")))</x:formula>
    </x:cfRule>
    <x:cfRule type="expression" dxfId="468" priority="81">
      <x:formula>AND(NOT($BK28),(CH28/2)/COS(RADIANS(CL28))+CD68-DC68&lt;$FB$4)</x:formula>
    </x:cfRule>
  </x:conditionalFormatting>
  <x:conditionalFormatting sqref="CI28:CI45">
    <x:cfRule type="expression" dxfId="467" priority="82">
      <x:formula>AND(NOT($BK28),OR($CC68="M",$CC68="C"))</x:formula>
    </x:cfRule>
    <x:cfRule type="expression" dxfId="466" priority="83">
      <x:formula>AND(NOT($BK28),AND(CH28="",CI28="",OR($CC68="B",$CC68="G")))</x:formula>
    </x:cfRule>
    <x:cfRule type="expression" dxfId="465" priority="84">
      <x:formula>AND(NOT($BK28),(CI28/2)/COS(RADIANS(CL28))+CD68-DC68&lt;$FB$4)</x:formula>
    </x:cfRule>
  </x:conditionalFormatting>
  <x:conditionalFormatting sqref="CT28:CT45">
    <x:cfRule type="expression" dxfId="464" priority="85">
      <x:formula>AND(NOT($BK28),OR($CL68="M",$CL68="C",$CL68="G"))</x:formula>
    </x:cfRule>
    <x:cfRule type="expression" dxfId="463" priority="86">
      <x:formula>AND(NOT($BK28),AND(OR($CL68="B",$CL68="G"),CT28="",CU28=""))</x:formula>
    </x:cfRule>
    <x:cfRule type="expression" dxfId="462" priority="87">
      <x:formula>AND(NOT($BK28),EJ68="ERR")</x:formula>
    </x:cfRule>
  </x:conditionalFormatting>
  <x:conditionalFormatting sqref="CU28:CU45">
    <x:cfRule type="expression" dxfId="461" priority="88">
      <x:formula>AND(NOT($BK28),OR($CL68="M",$CL68="C",$CL68="G"))</x:formula>
    </x:cfRule>
    <x:cfRule type="expression" dxfId="460" priority="89">
      <x:formula>AND(NOT($BK28),AND(OR($CL68="B",$CL68="G"),CT28="",CU28=""))</x:formula>
    </x:cfRule>
    <x:cfRule type="expression" dxfId="459" priority="90">
      <x:formula>AND(NOT($BK28),EJ68="ERR")</x:formula>
    </x:cfRule>
  </x:conditionalFormatting>
  <x:conditionalFormatting sqref="CR28:CR45">
    <x:cfRule type="expression" dxfId="458" priority="91">
      <x:formula>AND(NOT($BK28),OR($CL68="M",$CL68="C"))</x:formula>
    </x:cfRule>
    <x:cfRule type="expression" dxfId="457" priority="92">
      <x:formula>AND(NOT($BK28),AND(CR28="",CS28="",OR($CL68="B",$CL68="G")))</x:formula>
    </x:cfRule>
    <x:cfRule type="expression" dxfId="456" priority="93">
      <x:formula>AND(NOT($BK28),(CR28/2)/COS(RADIANS(CV28))+CM68-DI68&lt;$FB$4)</x:formula>
    </x:cfRule>
  </x:conditionalFormatting>
  <x:conditionalFormatting sqref="CS28:CS45">
    <x:cfRule type="expression" dxfId="455" priority="94">
      <x:formula>AND(NOT($BK28),OR($CL68="M",$CL68="C"))</x:formula>
    </x:cfRule>
    <x:cfRule type="expression" dxfId="454" priority="95">
      <x:formula>AND(NOT($BK28),AND(CR28="",CS28="",OR($CL68="B",$CL68="G")))</x:formula>
    </x:cfRule>
    <x:cfRule type="expression" dxfId="453" priority="96">
      <x:formula>AND(NOT($BK28),(CS28/2)/COS(RADIANS(CV28))+CM68-DI68&lt;$FB$4)</x:formula>
    </x:cfRule>
  </x:conditionalFormatting>
  <x:conditionalFormatting sqref="CW28:CW45 CM28:CM45">
    <x:cfRule type="expression" dxfId="452" priority="97">
      <x:formula>AND(NOT($BK28),AND(ISBLANK(CM28),AND(NOT(ISBLANK(CL28)),$DA28&lt;&gt;0)))</x:formula>
    </x:cfRule>
  </x:conditionalFormatting>
  <x:conditionalFormatting sqref="CO28:CO45">
    <x:cfRule type="expression" dxfId="451" priority="98">
      <x:formula>ET28&lt;&gt;""</x:formula>
    </x:cfRule>
  </x:conditionalFormatting>
  <x:conditionalFormatting sqref="CY28:CY45">
    <x:cfRule type="expression" dxfId="450" priority="99">
      <x:formula>EU28&lt;&gt;""</x:formula>
    </x:cfRule>
  </x:conditionalFormatting>
  <x:conditionalFormatting sqref="DC28:DC45">
    <x:cfRule type="expression" dxfId="449" priority="100">
      <x:formula>OR(EN28&lt;&gt;"",EO28&lt;&gt;"",EP28&lt;&gt;"",EQ28&lt;&gt;"",ER28&lt;&gt;"",ES28&lt;&gt;"",ET28&lt;&gt;"",EU28&lt;&gt;"")</x:formula>
    </x:cfRule>
  </x:conditionalFormatting>
  <x:conditionalFormatting sqref="CG28:CG45">
    <x:cfRule type="expression" dxfId="448" priority="101">
      <x:formula>AND(NOT($BK28),ISERROR(CC68))</x:formula>
    </x:cfRule>
    <x:cfRule type="expression" dxfId="447" priority="102">
      <x:formula>AND(NOT($BK28),OR(ISERROR(CC68),CC68="", ET28&lt;&gt;""))</x:formula>
    </x:cfRule>
  </x:conditionalFormatting>
  <x:conditionalFormatting sqref="CQ28:CQ45">
    <x:cfRule type="expression" dxfId="446" priority="103">
      <x:formula>AND(NOT($BK28),ISERROR(CL68))</x:formula>
    </x:cfRule>
    <x:cfRule type="expression" dxfId="445" priority="104">
      <x:formula>AND(NOT($BK28),OR(CL68="", EU28&lt;&gt;""))</x:formula>
    </x:cfRule>
  </x:conditionalFormatting>
  <x:conditionalFormatting sqref="GA48:GB48">
    <x:cfRule type="expression" dxfId="444" priority="3" stopIfTrue="1">
      <x:formula>$GM48&gt;=0.125</x:formula>
    </x:cfRule>
  </x:conditionalFormatting>
  <x:conditionalFormatting sqref="B87">
    <x:cfRule type="expression" dxfId="443" priority="1">
      <x:formula>AND(NOT($BK$1),$B87=0,OR($BJ$1="",$BJ$1="M"))</x:formula>
    </x:cfRule>
  </x:conditionalFormatting>
  <x:conditionalFormatting sqref="B87">
    <x:cfRule type="expression" dxfId="442" priority="2">
      <x:formula>$FN87</x:formula>
    </x:cfRule>
  </x:conditionalFormatting>
  <x:conditionalFormatting sqref="D28:E45">
    <x:cfRule type="expression" dxfId="441" priority="105" stopIfTrue="1">
      <x:formula xml:space="preserve"> AND($GM28 &gt;= 0.125, $GL28 &gt; 0)</x:formula>
    </x:cfRule>
  </x:conditionalFormatting>
  <x:dataValidations count="19">
    <x:dataValidation type="decimal" allowBlank="1" showInputMessage="1" showErrorMessage="1" error="Load must be blank or a number." sqref="DO14:DO45" xr:uid="{4B730E05-AA68-4798-807F-A0E02568FAEA}">
      <x:formula1>0</x:formula1>
      <x:formula2>99</x:formula2>
    </x:dataValidation>
    <x:dataValidation type="whole" operator="greaterThan" allowBlank="1" showInputMessage="1" showErrorMessage="1" errorTitle="Quantity Error" error="Value must be an integer greater than -1000." sqref="B28:B45 CC28:CC45" xr:uid="{732A186C-760E-456A-91E8-755725D1D60F}">
      <x:formula1>-1001</x:formula1>
    </x:dataValidation>
    <x:dataValidation type="whole" operator="notBetween" allowBlank="1" showInputMessage="1" showErrorMessage="1" sqref="B87" xr:uid="{2C68BE69-C6B2-4BF4-BE02-7EDF9477E2D5}">
      <x:formula1>-10001</x:formula1>
      <x:formula2>-10000</x:formula2>
    </x:dataValidation>
    <x:dataValidation type="decimal" operator="greaterThan" allowBlank="1" showInputMessage="1" showErrorMessage="1" errorTitle="Input Error" error="Positive Numeric Values Only!" sqref="CP28:CP45 CZ28:CZ45" xr:uid="{17C5027B-77C7-49C1-99FF-AA538F8F82D5}">
      <x:formula1>0</x:formula1>
    </x:dataValidation>
    <x:dataValidation allowBlank="1" showInputMessage="1" showErrorMessage="1" errorTitle="Input Error" error="Numbers from 0&quot; to 11 7/8&quot; only!" sqref="GB28:GB45 GB48" xr:uid="{9653E72A-0162-4732-890B-20C127A838D1}"/>
    <x:dataValidation type="whole" operator="greaterThanOrEqual" allowBlank="1" showInputMessage="1" showErrorMessage="1" errorTitle="Input Error" error="Positive Integers Only!" sqref="GA28:GA45 GA48" xr:uid="{6F7175EE-45E4-41FC-95D5-A95280D7708A}">
      <x:formula1>0</x:formula1>
    </x:dataValidation>
    <x:dataValidation type="decimal" allowBlank="1" showInputMessage="1" showErrorMessage="1" errorTitle="Input Error" error="Numeric Values Only!" sqref="GC28:GD45 GC48:GD48 CN28:CN45 CX28:CX45" xr:uid="{F61D843E-F842-468B-8761-7F2A6C928A8A}">
      <x:formula1>-1200</x:formula1>
      <x:formula2>1200</x:formula2>
    </x:dataValidation>
    <x:dataValidation type="decimal" operator="greaterThanOrEqual" allowBlank="1" showInputMessage="1" showErrorMessage="1" errorTitle="Input Error" error="Enter a numeric value greater than 1/2&quot;." sqref="AP14:AQ45" xr:uid="{1267D291-60CF-4FC1-83F3-5E595126AF5C}">
      <x:formula1>0.75</x:formula1>
    </x:dataValidation>
    <x:dataValidation type="whole" allowBlank="1" showInputMessage="1" showErrorMessage="1" errorTitle="Input Error:" error="Enter Number of &quot;Sixteenths&quot; of an Inch for the Hole Diameter._x000a_Ex: &quot;9&quot; = 9/16&quot; Hole._x000a_    &quot;13&quot; = 13/16&quot; Hole." sqref="AN14:AN45" xr:uid="{5C1E2B3E-6CDA-47C6-91E1-1DFD947189DE}">
      <x:formula1>9</x:formula1>
      <x:formula2>17</x:formula2>
    </x:dataValidation>
    <x:dataValidation type="list" allowBlank="1" showInputMessage="1" showErrorMessage="1" errorTitle="Input Error" error="The Only Valid Entries For This Column is &quot;N&quot;, &quot;F&quot; or &quot;B&quot;." sqref="AL14:AL45 AC14:AC45 AY14:AY45 BC14:BC45 BG14:BG45 AU14:AU45" xr:uid="{88C27F5A-44B9-47BE-BC92-6257712C214B}">
      <x:formula1>"N,F,B"</x:formula1>
    </x:dataValidation>
    <x:dataValidation type="decimal" operator="lessThanOrEqual" allowBlank="1" showInputMessage="1" showErrorMessage="1" errorTitle="BL Over-Ride Error!" error="Base Length can't be past Girder Overall Length!  See section for Maximum Over-Ride Dimension." sqref="CY28:CY45" xr:uid="{36C317E0-352A-49EC-9355-E86578B22D77}">
      <x:formula1>$CM68</x:formula1>
    </x:dataValidation>
    <x:dataValidation type="decimal" operator="lessThanOrEqual" allowBlank="1" showInputMessage="1" showErrorMessage="1" errorTitle="BL Over-Ride Error!" error="Base Length can't be past Girder Overall Length!  See section for Maximum Over-Ride Dimension." sqref="CO28:CO45" xr:uid="{872D6944-3C82-4685-BC61-65F82EB534F4}">
      <x:formula1>$CD68</x:formula1>
    </x:dataValidation>
    <x:dataValidation type="decimal" operator="notEqual" allowBlank="1" showInputMessage="1" showErrorMessage="1" errorTitle="Input Error" error="Enter + or - Numbers Only._x000a_Do NOT use &quot;&lt;&quot; or &quot;&gt;&quot;." sqref="X28:Y45 X87:Y87" xr:uid="{9E539AF5-737C-486F-B20F-AA94DBA9378E}">
      <x:formula1>0</x:formula1>
    </x:dataValidation>
    <x:dataValidation type="decimal" operator="greaterThanOrEqual" allowBlank="1" showInputMessage="1" showErrorMessage="1" errorTitle="Dimensional Error" error="&quot;Inches&quot; must be a number." sqref="CH28:CK45 CR28:CU45" xr:uid="{22D51582-EE99-4FE4-A14B-9CE2E715D6C0}">
      <x:formula1>0</x:formula1>
    </x:dataValidation>
    <x: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940A1F8E-0F27-4170-ADD8-A653705489CD}">
      <x:formula1>0</x:formula1>
      <x:formula2>11.875</x:formula2>
    </x:dataValidation>
    <x:dataValidation type="custom" allowBlank="1" showErrorMessage="1" errorTitle="Error" error="Value must  be either a whole number OR the string &quot;P&quot;." sqref="DV14:DV45 BD87 ED14:ED45 EH14:EH45 AZ87 AR87 AV87 DZ14:DZ45 BD14:BD45 AZ14:AZ45 AV14:AV45 AR14:AR45" xr:uid="{64F53446-9142-4586-9F6B-71DBA34EF85D}">
      <x:formula1>IF(ISERROR(INT(AR14)),AR14="P",INT(AR14)=AR14)</x:formula1>
    </x:dataValidation>
    <x:dataValidation type="whole" operator="greaterThanOrEqual" allowBlank="1" showErrorMessage="1" errorTitle="Error" error="&quot;Number of Panels&quot; can only be whole numbers." sqref="DL14:DL45 AF87 AF14:AF45" xr:uid="{A2C61D80-BC24-4F6B-82DD-87D37CF85C5A}">
      <x:formula1>0</x:formula1>
    </x:dataValidation>
    <x: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067C966-FBE7-4950-9D8C-387E4EE12E6A}">
      <x:formula1>0</x:formula1>
    </x:dataValidation>
    <x:dataValidation type="list" allowBlank="1" showInputMessage="1" sqref="M7:S7 DA20:DB20" xr:uid="{24A0E2C5-88E5-417A-A948-1918267F1936}">
      <x:formula1>masterFinishList</x:formula1>
    </x:dataValidation>
  </x:dataValidations>
  <x:printOptions horizontalCentered="1"/>
  <x:pageMargins left="0.3" right="0.3" top="0.5" bottom="0.5" header="0" footer="0.25"/>
  <x:pageSetup scale="70" pageOrder="overThenDown" orientation="landscape" r:id="rId1"/>
  <x:headerFooter alignWithMargins="0">
    <x:oddFooter>&amp;R&amp;7Printed: &amp;D &amp;T&amp;L&amp;7Version: 23.0413
File: &amp;F</x:oddFooter>
  </x:headerFooter>
  <x:colBreaks count="1" manualBreakCount="1">
    <x:brk id="27" max="44" man="1"/>
  </x:colBreaks>
  <x:drawing r:id="rId2"/>
  <x:legacyDrawing r:id="rId3"/>
</x:worksheet>
</file>

<file path=xl/worksheets/sheet3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5264AED3-4890-4182-A21F-2D04A70F7720}" mc:Ignorable="x14ac xr xr2 xr3">
  <x:sheetPr codeName="Sheet30">
    <x:tabColor indexed="42"/>
  </x:sheetPr>
  <x:dimension ref="A1:AAD111"/>
  <x:sheetViews>
    <x:sheetView showGridLines="0" topLeftCell="F2" zoomScaleNormal="100" zoomScaleSheetLayoutView="75" workbookViewId="0">
      <x:selection activeCell="A27" sqref="A27"/>
    </x:sheetView>
  </x:sheetViews>
  <x:sheetFormatPr defaultColWidth="0" defaultRowHeight="12.75" x14ac:dyDescent="0.2"/>
  <x:cols>
    <x:col min="1" max="1" width="5.7109375" style="130" customWidth="1"/>
    <x:col min="2" max="2" width="4.28515625" style="130" customWidth="1"/>
    <x:col min="3" max="3" width="15.28515625" style="130" customWidth="1"/>
    <x:col min="4" max="4" width="3.7109375" style="130" customWidth="1"/>
    <x:col min="5" max="5" width="4.42578125" style="130" customWidth="1"/>
    <x:col min="6" max="6" width="4.7109375" style="130" customWidth="1"/>
    <x:col min="7" max="7" width="3" style="130" customWidth="1"/>
    <x:col min="8" max="8" width="4.42578125" style="130" customWidth="1"/>
    <x:col min="9" max="10" width="3" style="130" customWidth="1"/>
    <x:col min="11" max="11" width="4.42578125" style="130" customWidth="1"/>
    <x:col min="12" max="12" width="3" style="130" customWidth="1"/>
    <x:col min="13" max="14" width="4.28515625" style="130" customWidth="1"/>
    <x:col min="15" max="15" width="3.28515625" style="130" customWidth="1"/>
    <x:col min="16" max="16" width="5" style="130" customWidth="1"/>
    <x:col min="17" max="17" width="3.28515625" style="130" customWidth="1"/>
    <x:col min="18" max="18" width="5" style="130" customWidth="1"/>
    <x:col min="19" max="19" width="2.85546875" style="130" customWidth="1"/>
    <x:col min="20" max="20" width="4.42578125" style="130" customWidth="1"/>
    <x:col min="21" max="21" width="2.85546875" style="130" customWidth="1"/>
    <x:col min="22" max="22" width="4.42578125" style="130" customWidth="1"/>
    <x:col min="23" max="23" width="4.28515625" style="130" customWidth="1"/>
    <x:col min="24" max="25" width="4.7109375" style="130" customWidth="1"/>
    <x:col min="26" max="26" width="18.5703125" style="130" customWidth="1"/>
    <x:col min="27" max="27" width="4" style="130" customWidth="1"/>
    <x:col min="28" max="28" width="5.7109375" style="130" customWidth="1"/>
    <x:col min="29" max="29" width="3.28515625" style="130" customWidth="1"/>
    <x:col min="30" max="30" width="3" style="130" customWidth="1"/>
    <x:col min="31" max="31" width="4.42578125" style="130" customWidth="1"/>
    <x:col min="32" max="32" width="3.42578125" style="130" customWidth="1"/>
    <x:col min="33" max="33" width="3" style="130" customWidth="1"/>
    <x:col min="34" max="34" width="4.42578125" style="130" customWidth="1"/>
    <x:col min="35" max="35" width="3" style="130" customWidth="1"/>
    <x:col min="36" max="37" width="4.42578125" style="130" customWidth="1"/>
    <x:col min="38" max="38" width="5" style="130" customWidth="1"/>
    <x:col min="39" max="39" width="4.42578125" style="130" customWidth="1"/>
    <x:col min="40" max="40" width="5.28515625" style="130" customWidth="1"/>
    <x:col min="41" max="43" width="4.42578125" style="130" customWidth="1"/>
    <x:col min="44" max="44" width="3.7109375" style="130" customWidth="1"/>
    <x:col min="45" max="47" width="4.42578125" style="130" customWidth="1"/>
    <x:col min="48" max="48" width="3.7109375" style="130" customWidth="1"/>
    <x:col min="49" max="51" width="4.42578125" style="130" customWidth="1"/>
    <x:col min="52" max="52" width="3.7109375" style="130" customWidth="1"/>
    <x:col min="53" max="55" width="4.42578125" style="130" customWidth="1"/>
    <x:col min="56" max="56" width="3.7109375" style="130" customWidth="1"/>
    <x:col min="57" max="59" width="4.42578125" style="130" customWidth="1"/>
    <x:col min="60" max="60" width="4.7109375" style="258" customWidth="1"/>
    <x:col min="61" max="61" width="5.7109375" style="2" hidden="1" customWidth="1"/>
    <x:col min="62" max="62" width="6.7109375" style="130" hidden="1" customWidth="1"/>
    <x:col min="63" max="66" width="4.7109375" style="130" hidden="1" customWidth="1"/>
    <x:col min="67" max="67" width="8" style="130" hidden="1" customWidth="1"/>
    <x:col min="68" max="68" width="7.85546875" style="130" hidden="1" customWidth="1"/>
    <x:col min="69" max="71" width="4.7109375" style="130" hidden="1" customWidth="1"/>
    <x:col min="72" max="72" width="6.7109375" style="130" hidden="1" customWidth="1"/>
    <x:col min="73" max="73" width="4.7109375" style="130" hidden="1" customWidth="1"/>
    <x:col min="74" max="78" width="6.7109375" style="130" hidden="1" customWidth="1"/>
    <x:col min="79" max="79" width="5.7109375" style="130" customWidth="1"/>
    <x:col min="80" max="80" width="6.7109375" style="130" hidden="1" customWidth="1"/>
    <x:col min="81" max="81" width="4.7109375" style="130" hidden="1" customWidth="1"/>
    <x:col min="82" max="82" width="15.7109375" style="130" hidden="1" customWidth="1"/>
    <x:col min="83" max="83" width="4.7109375" style="130" hidden="1" customWidth="1"/>
    <x:col min="84" max="84" width="5.7109375" style="130" hidden="1" customWidth="1"/>
    <x:col min="85" max="85" width="3.7109375" style="130" hidden="1" customWidth="1"/>
    <x:col min="86" max="89" width="5.28515625" style="130" hidden="1" customWidth="1"/>
    <x:col min="90" max="90" width="4.7109375" style="130" hidden="1" customWidth="1"/>
    <x:col min="91" max="91" width="5.7109375" style="130" hidden="1" customWidth="1"/>
    <x:col min="92" max="93" width="6" style="130" hidden="1" customWidth="1"/>
    <x:col min="94" max="94" width="4.7109375" style="130" hidden="1" customWidth="1"/>
    <x:col min="95" max="95" width="3.7109375" style="130" hidden="1" customWidth="1"/>
    <x:col min="96" max="99" width="5.28515625" style="130" hidden="1" customWidth="1"/>
    <x:col min="100" max="100" width="4.7109375" style="130" hidden="1" customWidth="1"/>
    <x:col min="101" max="101" width="5.7109375" style="130" hidden="1" customWidth="1"/>
    <x:col min="102" max="103" width="6" style="130" hidden="1" customWidth="1"/>
    <x:col min="104" max="104" width="4.7109375" style="130" hidden="1" customWidth="1"/>
    <x:col min="105" max="105" width="5.7109375" style="130" hidden="1" customWidth="1"/>
    <x:col min="106" max="106" width="15.7109375" style="130" hidden="1" customWidth="1"/>
    <x:col min="107" max="107" width="22.28515625" style="130" hidden="1" customWidth="1"/>
    <x:col min="108" max="109" width="4.7109375" style="130" hidden="1" customWidth="1"/>
    <x:col min="110" max="111" width="1.7109375" style="130" hidden="1" customWidth="1"/>
    <x:col min="112" max="112" width="5.7109375" style="130" hidden="1" customWidth="1"/>
    <x:col min="113" max="113" width="4.7109375" style="130" hidden="1" customWidth="1"/>
    <x:col min="114" max="114" width="3.7109375" style="130" hidden="1" customWidth="1"/>
    <x:col min="115" max="115" width="5.7109375" style="130" hidden="1" customWidth="1"/>
    <x:col min="116" max="116" width="2.7109375" style="130" hidden="1" customWidth="1"/>
    <x:col min="117" max="117" width="3.7109375" style="130" hidden="1" customWidth="1"/>
    <x:col min="118" max="118" width="5.7109375" style="130" hidden="1" customWidth="1"/>
    <x:col min="119" max="119" width="3.7109375" style="130" hidden="1" customWidth="1"/>
    <x:col min="120" max="120" width="4.7109375" style="130" hidden="1" customWidth="1"/>
    <x:col min="121" max="121" width="5.28515625" style="130" hidden="1" customWidth="1"/>
    <x:col min="122" max="125" width="4.28515625" style="130" hidden="1" customWidth="1"/>
    <x:col min="126" max="126" width="4.7109375" style="130" hidden="1" customWidth="1"/>
    <x:col min="127" max="127" width="5.7109375" style="130" hidden="1" customWidth="1"/>
    <x:col min="128" max="128" width="3.7109375" style="130" hidden="1" customWidth="1"/>
    <x:col min="129" max="129" width="3" style="130" hidden="1" customWidth="1"/>
    <x:col min="130" max="130" width="4.7109375" style="130" hidden="1" customWidth="1"/>
    <x:col min="131" max="131" width="5.7109375" style="130" hidden="1" customWidth="1"/>
    <x:col min="132" max="132" width="3.7109375" style="130" hidden="1" customWidth="1"/>
    <x:col min="133" max="133" width="3" style="130" hidden="1" customWidth="1"/>
    <x:col min="134" max="134" width="4.7109375" style="130" hidden="1" customWidth="1"/>
    <x:col min="135" max="135" width="5.7109375" style="130" hidden="1" customWidth="1"/>
    <x:col min="136" max="136" width="3.7109375" style="130" hidden="1" customWidth="1"/>
    <x:col min="137" max="137" width="3" style="130" hidden="1" customWidth="1"/>
    <x:col min="138" max="138" width="4.7109375" style="130" hidden="1" customWidth="1"/>
    <x:col min="139" max="139" width="5.7109375" style="130" hidden="1" customWidth="1"/>
    <x:col min="140" max="140" width="3.7109375" style="130" hidden="1" customWidth="1"/>
    <x:col min="141" max="141" width="3" style="130" hidden="1" customWidth="1"/>
    <x:col min="142" max="142" width="2.28515625" style="130" hidden="1" customWidth="1"/>
    <x:col min="143" max="143" width="6.7109375" style="130" hidden="1" customWidth="1"/>
    <x:col min="144" max="144" width="8.7109375" style="140" hidden="1" customWidth="1"/>
    <x:col min="145" max="145" width="8.7109375" style="130" hidden="1" customWidth="1"/>
    <x:col min="146" max="146" width="10.7109375" style="130" hidden="1" customWidth="1"/>
    <x:col min="147" max="147" width="6.7109375" style="130" hidden="1" customWidth="1"/>
    <x:col min="148" max="149" width="5.42578125" style="130" hidden="1" customWidth="1"/>
    <x:col min="150" max="151" width="4.28515625" style="130" hidden="1" customWidth="1"/>
    <x:col min="152" max="152" width="6.7109375" style="130" customWidth="1"/>
    <x:col min="153" max="177" width="8.7109375" style="130" hidden="1" customWidth="1"/>
    <x:col min="178" max="178" width="6.7109375" style="130" hidden="1" customWidth="1"/>
    <x:col min="179" max="181" width="8.7109375" style="130" hidden="1" customWidth="1"/>
    <x:col min="182" max="182" width="4.7109375" style="130" customWidth="1"/>
    <x:col min="183" max="183" width="5.28515625" style="130" customWidth="1"/>
    <x:col min="184" max="184" width="6.28515625" style="130" customWidth="1"/>
    <x:col min="185" max="187" width="8.7109375" style="130" customWidth="1"/>
    <x:col min="188" max="188" width="5.7109375" style="130" customWidth="1"/>
    <x:col min="189" max="189" width="5.28515625" style="130" customWidth="1"/>
    <x:col min="190" max="190" width="6.28515625" style="130" customWidth="1"/>
    <x:col min="191" max="191" width="5.28515625" style="130" hidden="1" customWidth="1"/>
    <x:col min="192" max="192" width="6.28515625" style="130" hidden="1" customWidth="1"/>
    <x:col min="193" max="195" width="8.7109375" style="130" hidden="1" customWidth="1"/>
    <x:col min="196" max="196" width="4.7109375" style="130" customWidth="1"/>
    <x:col min="197" max="198" width="8.7109375" style="130" hidden="1" customWidth="1"/>
    <x:col min="199" max="199" width="6.7109375" style="130" hidden="1" customWidth="1"/>
    <x:col min="200" max="206" width="8.7109375" style="130" hidden="1" customWidth="1"/>
    <x:col min="207" max="207" width="8.7109375" style="130" customWidth="1"/>
    <x:col min="208" max="208" width="8.7109375" style="130" hidden="1" customWidth="1"/>
    <x:col min="209" max="211" width="8.7109375" style="140" hidden="1" customWidth="1"/>
    <x:col min="212" max="212" width="8.7109375" style="131" hidden="1" customWidth="1"/>
    <x:col min="213" max="213" width="8.7109375" style="132" hidden="1" customWidth="1"/>
    <x:col min="214" max="232" width="8.7109375" style="140" hidden="1" customWidth="1"/>
    <x:col min="233" max="255" width="8.7109375" style="130" hidden="1" customWidth="1"/>
    <x:col min="256" max="260" width="6.7109375" style="130" hidden="1" customWidth="1"/>
    <x:col min="261" max="275" width="4.7109375" style="130" hidden="1" customWidth="1"/>
    <x:col min="276" max="701" width="4.7109375" style="130" customWidth="1"/>
    <x:col min="702" max="706" width="6.7109375" style="130" customWidth="1"/>
    <x:col min="707" max="16384" width="6.7109375" style="130" hidden="1"/>
  </x:cols>
  <x:sheetData>
    <x:row r="1" spans="1:276" s="117" customFormat="1" ht="14.45" customHeight="1" thickBot="1" x14ac:dyDescent="0.25">
      <x:c r="A1" s="382"/>
      <x:c r="B1" s="382"/>
      <x:c r="C1" s="382"/>
      <x:c r="D1" s="382"/>
      <x:c r="E1" s="382"/>
      <x:c r="F1" s="382"/>
      <x:c r="G1" s="382"/>
      <x:c r="H1" s="382"/>
      <x:c r="I1" s="382"/>
      <x:c r="J1" s="382"/>
      <x:c r="K1" s="382"/>
      <x:c r="L1" s="382"/>
      <x:c r="M1" s="382"/>
      <x:c r="N1" s="382"/>
      <x:c r="O1" s="382"/>
      <x:c r="P1" s="382"/>
      <x:c r="Q1" s="1832" t="str">
        <x:f>IF(BJ1="","",VLOOKUP(BJ1,'Job Info.'!X:AA,4,FALSE))</x:f>
        <x:v>Master</x:v>
      </x:c>
      <x:c r="R1" s="1832"/>
      <x:c r="S1" s="1832"/>
      <x:c r="T1" s="1832"/>
      <x:c r="U1" s="382"/>
      <x:c r="V1" s="375"/>
      <x:c r="W1" s="2067" t="s">
        <x:v>95</x:v>
      </x:c>
      <x:c r="X1" s="2067"/>
      <x:c r="Y1" s="2067"/>
      <x:c r="Z1" s="375" t="str">
        <x:f ca="1">'Job Info.'!D12</x:f>
        <x:v>775-428-0600</x:v>
      </x:c>
      <x:c r="AA1" s="374"/>
      <x:c r="AB1" s="382"/>
      <x:c r="AC1" s="382"/>
      <x:c r="AD1" s="382"/>
      <x:c r="AE1" s="382"/>
      <x:c r="AF1" s="382"/>
      <x:c r="AG1" s="382"/>
      <x:c r="AH1" s="382"/>
      <x:c r="AI1" s="382"/>
      <x:c r="AJ1" s="382"/>
      <x:c r="AK1" s="382"/>
      <x:c r="AL1" s="382"/>
      <x:c r="AM1" s="382"/>
      <x:c r="AN1" s="382"/>
      <x:c r="AO1" s="382"/>
      <x:c r="AP1" s="382"/>
      <x:c r="AQ1" s="374"/>
      <x:c r="AR1" s="382"/>
      <x:c r="AS1" s="382"/>
      <x:c r="AT1" s="382"/>
      <x:c r="AU1" s="1832" t="str">
        <x:f>Q1</x:f>
        <x:v>Master</x:v>
      </x:c>
      <x:c r="AV1" s="1832"/>
      <x:c r="AW1" s="1832"/>
      <x:c r="AX1" s="1832"/>
      <x:c r="AY1" s="382"/>
      <x:c r="AZ1" s="382"/>
      <x:c r="BA1" s="2067" t="s">
        <x:v>95</x:v>
      </x:c>
      <x:c r="BB1" s="2067"/>
      <x:c r="BC1" s="2067"/>
      <x:c r="BD1" s="1835" t="str">
        <x:f ca="1">'Job Info.'!D12</x:f>
        <x:v>775-428-0600</x:v>
      </x:c>
      <x:c r="BE1" s="1835"/>
      <x:c r="BF1" s="1835"/>
      <x:c r="BG1" s="466"/>
      <x:c r="BH1" s="487" t="s">
        <x:v>722</x:v>
      </x:c>
      <x:c r="BI1" s="245"/>
      <x:c r="BJ1" s="243" t="str">
        <x:f>'Job Info.'!Q30</x:f>
        <x:v>M</x:v>
      </x:c>
      <x:c r="BK1" s="243" t="b">
        <x:f>'Job Info.'!Q32</x:f>
        <x:v>0</x:v>
      </x:c>
      <x:c r="BL1" s="760" t="s">
        <x:v>957</x:v>
      </x:c>
      <x:c r="CA1" s="488" t="s">
        <x:v>724</x:v>
      </x:c>
      <x:c r="CB1" s="244"/>
      <x:c r="CC1" s="244"/>
      <x:c r="CD1" s="244"/>
      <x:c r="CE1" s="244"/>
      <x:c r="CF1" s="244"/>
      <x:c r="CG1" s="244"/>
      <x:c r="CH1" s="244"/>
      <x:c r="CI1" s="244"/>
      <x:c r="CJ1" s="244"/>
      <x:c r="CK1" s="244"/>
      <x:c r="CL1" s="244"/>
      <x:c r="CM1" s="244"/>
      <x:c r="CN1" s="244"/>
      <x:c r="CO1" s="244"/>
      <x:c r="CP1" s="244"/>
      <x:c r="CQ1" s="244"/>
      <x:c r="CR1" s="244"/>
      <x:c r="CS1" s="244"/>
      <x:c r="CT1" s="244"/>
      <x:c r="CU1" s="244"/>
      <x:c r="CV1" s="244"/>
      <x:c r="CW1" s="244"/>
      <x:c r="CX1" s="241"/>
      <x:c r="CY1" s="244"/>
      <x:c r="CZ1" s="244"/>
      <x:c r="DA1" s="244"/>
      <x:c r="DB1" s="244"/>
      <x:c r="DC1" s="244"/>
      <x:c r="DD1" s="244"/>
      <x:c r="DE1" s="244"/>
      <x:c r="DF1" s="244"/>
      <x:c r="DG1" s="244"/>
      <x:c r="DH1" s="244"/>
      <x:c r="DI1" s="244"/>
      <x:c r="DJ1" s="203"/>
      <x:c r="DK1" s="203"/>
      <x:c r="DL1" s="203"/>
      <x:c r="DM1" s="203"/>
      <x:c r="DN1" s="203"/>
      <x:c r="DO1" s="203"/>
      <x:c r="DP1" s="203"/>
      <x:c r="DQ1" s="241"/>
      <x:c r="DR1" s="241"/>
      <x:c r="DS1" s="241"/>
      <x:c r="DT1" s="241"/>
      <x:c r="DU1" s="241"/>
      <x:c r="DV1" s="241"/>
      <x:c r="DW1" s="241"/>
      <x:c r="DX1" s="241"/>
      <x:c r="DY1" s="241"/>
      <x:c r="DZ1" s="241"/>
      <x:c r="EA1" s="241"/>
      <x:c r="EB1" s="241"/>
      <x:c r="EC1" s="244"/>
      <x:c r="ED1" s="244"/>
      <x:c r="EE1" s="244"/>
      <x:c r="EF1" s="244"/>
      <x:c r="EG1" s="244"/>
      <x:c r="EH1" s="244"/>
      <x:c r="EI1" s="244"/>
      <x:c r="EJ1" s="244"/>
      <x:c r="EK1" s="244"/>
      <x:c r="EL1" s="241"/>
      <x:c r="EM1" s="241"/>
      <x:c r="EN1" s="926"/>
      <x:c r="EO1" s="924"/>
      <x:c r="EP1" s="241"/>
      <x:c r="EQ1" s="924"/>
      <x:c r="ER1" s="241"/>
      <x:c r="ES1" s="241"/>
      <x:c r="ET1" s="241"/>
      <x:c r="EU1" s="460"/>
      <x:c r="EV1" s="487" t="s">
        <x:v>722</x:v>
      </x:c>
      <x:c r="EW1" s="293"/>
      <x:c r="EY1" s="293"/>
      <x:c r="EZ1" s="294" t="s">
        <x:v>467</x:v>
      </x:c>
      <x:c r="FA1" s="295">
        <x:f>'Job Info.'!U26</x:f>
        <x:v>3</x:v>
      </x:c>
      <x:c r="FB1" s="293" t="str">
        <x:f>IF(FA1=1,"Girder BL @ CL of Steel Support (if possible), minimize BL",IF(FA1=2,"Minimize Joist Base Length",IF(FA1=3,"Minimize TCX (Maximize Joist BL)",IF(FA1=4,"Girder BL @ CL of Steel Support (if possible), minimize TCX"))))</x:f>
        <x:v>Minimize TCX (Maximize Joist BL)</x:v>
      </x:c>
      <x:c r="FC1" s="293"/>
      <x:c r="FD1" s="293"/>
      <x:c r="FE1" s="293"/>
      <x:c r="FF1" s="246" t="s">
        <x:v>941</x:v>
      </x:c>
      <x:c r="FG1" s="245" t="str">
        <x:f>'Job Info.'!U27</x:f>
        <x:v>N</x:v>
      </x:c>
      <x:c r="FH1" s="246"/>
      <x:c r="FI1" s="246"/>
      <x:c r="FJ1" s="246"/>
      <x:c r="FL1" s="246"/>
      <x:c r="FO1" s="246"/>
      <x:c r="FP1" s="246"/>
      <x:c r="FQ1" s="246"/>
      <x:c r="FR1" s="246"/>
      <x:c r="FS1" s="246"/>
      <x:c r="FT1" s="246"/>
      <x:c r="FV1" s="485"/>
      <x:c r="FW1" s="245"/>
      <x:c r="FX1" s="245"/>
      <x:c r="FY1" s="245"/>
      <x:c r="FZ1" s="907" t="s">
        <x:v>723</x:v>
      </x:c>
      <x:c r="GA1" s="241"/>
      <x:c r="GB1" s="241"/>
      <x:c r="GC1" s="241"/>
      <x:c r="GD1" s="241"/>
      <x:c r="GE1" s="241"/>
      <x:c r="GF1" s="241"/>
      <x:c r="GG1" s="241"/>
      <x:c r="GH1" s="241"/>
      <x:c r="GI1" s="241"/>
      <x:c r="GJ1" s="241"/>
      <x:c r="GY1" s="484" t="s">
        <x:v>718</x:v>
      </x:c>
      <x:c r="GZ1" s="377" t="s">
        <x:v>1158</x:v>
      </x:c>
      <x:c r="HA1" s="117" t="b">
        <x:f>'Job Info.'!U4</x:f>
        <x:v>0</x:v>
      </x:c>
      <x:c r="HB1" s="1178"/>
      <x:c r="HC1" s="1178"/>
      <x:c r="HD1" s="1178"/>
      <x:c r="HE1" s="1178"/>
      <x:c r="HF1" s="1178"/>
      <x:c r="HG1" s="1178"/>
      <x:c r="HH1" s="1178"/>
      <x:c r="HI1" s="1178"/>
      <x:c r="HJ1" s="1179"/>
      <x:c r="HK1" s="1179"/>
      <x:c r="HL1" s="1179"/>
      <x:c r="HM1" s="1180"/>
      <x:c r="HN1" s="1181"/>
      <x:c r="HO1" s="1179"/>
      <x:c r="HP1" s="1179"/>
      <x:c r="HQ1" s="1179"/>
      <x:c r="HR1" s="1179"/>
      <x:c r="HS1" s="1179"/>
      <x:c r="HT1" s="1179"/>
      <x:c r="HU1" s="1179"/>
      <x:c r="HV1" s="1179"/>
      <x:c r="HW1" s="1179"/>
      <x:c r="HX1" s="1179"/>
      <x:c r="HY1" s="1179"/>
      <x:c r="HZ1" s="1179"/>
      <x:c r="IA1" s="1179"/>
      <x:c r="IB1" s="1179"/>
      <x:c r="IC1" s="1179"/>
      <x:c r="ID1" s="1179"/>
      <x:c r="IE1" s="1179"/>
      <x:c r="IF1" s="1179"/>
      <x:c r="IG1" s="1179"/>
      <x:c r="IH1" s="1178"/>
      <x:c r="II1" s="1178"/>
      <x:c r="IJ1" s="1178"/>
      <x:c r="IK1" s="1178"/>
      <x:c r="IL1" s="1178"/>
      <x:c r="IM1" s="1178"/>
      <x:c r="IN1" s="1178"/>
      <x:c r="IO1" s="1178"/>
      <x:c r="IP1" s="1178"/>
      <x:c r="IQ1" s="1178"/>
      <x:c r="IR1" s="1178"/>
      <x:c r="IS1" s="1178"/>
      <x:c r="IT1" s="1178"/>
      <x:c r="IU1" s="1178"/>
      <x:c r="IV1" s="1178"/>
      <x:c r="IW1" s="1178"/>
      <x:c r="IX1" s="1178"/>
      <x:c r="IY1" s="1178"/>
      <x:c r="IZ1" s="1178"/>
      <x:c r="JA1" s="1178"/>
      <x:c r="JB1" s="1178"/>
      <x:c r="JC1" s="1178"/>
      <x:c r="JD1" s="1178"/>
      <x:c r="JE1" s="1178"/>
      <x:c r="JF1" s="1178"/>
      <x:c r="JG1" s="1178"/>
      <x:c r="JH1" s="1178"/>
      <x:c r="JI1" s="1178"/>
      <x:c r="JJ1" s="1178"/>
      <x:c r="JK1" s="1178"/>
      <x:c r="JL1" s="1178"/>
      <x:c r="JM1" s="1178"/>
      <x:c r="JN1" s="1178"/>
      <x:c r="JO1" s="1178"/>
      <x:c r="JP1" s="485" t="s">
        <x:v>1143</x:v>
      </x:c>
    </x:row>
    <x:row r="2" spans="1:276" s="117" customFormat="1" ht="12.95" customHeight="1" thickTop="1" thickBot="1" x14ac:dyDescent="0.3">
      <x:c r="A2" s="382"/>
      <x:c r="B2" s="382"/>
      <x:c r="C2" s="382"/>
      <x:c r="D2" s="382"/>
      <x:c r="E2" s="382"/>
      <x:c r="F2" s="382"/>
      <x:c r="G2" s="382"/>
      <x:c r="H2" s="382"/>
      <x:c r="I2" s="382"/>
      <x:c r="J2" s="382"/>
      <x:c r="K2" s="382"/>
      <x:c r="L2" s="382"/>
      <x:c r="M2" s="382"/>
      <x:c r="N2" s="382"/>
      <x:c r="O2" s="382"/>
      <x:c r="P2" s="382"/>
      <x:c r="Q2" s="1837" t="str">
        <x:f>IF(BJ1="","",IF(VLOOKUP(BJ1,'Job Info.'!X:Z,2,FALSE),"Released for Fabrication",""))</x:f>
        <x:v/>
      </x:c>
      <x:c r="R2" s="1838"/>
      <x:c r="S2" s="1838"/>
      <x:c r="T2" s="1839"/>
      <x:c r="U2" s="382"/>
      <x:c r="V2" s="375"/>
      <x:c r="W2" s="2067" t="s">
        <x:v>96</x:v>
      </x:c>
      <x:c r="X2" s="2067"/>
      <x:c r="Y2" s="2067"/>
      <x:c r="Z2" s="375" t="str">
        <x:f ca="1">'Job Info.'!D13</x:f>
        <x:v>775-867-2140</x:v>
      </x:c>
      <x:c r="AA2" s="374"/>
      <x:c r="AB2" s="382"/>
      <x:c r="AC2" s="382"/>
      <x:c r="AD2" s="382"/>
      <x:c r="AE2" s="382"/>
      <x:c r="AF2" s="382"/>
      <x:c r="AG2" s="382"/>
      <x:c r="AH2" s="382"/>
      <x:c r="AI2" s="382"/>
      <x:c r="AJ2" s="382"/>
      <x:c r="AK2" s="382"/>
      <x:c r="AL2" s="382"/>
      <x:c r="AM2" s="382"/>
      <x:c r="AN2" s="382"/>
      <x:c r="AO2" s="382"/>
      <x:c r="AP2" s="382"/>
      <x:c r="AQ2" s="374"/>
      <x:c r="AR2" s="382"/>
      <x:c r="AS2" s="382"/>
      <x:c r="AT2" s="382"/>
      <x:c r="AU2" s="1837" t="str">
        <x:f>Q2</x:f>
        <x:v/>
      </x:c>
      <x:c r="AV2" s="1838"/>
      <x:c r="AW2" s="1838"/>
      <x:c r="AX2" s="1839"/>
      <x:c r="AY2" s="382"/>
      <x:c r="AZ2" s="382"/>
      <x:c r="BA2" s="2067" t="s">
        <x:v>96</x:v>
      </x:c>
      <x:c r="BB2" s="2067"/>
      <x:c r="BC2" s="2067"/>
      <x:c r="BD2" s="1835" t="str">
        <x:f ca="1">'Job Info.'!D13</x:f>
        <x:v>775-867-2140</x:v>
      </x:c>
      <x:c r="BE2" s="1835"/>
      <x:c r="BF2" s="1835"/>
      <x:c r="BG2" s="466"/>
      <x:c r="BH2" s="261"/>
      <x:c r="BI2" s="245"/>
      <x:c r="BK2" s="243"/>
      <x:c r="CA2" s="487" t="s">
        <x:v>730</x:v>
      </x:c>
      <x:c r="CB2" s="244"/>
      <x:c r="CC2" s="244"/>
      <x:c r="CD2" s="244"/>
      <x:c r="CE2" s="244"/>
      <x:c r="CF2" s="244"/>
      <x:c r="CG2" s="244"/>
      <x:c r="CH2" s="244"/>
      <x:c r="CI2" s="244"/>
      <x:c r="CJ2" s="244"/>
      <x:c r="CK2" s="244"/>
      <x:c r="CL2" s="244"/>
      <x:c r="CM2" s="244"/>
      <x:c r="CN2" s="244"/>
      <x:c r="CO2" s="244"/>
      <x:c r="CP2" s="244"/>
      <x:c r="CQ2" s="199"/>
      <x:c r="CR2" s="199"/>
      <x:c r="CS2" s="200"/>
      <x:c r="CT2" s="199"/>
      <x:c r="CU2" s="199"/>
      <x:c r="CV2" s="199"/>
      <x:c r="CW2" s="203"/>
      <x:c r="CX2" s="241"/>
      <x:c r="CY2" s="249"/>
      <x:c r="CZ2" s="203"/>
      <x:c r="DA2" s="244"/>
      <x:c r="DB2" s="244"/>
      <x:c r="DC2" s="244"/>
      <x:c r="DD2" s="244"/>
      <x:c r="DE2" s="244"/>
      <x:c r="DF2" s="244"/>
      <x:c r="DG2" s="244"/>
      <x:c r="DH2" s="244"/>
      <x:c r="DI2" s="244"/>
      <x:c r="DJ2" s="203"/>
      <x:c r="DK2" s="203"/>
      <x:c r="DL2" s="203"/>
      <x:c r="DM2" s="203"/>
      <x:c r="DN2" s="203"/>
      <x:c r="DO2" s="203"/>
      <x:c r="DP2" s="203"/>
      <x:c r="DQ2" s="241"/>
      <x:c r="DR2" s="241"/>
      <x:c r="DS2" s="241"/>
      <x:c r="DT2" s="241"/>
      <x:c r="DU2" s="241"/>
      <x:c r="DV2" s="241"/>
      <x:c r="DW2" s="241"/>
      <x:c r="DX2" s="241"/>
      <x:c r="DY2" s="241"/>
      <x:c r="DZ2" s="241"/>
      <x:c r="EA2" s="241"/>
      <x:c r="EB2" s="241"/>
      <x:c r="EC2" s="244"/>
      <x:c r="ED2" s="244"/>
      <x:c r="EE2" s="244"/>
      <x:c r="EF2" s="244"/>
      <x:c r="EG2" s="244"/>
      <x:c r="EH2" s="244"/>
      <x:c r="EI2" s="244"/>
      <x:c r="EJ2" s="244"/>
      <x:c r="EK2" s="244"/>
      <x:c r="EL2" s="241"/>
      <x:c r="EM2" s="241"/>
      <x:c r="EN2" s="926"/>
      <x:c r="EO2" s="924"/>
      <x:c r="EP2" s="241"/>
      <x:c r="EQ2" s="924"/>
      <x:c r="ER2" s="241"/>
      <x:c r="ES2" s="241"/>
      <x:c r="ET2" s="241"/>
      <x:c r="EU2" s="460"/>
      <x:c r="EV2" s="490" t="s">
        <x:v>731</x:v>
      </x:c>
      <x:c r="EW2" s="293"/>
      <x:c r="EY2" s="293"/>
      <x:c r="EZ2" s="294" t="s">
        <x:v>468</x:v>
      </x:c>
      <x:c r="FA2" s="295">
        <x:f>'Job Info.'!L19</x:f>
        <x:v>0.375</x:v>
      </x:c>
      <x:c r="FB2" s="294" t="s">
        <x:v>648</x:v>
      </x:c>
      <x:c r="FC2" s="296">
        <x:f>'Job Info.'!L21</x:f>
        <x:v>0.5</x:v>
      </x:c>
      <x:c r="FD2" s="294" t="s">
        <x:v>649</x:v>
      </x:c>
      <x:c r="FE2" s="296">
        <x:f>'Job Info.'!L22</x:f>
        <x:v>0.25</x:v>
      </x:c>
      <x:c r="FF2" s="293" t="s">
        <x:v>523</x:v>
      </x:c>
      <x:c r="FG2" s="297">
        <x:f>'Job Info.'!L20</x:f>
        <x:v>0.1875</x:v>
      </x:c>
      <x:c r="FH2" s="246"/>
      <x:c r="FI2" s="246"/>
      <x:c r="FJ2" s="246"/>
      <x:c r="FK2" s="246"/>
      <x:c r="FL2" s="246"/>
      <x:c r="FM2" s="246"/>
      <x:c r="FN2" s="246"/>
      <x:c r="FO2" s="246"/>
      <x:c r="FP2" s="246"/>
      <x:c r="FQ2" s="246"/>
      <x:c r="FR2" s="246"/>
      <x:c r="FS2" s="246"/>
      <x:c r="FT2" s="246"/>
      <x:c r="FU2" s="245"/>
      <x:c r="FV2" s="907"/>
      <x:c r="FW2" s="907"/>
      <x:c r="FX2" s="907"/>
      <x:c r="FY2" s="907"/>
      <x:c r="FZ2" s="484" t="s">
        <x:v>716</x:v>
      </x:c>
      <x:c r="GA2" s="241"/>
      <x:c r="GB2" s="241"/>
      <x:c r="GC2" s="241"/>
      <x:c r="GD2" s="241"/>
      <x:c r="GE2" s="241"/>
      <x:c r="GF2" s="241"/>
      <x:c r="GG2" s="241"/>
      <x:c r="GH2" s="241"/>
      <x:c r="GI2" s="241"/>
      <x:c r="GJ2" s="241"/>
      <x:c r="GN2" s="489" t="s">
        <x:v>717</x:v>
      </x:c>
      <x:c r="HA2" s="1178"/>
      <x:c r="HB2" s="1178"/>
      <x:c r="HC2" s="1178"/>
      <x:c r="HD2" s="1178"/>
      <x:c r="HE2" s="1178"/>
      <x:c r="HF2" s="1178"/>
      <x:c r="HG2" s="1178"/>
      <x:c r="HH2" s="1178"/>
      <x:c r="HI2" s="1178"/>
      <x:c r="HJ2" s="1179"/>
      <x:c r="HK2" s="1179"/>
      <x:c r="HL2" s="1179"/>
      <x:c r="HM2" s="1180"/>
      <x:c r="HN2" s="1181"/>
      <x:c r="HO2" s="1179"/>
      <x:c r="HP2" s="1179"/>
      <x:c r="HQ2" s="1179"/>
      <x:c r="HR2" s="1179"/>
      <x:c r="HS2" s="1179"/>
      <x:c r="HT2" s="1179"/>
      <x:c r="HU2" s="1179"/>
      <x:c r="HV2" s="1179"/>
      <x:c r="HW2" s="1179"/>
      <x:c r="HX2" s="1179"/>
      <x:c r="HY2" s="1179"/>
      <x:c r="HZ2" s="1179"/>
      <x:c r="IA2" s="1179"/>
      <x:c r="IB2" s="1179"/>
      <x:c r="IC2" s="1179"/>
      <x:c r="ID2" s="1179"/>
      <x:c r="IE2" s="1179"/>
      <x:c r="IF2" s="1179"/>
      <x:c r="IG2" s="1179"/>
      <x:c r="IH2" s="1178"/>
      <x:c r="II2" s="1178"/>
      <x:c r="IJ2" s="1178"/>
      <x:c r="IK2" s="1178"/>
      <x:c r="IL2" s="1178"/>
      <x:c r="IM2" s="1178"/>
      <x:c r="IN2" s="1178"/>
      <x:c r="IO2" s="1178"/>
      <x:c r="IP2" s="1178"/>
      <x:c r="IQ2" s="1178"/>
      <x:c r="IR2" s="1178"/>
      <x:c r="IS2" s="1178"/>
      <x:c r="IT2" s="1178"/>
      <x:c r="IU2" s="1178"/>
      <x:c r="IV2" s="1178"/>
      <x:c r="IW2" s="1178"/>
      <x:c r="IX2" s="1178"/>
      <x:c r="IY2" s="1178"/>
      <x:c r="IZ2" s="1178"/>
      <x:c r="JA2" s="1178"/>
      <x:c r="JB2" s="1178"/>
      <x:c r="JC2" s="1178"/>
      <x:c r="JD2" s="1178"/>
      <x:c r="JE2" s="1178"/>
      <x:c r="JF2" s="1178"/>
      <x:c r="JG2" s="1178"/>
      <x:c r="JH2" s="1178"/>
      <x:c r="JI2" s="1178"/>
      <x:c r="JJ2" s="1178"/>
      <x:c r="JK2" s="1178"/>
      <x:c r="JL2" s="1178"/>
      <x:c r="JM2" s="1178"/>
      <x:c r="JN2" s="1178"/>
      <x:c r="JO2" s="1178"/>
    </x:row>
    <x:row r="3" spans="1:276" s="117" customFormat="1" ht="12.95" customHeight="1" thickBot="1" x14ac:dyDescent="0.3">
      <x:c r="A3" s="382"/>
      <x:c r="B3" s="382"/>
      <x:c r="C3" s="382"/>
      <x:c r="D3" s="382"/>
      <x:c r="E3" s="382"/>
      <x:c r="F3" s="382"/>
      <x:c r="G3" s="382"/>
      <x:c r="H3" s="382"/>
      <x:c r="I3" s="382"/>
      <x:c r="J3" s="382"/>
      <x:c r="K3" s="382"/>
      <x:c r="L3" s="382"/>
      <x:c r="M3" s="382"/>
      <x:c r="N3" s="382"/>
      <x:c r="O3" s="382"/>
      <x:c r="P3" s="382"/>
      <x:c r="Q3" s="1840"/>
      <x:c r="R3" s="1841"/>
      <x:c r="S3" s="1841"/>
      <x:c r="T3" s="1842"/>
      <x:c r="U3" s="382"/>
      <x:c r="V3" s="375"/>
      <x:c r="W3" s="2067" t="s">
        <x:v>98</x:v>
      </x:c>
      <x:c r="X3" s="2067"/>
      <x:c r="Y3" s="2067"/>
      <x:c r="Z3" s="375" t="str">
        <x:f ca="1">'Job Info.'!D14</x:f>
        <x:v>775-867-2169</x:v>
      </x:c>
      <x:c r="AA3" s="374"/>
      <x:c r="AB3" s="382"/>
      <x:c r="AC3" s="382"/>
      <x:c r="AD3" s="382"/>
      <x:c r="AE3" s="382"/>
      <x:c r="AF3" s="382"/>
      <x:c r="AG3" s="382"/>
      <x:c r="AH3" s="382"/>
      <x:c r="AI3" s="382"/>
      <x:c r="AJ3" s="382"/>
      <x:c r="AK3" s="382"/>
      <x:c r="AL3" s="382"/>
      <x:c r="AM3" s="382"/>
      <x:c r="AN3" s="382"/>
      <x:c r="AO3" s="382"/>
      <x:c r="AP3" s="382"/>
      <x:c r="AQ3" s="374"/>
      <x:c r="AR3" s="382"/>
      <x:c r="AS3" s="382"/>
      <x:c r="AT3" s="382"/>
      <x:c r="AU3" s="1840"/>
      <x:c r="AV3" s="1841"/>
      <x:c r="AW3" s="1841"/>
      <x:c r="AX3" s="1842"/>
      <x:c r="AY3" s="382"/>
      <x:c r="AZ3" s="382"/>
      <x:c r="BA3" s="2067" t="s">
        <x:v>98</x:v>
      </x:c>
      <x:c r="BB3" s="2067"/>
      <x:c r="BC3" s="2067"/>
      <x:c r="BD3" s="1835" t="str">
        <x:f ca="1">'Job Info.'!D14</x:f>
        <x:v>775-867-2169</x:v>
      </x:c>
      <x:c r="BE3" s="1835"/>
      <x:c r="BF3" s="1835"/>
      <x:c r="BG3" s="374"/>
      <x:c r="BH3" s="261"/>
      <x:c r="BI3" s="245"/>
      <x:c r="CA3" s="246"/>
      <x:c r="CB3" s="244"/>
      <x:c r="CC3" s="244"/>
      <x:c r="CD3" s="244"/>
      <x:c r="CE3" s="244"/>
      <x:c r="CF3" s="244"/>
      <x:c r="CG3" s="244"/>
      <x:c r="CH3" s="244"/>
      <x:c r="CI3" s="244"/>
      <x:c r="CJ3" s="244"/>
      <x:c r="CK3" s="244"/>
      <x:c r="CL3" s="244"/>
      <x:c r="CM3" s="244"/>
      <x:c r="CN3" s="244"/>
      <x:c r="CO3" s="244"/>
      <x:c r="CP3" s="199"/>
      <x:c r="CQ3" s="201"/>
      <x:c r="CR3" s="202"/>
      <x:c r="CS3" s="203"/>
      <x:c r="CT3" s="203"/>
      <x:c r="CU3" s="204"/>
      <x:c r="CV3" s="201"/>
      <x:c r="CW3" s="201"/>
      <x:c r="CX3" s="241"/>
      <x:c r="CY3" s="249"/>
      <x:c r="CZ3" s="203"/>
      <x:c r="DA3" s="244"/>
      <x:c r="DB3" s="244"/>
      <x:c r="DC3" s="244"/>
      <x:c r="DD3" s="244"/>
      <x:c r="DE3" s="244"/>
      <x:c r="DF3" s="244"/>
      <x:c r="DG3" s="244"/>
      <x:c r="DH3" s="244"/>
      <x:c r="DI3" s="244"/>
      <x:c r="DJ3" s="203"/>
      <x:c r="DK3" s="203"/>
      <x:c r="DL3" s="203"/>
      <x:c r="DM3" s="203"/>
      <x:c r="DN3" s="203"/>
      <x:c r="DO3" s="203"/>
      <x:c r="DP3" s="203"/>
      <x:c r="DQ3" s="241"/>
      <x:c r="DR3" s="241"/>
      <x:c r="DS3" s="241"/>
      <x:c r="DT3" s="241"/>
      <x:c r="DU3" s="241"/>
      <x:c r="DV3" s="241"/>
      <x:c r="DW3" s="241"/>
      <x:c r="DX3" s="241"/>
      <x:c r="DY3" s="241"/>
      <x:c r="DZ3" s="241"/>
      <x:c r="EA3" s="241"/>
      <x:c r="EB3" s="241"/>
      <x:c r="EC3" s="244"/>
      <x:c r="ED3" s="244"/>
      <x:c r="EE3" s="244"/>
      <x:c r="EF3" s="244"/>
      <x:c r="EG3" s="244"/>
      <x:c r="EH3" s="244"/>
      <x:c r="EI3" s="244"/>
      <x:c r="EJ3" s="244"/>
      <x:c r="EK3" s="244"/>
      <x:c r="EL3" s="203"/>
      <x:c r="EM3" s="241"/>
      <x:c r="EN3" s="926"/>
      <x:c r="EO3" s="924"/>
      <x:c r="EP3" s="241"/>
      <x:c r="EQ3" s="241"/>
      <x:c r="ER3" s="241"/>
      <x:c r="ES3" s="241"/>
      <x:c r="ET3" s="241"/>
      <x:c r="EU3" s="460"/>
      <x:c r="EW3" s="293"/>
      <x:c r="EX3" s="298" t="s">
        <x:v>1064</x:v>
      </x:c>
      <x:c r="EY3" s="300" t="s">
        <x:v>1102</x:v>
      </x:c>
      <x:c r="EZ3" s="299" t="s">
        <x:v>171</x:v>
      </x:c>
      <x:c r="FA3" s="300" t="s">
        <x:v>462</x:v>
      </x:c>
      <x:c r="FB3" s="301" t="s">
        <x:v>463</x:v>
      </x:c>
      <x:c r="FC3" s="300" t="s">
        <x:v>464</x:v>
      </x:c>
      <x:c r="FD3" s="300" t="s">
        <x:v>465</x:v>
      </x:c>
      <x:c r="FE3" s="300" t="s">
        <x:v>466</x:v>
      </x:c>
      <x:c r="FF3" s="302" t="s">
        <x:v>681</x:v>
      </x:c>
      <x:c r="FG3" s="1998" t="s">
        <x:v>1107</x:v>
      </x:c>
      <x:c r="FH3" s="1999"/>
      <x:c r="FI3" s="2000"/>
      <x:c r="FJ3" s="246"/>
      <x:c r="FK3" s="246"/>
      <x:c r="FL3" s="246"/>
      <x:c r="FM3" s="246"/>
      <x:c r="FN3" s="246"/>
      <x:c r="FO3" s="246"/>
      <x:c r="FP3" s="246"/>
      <x:c r="FQ3" s="246"/>
      <x:c r="FR3" s="246"/>
      <x:c r="FS3" s="246"/>
      <x:c r="FT3" s="246"/>
      <x:c r="FU3" s="245"/>
      <x:c r="FV3" s="245"/>
      <x:c r="FW3" s="245"/>
      <x:c r="FX3" s="245"/>
      <x:c r="FY3" s="245"/>
      <x:c r="GA3" s="241"/>
      <x:c r="GB3" s="241"/>
      <x:c r="GC3" s="241"/>
      <x:c r="GD3" s="241"/>
      <x:c r="GE3" s="241"/>
      <x:c r="GF3" s="241"/>
      <x:c r="GG3" s="241"/>
      <x:c r="GH3" s="241"/>
      <x:c r="GI3" s="241"/>
      <x:c r="GJ3" s="241"/>
      <x:c r="GK3" s="245"/>
      <x:c r="HA3" s="1178"/>
      <x:c r="HB3" s="1178"/>
      <x:c r="HC3" s="1179"/>
      <x:c r="HD3" s="1178"/>
      <x:c r="HE3" s="1178"/>
      <x:c r="HF3" s="1178"/>
      <x:c r="HG3" s="1178"/>
      <x:c r="HH3" s="1178"/>
      <x:c r="HI3" s="1178"/>
      <x:c r="HJ3" s="1179"/>
      <x:c r="HK3" s="1179"/>
      <x:c r="HL3" s="1179"/>
      <x:c r="HM3" s="1180"/>
      <x:c r="HN3" s="1181"/>
      <x:c r="HO3" s="1179"/>
      <x:c r="HP3" s="1179"/>
      <x:c r="HQ3" s="1179"/>
      <x:c r="HR3" s="1179"/>
      <x:c r="HS3" s="1179"/>
      <x:c r="HT3" s="1179"/>
      <x:c r="HU3" s="1179"/>
      <x:c r="HV3" s="1179"/>
      <x:c r="HW3" s="1179"/>
      <x:c r="HX3" s="1179"/>
      <x:c r="HY3" s="1179"/>
      <x:c r="HZ3" s="1179"/>
      <x:c r="IA3" s="1179"/>
      <x:c r="IB3" s="1179"/>
      <x:c r="IC3" s="1179"/>
      <x:c r="ID3" s="1179"/>
      <x:c r="IE3" s="1179"/>
      <x:c r="IF3" s="1179"/>
      <x:c r="IG3" s="1179"/>
      <x:c r="IH3" s="1178"/>
      <x:c r="II3" s="1178"/>
      <x:c r="IJ3" s="1178"/>
      <x:c r="IK3" s="1178"/>
      <x:c r="IL3" s="1178"/>
      <x:c r="IM3" s="1178"/>
      <x:c r="IN3" s="1178"/>
      <x:c r="IO3" s="1178"/>
      <x:c r="IP3" s="1178"/>
      <x:c r="IQ3" s="1178"/>
      <x:c r="IR3" s="1178"/>
      <x:c r="IS3" s="1178"/>
      <x:c r="IT3" s="1178"/>
      <x:c r="IU3" s="1178"/>
      <x:c r="IV3" s="1178"/>
      <x:c r="IW3" s="1178"/>
      <x:c r="IX3" s="1178"/>
      <x:c r="IY3" s="1178"/>
      <x:c r="IZ3" s="1178"/>
      <x:c r="JA3" s="1178"/>
      <x:c r="JB3" s="1178"/>
      <x:c r="JC3" s="1178"/>
      <x:c r="JD3" s="1178"/>
      <x:c r="JE3" s="1178"/>
      <x:c r="JF3" s="1178"/>
      <x:c r="JG3" s="1178"/>
      <x:c r="JH3" s="1178"/>
      <x:c r="JI3" s="1178"/>
      <x:c r="JJ3" s="1178"/>
      <x:c r="JK3" s="1178"/>
      <x:c r="JL3" s="1178"/>
      <x:c r="JM3" s="1178"/>
      <x:c r="JN3" s="1178"/>
      <x:c r="JO3" s="1178"/>
    </x:row>
    <x:row r="4" spans="1:276" s="117" customFormat="1" ht="12.95" customHeight="1" thickTop="1" thickBot="1" x14ac:dyDescent="0.25">
      <x:c r="A4" s="382"/>
      <x:c r="B4" s="382"/>
      <x:c r="C4" s="382"/>
      <x:c r="D4" s="382"/>
      <x:c r="E4" s="382"/>
      <x:c r="F4" s="382"/>
      <x:c r="G4" s="382"/>
      <x:c r="H4" s="382"/>
      <x:c r="I4" s="382"/>
      <x:c r="J4" s="382"/>
      <x:c r="K4" s="382"/>
      <x:c r="L4" s="382"/>
      <x:c r="M4" s="1088"/>
      <x:c r="N4" s="374"/>
      <x:c r="O4" s="374"/>
      <x:c r="P4" s="374"/>
      <x:c r="Q4" s="1843" t="str">
        <x:f>IF(BJ1="","",IF(VLOOKUP(BJ1,'Job Info.'!X:Z,2,FALSE),VLOOKUP(BJ1,'Job Info.'!X:Z,3,FALSE),""))</x:f>
        <x:v/>
      </x:c>
      <x:c r="R4" s="1844"/>
      <x:c r="S4" s="1844"/>
      <x:c r="T4" s="1845"/>
      <x:c r="U4" s="374"/>
      <x:c r="V4" s="375"/>
      <x:c r="W4" s="2067" t="s">
        <x:v>97</x:v>
      </x:c>
      <x:c r="X4" s="2067"/>
      <x:c r="Y4" s="2067"/>
      <x:c r="Z4" s="375" t="str">
        <x:f ca="1">'Job Info.'!D15</x:f>
        <x:v>775-867-2060</x:v>
      </x:c>
      <x:c r="AA4" s="374"/>
      <x:c r="AB4" s="374"/>
      <x:c r="AC4" s="374"/>
      <x:c r="AD4" s="374"/>
      <x:c r="AE4" s="374"/>
      <x:c r="AF4" s="374"/>
      <x:c r="AG4" s="374"/>
      <x:c r="AH4" s="374"/>
      <x:c r="AI4" s="374"/>
      <x:c r="AJ4" s="374"/>
      <x:c r="AK4" s="374"/>
      <x:c r="AL4" s="374"/>
      <x:c r="AM4" s="374"/>
      <x:c r="AN4" s="374"/>
      <x:c r="AO4" s="374"/>
      <x:c r="AP4" s="374"/>
      <x:c r="AQ4" s="374"/>
      <x:c r="AR4" s="1088"/>
      <x:c r="AS4" s="1088"/>
      <x:c r="AT4" s="374"/>
      <x:c r="AU4" s="1843" t="str">
        <x:f>Q4</x:f>
        <x:v/>
      </x:c>
      <x:c r="AV4" s="2282"/>
      <x:c r="AW4" s="2282"/>
      <x:c r="AX4" s="2283"/>
      <x:c r="AY4" s="382"/>
      <x:c r="AZ4" s="382"/>
      <x:c r="BA4" s="2067" t="s">
        <x:v>97</x:v>
      </x:c>
      <x:c r="BB4" s="2067"/>
      <x:c r="BC4" s="2067"/>
      <x:c r="BD4" s="1835" t="str">
        <x:f ca="1">'Job Info.'!D15</x:f>
        <x:v>775-867-2060</x:v>
      </x:c>
      <x:c r="BE4" s="1835"/>
      <x:c r="BF4" s="1835"/>
      <x:c r="BG4" s="374"/>
      <x:c r="BH4" s="261"/>
      <x:c r="BI4" s="245"/>
      <x:c r="CA4" s="246"/>
      <x:c r="CB4" s="244"/>
      <x:c r="CC4" s="244"/>
      <x:c r="CD4" s="244"/>
      <x:c r="CE4" s="244"/>
      <x:c r="CF4" s="244"/>
      <x:c r="CG4" s="244"/>
      <x:c r="CH4" s="244"/>
      <x:c r="CI4" s="244"/>
      <x:c r="CJ4" s="244"/>
      <x:c r="CK4" s="244"/>
      <x:c r="CL4" s="252"/>
      <x:c r="CM4" s="244"/>
      <x:c r="CN4" s="244"/>
      <x:c r="CO4" s="244"/>
      <x:c r="CP4" s="244"/>
      <x:c r="CQ4" s="244"/>
      <x:c r="CR4" s="244"/>
      <x:c r="CS4" s="244"/>
      <x:c r="CT4" s="244"/>
      <x:c r="CU4" s="244"/>
      <x:c r="CV4" s="244"/>
      <x:c r="CW4" s="244"/>
      <x:c r="CX4" s="241"/>
      <x:c r="CY4" s="244"/>
      <x:c r="CZ4" s="534" t="s">
        <x:v>678</x:v>
      </x:c>
      <x:c r="DA4" s="1923"/>
      <x:c r="DB4" s="1924"/>
      <x:c r="DC4" s="244"/>
      <x:c r="DD4" s="244"/>
      <x:c r="DE4" s="244"/>
      <x:c r="DF4" s="244"/>
      <x:c r="DG4" s="244"/>
      <x:c r="DH4" s="244"/>
      <x:c r="DI4" s="244"/>
      <x:c r="DJ4" s="203"/>
      <x:c r="DK4" s="203"/>
      <x:c r="DL4" s="203"/>
      <x:c r="DM4" s="203"/>
      <x:c r="DN4" s="203"/>
      <x:c r="DO4" s="203"/>
      <x:c r="DP4" s="203"/>
      <x:c r="DQ4" s="241"/>
      <x:c r="DR4" s="241"/>
      <x:c r="DS4" s="241"/>
      <x:c r="DT4" s="241"/>
      <x:c r="DU4" s="241"/>
      <x:c r="DV4" s="241"/>
      <x:c r="DW4" s="241"/>
      <x:c r="DX4" s="241"/>
      <x:c r="DY4" s="241"/>
      <x:c r="DZ4" s="241"/>
      <x:c r="EA4" s="241"/>
      <x:c r="EB4" s="241"/>
      <x:c r="EC4" s="244"/>
      <x:c r="ED4" s="244"/>
      <x:c r="EE4" s="244"/>
      <x:c r="EF4" s="244"/>
      <x:c r="EG4" s="244"/>
      <x:c r="EH4" s="244"/>
      <x:c r="EI4" s="244"/>
      <x:c r="EJ4" s="244"/>
      <x:c r="EK4" s="244"/>
      <x:c r="EL4" s="203"/>
      <x:c r="EM4" s="241"/>
      <x:c r="EN4" s="926"/>
      <x:c r="EO4" s="924"/>
      <x:c r="EP4" s="924"/>
      <x:c r="EQ4" s="241"/>
      <x:c r="ER4" s="241"/>
      <x:c r="ES4" s="241"/>
      <x:c r="ET4" s="241"/>
      <x:c r="EU4" s="460"/>
      <x:c r="EW4" s="303" t="s">
        <x:v>438</x:v>
      </x:c>
      <x:c r="EX4" s="304">
        <x:v>1.125</x:v>
      </x:c>
      <x:c r="EY4" s="306">
        <x:f>'Job Info.'!N15/2</x:f>
        <x:v>1.5</x:v>
      </x:c>
      <x:c r="EZ4" s="305">
        <x:f>'Job Info.'!H15</x:f>
        <x:v>7.5</x:v>
      </x:c>
      <x:c r="FA4" s="306">
        <x:f>'Job Info.'!J15</x:f>
        <x:v>6</x:v>
      </x:c>
      <x:c r="FB4" s="306">
        <x:f>'Job Info.'!I15</x:f>
        <x:v>4</x:v>
      </x:c>
      <x:c r="FC4" s="306">
        <x:f>'Job Info.'!K15</x:f>
        <x:v>5</x:v>
      </x:c>
      <x:c r="FD4" s="307">
        <x:f>'Job Info.'!M15</x:f>
        <x:v>0.8125</x:v>
      </x:c>
      <x:c r="FE4" s="306">
        <x:f>'Job Info.'!L15</x:f>
        <x:v>1.5</x:v>
      </x:c>
      <x:c r="FF4" s="308">
        <x:f>'Job Info.'!O15</x:f>
        <x:v>5</x:v>
      </x:c>
      <x:c r="FG4" s="773">
        <x:v>0</x:v>
      </x:c>
      <x:c r="FH4" s="773">
        <x:v>7.125</x:v>
      </x:c>
      <x:c r="FI4" s="774">
        <x:v>17.125</x:v>
      </x:c>
      <x:c r="GA4" s="241"/>
      <x:c r="GB4" s="241"/>
      <x:c r="GC4" s="241"/>
      <x:c r="GD4" s="241"/>
      <x:c r="GE4" s="241"/>
      <x:c r="GF4" s="241"/>
      <x:c r="GG4" s="241"/>
      <x:c r="GH4" s="241"/>
      <x:c r="GI4" s="241"/>
      <x:c r="GJ4" s="241"/>
      <x:c r="GK4" s="245"/>
      <x:c r="HA4" s="1178"/>
      <x:c r="HB4" s="1178"/>
      <x:c r="HC4" s="1179"/>
      <x:c r="HD4" s="1178"/>
      <x:c r="HE4" s="1178"/>
      <x:c r="HF4" s="1178"/>
      <x:c r="HG4" s="1178"/>
      <x:c r="HH4" s="1178"/>
      <x:c r="HI4" s="1178"/>
      <x:c r="HJ4" s="1179"/>
      <x:c r="HK4" s="1179"/>
      <x:c r="HL4" s="1179"/>
      <x:c r="HM4" s="1180"/>
      <x:c r="HN4" s="1181"/>
      <x:c r="HO4" s="1179"/>
      <x:c r="HP4" s="1179"/>
      <x:c r="HQ4" s="1179"/>
      <x:c r="HR4" s="1179"/>
      <x:c r="HS4" s="1179"/>
      <x:c r="HT4" s="1179"/>
      <x:c r="HU4" s="1179"/>
      <x:c r="HV4" s="1179"/>
      <x:c r="HW4" s="1179"/>
      <x:c r="HX4" s="1179"/>
      <x:c r="HY4" s="1179"/>
      <x:c r="HZ4" s="1179"/>
      <x:c r="IA4" s="1179"/>
      <x:c r="IB4" s="1179"/>
      <x:c r="IC4" s="1179"/>
      <x:c r="ID4" s="1179"/>
      <x:c r="IE4" s="1179"/>
      <x:c r="IF4" s="1179"/>
      <x:c r="IG4" s="1179"/>
      <x:c r="IH4" s="1178"/>
      <x:c r="II4" s="1178"/>
      <x:c r="IJ4" s="1178"/>
      <x:c r="IK4" s="1178"/>
      <x:c r="IL4" s="1178"/>
      <x:c r="IM4" s="1178"/>
      <x:c r="IN4" s="1178"/>
      <x:c r="IO4" s="1178"/>
      <x:c r="IP4" s="1178"/>
      <x:c r="IQ4" s="1178"/>
      <x:c r="IR4" s="1178"/>
      <x:c r="IS4" s="1178"/>
      <x:c r="IT4" s="1178"/>
      <x:c r="IU4" s="1178"/>
      <x:c r="IV4" s="1178"/>
      <x:c r="IW4" s="1178"/>
      <x:c r="IX4" s="1178"/>
      <x:c r="IY4" s="1178"/>
      <x:c r="IZ4" s="1178"/>
      <x:c r="JA4" s="1178"/>
      <x:c r="JB4" s="1178"/>
      <x:c r="JC4" s="1178"/>
      <x:c r="JD4" s="1178"/>
      <x:c r="JE4" s="1178"/>
      <x:c r="JF4" s="1178"/>
      <x:c r="JG4" s="1178"/>
      <x:c r="JH4" s="1178"/>
      <x:c r="JI4" s="1178"/>
      <x:c r="JJ4" s="1178"/>
      <x:c r="JK4" s="1178"/>
      <x:c r="JL4" s="1178"/>
      <x:c r="JM4" s="1178"/>
      <x:c r="JN4" s="1178"/>
      <x:c r="JO4" s="1178"/>
    </x:row>
    <x:row r="5" spans="1:276" s="117" customFormat="1" ht="12.95" customHeight="1" thickTop="1" thickBot="1" x14ac:dyDescent="0.25">
      <x:c r="A5" s="2062" t="str">
        <x:f ca="1">'Job Info.'!D11</x:f>
        <x:v>8200 Woolery Way | Fallon, NV 89406 | www.newmill.com</x:v>
      </x:c>
      <x:c r="B5" s="2063"/>
      <x:c r="C5" s="2063"/>
      <x:c r="D5" s="2063"/>
      <x:c r="E5" s="2063"/>
      <x:c r="F5" s="2063"/>
      <x:c r="G5" s="2063"/>
      <x:c r="H5" s="2063"/>
      <x:c r="I5" s="2063"/>
      <x:c r="J5" s="2063"/>
      <x:c r="K5" s="2063"/>
      <x:c r="L5" s="2063"/>
      <x:c r="M5" s="374"/>
      <x:c r="N5" s="374"/>
      <x:c r="O5" s="374"/>
      <x:c r="P5" s="374"/>
      <x:c r="Q5" s="374"/>
      <x:c r="R5" s="374"/>
      <x:c r="S5" s="374"/>
      <x:c r="T5" s="374"/>
      <x:c r="U5" s="374"/>
      <x:c r="V5" s="374"/>
      <x:c r="W5" s="374"/>
      <x:c r="X5" s="374"/>
      <x:c r="Y5" s="1089"/>
      <x:c r="Z5" s="1089"/>
      <x:c r="AA5" s="374"/>
      <x:c r="AB5" s="2084" t="str">
        <x:f ca="1">'Job Info.'!D11</x:f>
        <x:v>8200 Woolery Way | Fallon, NV 89406 | www.newmill.com</x:v>
      </x:c>
      <x:c r="AC5" s="2284"/>
      <x:c r="AD5" s="2284"/>
      <x:c r="AE5" s="2284"/>
      <x:c r="AF5" s="2284"/>
      <x:c r="AG5" s="2284"/>
      <x:c r="AH5" s="2284"/>
      <x:c r="AI5" s="2284"/>
      <x:c r="AJ5" s="2284"/>
      <x:c r="AK5" s="2284"/>
      <x:c r="AL5" s="2284"/>
      <x:c r="AM5" s="2284"/>
      <x:c r="AN5" s="2284"/>
      <x:c r="AO5" s="2284"/>
      <x:c r="AP5" s="2284"/>
      <x:c r="AQ5" s="2284"/>
      <x:c r="AR5" s="374"/>
      <x:c r="AS5" s="374"/>
      <x:c r="AT5" s="374"/>
      <x:c r="AU5" s="374"/>
      <x:c r="AV5" s="374"/>
      <x:c r="AW5" s="374"/>
      <x:c r="AX5" s="374"/>
      <x:c r="AY5" s="374"/>
      <x:c r="AZ5" s="374"/>
      <x:c r="BA5" s="374"/>
      <x:c r="BB5" s="374"/>
      <x:c r="BC5" s="374"/>
      <x:c r="BD5" s="374"/>
      <x:c r="BE5" s="374"/>
      <x:c r="BF5" s="374"/>
      <x:c r="BG5" s="374"/>
      <x:c r="BH5" s="261"/>
      <x:c r="BI5" s="245"/>
      <x:c r="CA5" s="246"/>
      <x:c r="CB5" s="1622">
        <x:f>G_A!CB21</x:f>
        <x:v>6</x:v>
      </x:c>
      <x:c r="CC5" s="1622">
        <x:f>G_A!CC21</x:f>
        <x:v>4</x:v>
      </x:c>
      <x:c r="CD5" s="1622">
        <x:f>G_A!CD21</x:f>
        <x:v>15</x:v>
      </x:c>
      <x:c r="CE5" s="1622">
        <x:f>G_A!CE21</x:f>
        <x:v>4</x:v>
      </x:c>
      <x:c r="CF5" s="1622">
        <x:f>G_A!CF21</x:f>
        <x:v>5</x:v>
      </x:c>
      <x:c r="CG5" s="1622">
        <x:f>G_A!CG21</x:f>
        <x:v>3</x:v>
      </x:c>
      <x:c r="CH5" s="1622">
        <x:f>G_A!CH21</x:f>
        <x:v>4.57</x:v>
      </x:c>
      <x:c r="CI5" s="1622">
        <x:f>G_A!CI21</x:f>
        <x:v>4.57</x:v>
      </x:c>
      <x:c r="CJ5" s="1622">
        <x:f>G_A!CJ21</x:f>
        <x:v>4.57</x:v>
      </x:c>
      <x:c r="CK5" s="1622">
        <x:f>G_A!CK21</x:f>
        <x:v>4.57</x:v>
      </x:c>
      <x:c r="CL5" s="1622">
        <x:f>G_A!CL21</x:f>
        <x:v>4</x:v>
      </x:c>
      <x:c r="CM5" s="1622">
        <x:f>G_A!CM21</x:f>
        <x:v>5</x:v>
      </x:c>
      <x:c r="CN5" s="1622">
        <x:f>G_A!CN21</x:f>
        <x:v>5.29</x:v>
      </x:c>
      <x:c r="CO5" s="1622">
        <x:f>G_A!CO21</x:f>
        <x:v>5.29</x:v>
      </x:c>
      <x:c r="CP5" s="1622">
        <x:f>G_A!CP21</x:f>
        <x:v>4</x:v>
      </x:c>
      <x:c r="CQ5" s="1622">
        <x:f>G_A!CQ21</x:f>
        <x:v>3</x:v>
      </x:c>
      <x:c r="CR5" s="1622">
        <x:f>G_A!CR21</x:f>
        <x:v>4.57</x:v>
      </x:c>
      <x:c r="CS5" s="1622">
        <x:f>G_A!CS21</x:f>
        <x:v>4.57</x:v>
      </x:c>
      <x:c r="CT5" s="1622">
        <x:f>G_A!CT21</x:f>
        <x:v>4.57</x:v>
      </x:c>
      <x:c r="CU5" s="1622">
        <x:f>G_A!CU21</x:f>
        <x:v>4.57</x:v>
      </x:c>
      <x:c r="CV5" s="1622">
        <x:f>G_A!CV21</x:f>
        <x:v>4</x:v>
      </x:c>
      <x:c r="CW5" s="1622">
        <x:f>G_A!CW21</x:f>
        <x:v>5</x:v>
      </x:c>
      <x:c r="CX5" s="1622">
        <x:f>G_A!CX21</x:f>
        <x:v>5.29</x:v>
      </x:c>
      <x:c r="CY5" s="1622">
        <x:f>G_A!CY21</x:f>
        <x:v>5.29</x:v>
      </x:c>
      <x:c r="CZ5" s="1622">
        <x:f>G_A!CZ21</x:f>
        <x:v>4</x:v>
      </x:c>
      <x:c r="DA5" s="1622">
        <x:f>G_A!DA21</x:f>
        <x:v>5</x:v>
      </x:c>
      <x:c r="DB5" s="1622">
        <x:f>G_A!DB21</x:f>
        <x:v>15</x:v>
      </x:c>
      <x:c r="DC5" s="1622">
        <x:f>G_A!DC21</x:f>
        <x:v>21.57</x:v>
      </x:c>
      <x:c r="DD5" s="1622">
        <x:f>G_A!DD21</x:f>
        <x:v>4</x:v>
      </x:c>
      <x:c r="DE5" s="1622">
        <x:f>G_A!DE21</x:f>
        <x:v>4</x:v>
      </x:c>
      <x:c r="DF5" s="951"/>
      <x:c r="DG5" s="951"/>
      <x:c r="DH5" s="1622">
        <x:f>G_A!DH5</x:f>
        <x:v>5</x:v>
      </x:c>
      <x:c r="DI5" s="1622">
        <x:f>G_A!DI5</x:f>
        <x:v>4</x:v>
      </x:c>
      <x:c r="DJ5" s="1622">
        <x:f>G_A!DJ5</x:f>
        <x:v>3</x:v>
      </x:c>
      <x:c r="DK5" s="1622">
        <x:f>G_A!DK5</x:f>
        <x:v>5</x:v>
      </x:c>
      <x:c r="DL5" s="1622">
        <x:f>G_A!DL5</x:f>
        <x:v>2</x:v>
      </x:c>
      <x:c r="DM5" s="1622">
        <x:f>G_A!DM5</x:f>
        <x:v>3</x:v>
      </x:c>
      <x:c r="DN5" s="1622">
        <x:f>G_A!DN5</x:f>
        <x:v>5</x:v>
      </x:c>
      <x:c r="DO5" s="1622">
        <x:f>G_A!DO5</x:f>
        <x:v>3</x:v>
      </x:c>
      <x:c r="DP5" s="1622">
        <x:f>G_A!DP5</x:f>
        <x:v>4</x:v>
      </x:c>
      <x:c r="DQ5" s="1622">
        <x:f>G_A!DQ5</x:f>
        <x:v>4.57</x:v>
      </x:c>
      <x:c r="DR5" s="1622">
        <x:f>G_A!DR5</x:f>
        <x:v>3.57</x:v>
      </x:c>
      <x:c r="DS5" s="1622">
        <x:f>G_A!DS5</x:f>
        <x:v>3.57</x:v>
      </x:c>
      <x:c r="DT5" s="1622">
        <x:f>G_A!DT5</x:f>
        <x:v>3.57</x:v>
      </x:c>
      <x:c r="DU5" s="1622">
        <x:f>G_A!DU5</x:f>
        <x:v>3.57</x:v>
      </x:c>
      <x:c r="DV5" s="1622">
        <x:f>G_A!DV5</x:f>
        <x:v>4</x:v>
      </x:c>
      <x:c r="DW5" s="1622">
        <x:f>G_A!DW5</x:f>
        <x:v>5</x:v>
      </x:c>
      <x:c r="DX5" s="1622">
        <x:f>G_A!DX5</x:f>
        <x:v>3</x:v>
      </x:c>
      <x:c r="DY5" s="1622">
        <x:f>G_A!DY5</x:f>
        <x:v>2.29</x:v>
      </x:c>
      <x:c r="DZ5" s="1622">
        <x:f>G_A!DZ5</x:f>
        <x:v>4</x:v>
      </x:c>
      <x:c r="EA5" s="1622">
        <x:f>G_A!EA5</x:f>
        <x:v>5</x:v>
      </x:c>
      <x:c r="EB5" s="1622">
        <x:f>G_A!EB5</x:f>
        <x:v>3</x:v>
      </x:c>
      <x:c r="EC5" s="1622">
        <x:f>G_A!EC5</x:f>
        <x:v>2.29</x:v>
      </x:c>
      <x:c r="ED5" s="1622">
        <x:f>G_A!ED5</x:f>
        <x:v>4</x:v>
      </x:c>
      <x:c r="EE5" s="1622">
        <x:f>G_A!EE5</x:f>
        <x:v>5</x:v>
      </x:c>
      <x:c r="EF5" s="1622">
        <x:f>G_A!EF5</x:f>
        <x:v>3</x:v>
      </x:c>
      <x:c r="EG5" s="1622">
        <x:f>G_A!EG5</x:f>
        <x:v>2.29</x:v>
      </x:c>
      <x:c r="EH5" s="1622">
        <x:f>G_A!EH5</x:f>
        <x:v>4</x:v>
      </x:c>
      <x:c r="EI5" s="1622">
        <x:f>G_A!EI5</x:f>
        <x:v>5</x:v>
      </x:c>
      <x:c r="EJ5" s="1622">
        <x:f>G_A!EJ5</x:f>
        <x:v>3</x:v>
      </x:c>
      <x:c r="EK5" s="1622">
        <x:f>G_A!EK5</x:f>
        <x:v>2.29</x:v>
      </x:c>
      <x:c r="EL5" s="1622">
        <x:f>G_A!EL5</x:f>
        <x:v>8</x:v>
      </x:c>
      <x:c r="EM5" s="1622">
        <x:f>G_A!EM5</x:f>
        <x:v>8</x:v>
      </x:c>
      <x:c r="EN5" s="1622">
        <x:f>G_A!EN5</x:f>
        <x:v>10</x:v>
      </x:c>
      <x:c r="EO5" s="1622">
        <x:f>G_A!EO5</x:f>
        <x:v>6</x:v>
      </x:c>
      <x:c r="EP5" s="1622">
        <x:f>G_A!EP5</x:f>
        <x:v>4.71</x:v>
      </x:c>
      <x:c r="EQ5" s="1622">
        <x:f>G_A!EQ5</x:f>
        <x:v>4.71</x:v>
      </x:c>
      <x:c r="ER5" s="1622">
        <x:f>G_A!ER5</x:f>
        <x:v>3.57</x:v>
      </x:c>
      <x:c r="ES5" s="1622">
        <x:f>G_A!ES5</x:f>
        <x:v>3.57</x:v>
      </x:c>
      <x:c r="ET5" s="241"/>
      <x:c r="EU5" s="460"/>
      <x:c r="EV5" s="309"/>
      <x:c r="EW5" s="1025" t="s">
        <x:v>1129</x:v>
      </x:c>
      <x:c r="EX5" s="1026">
        <x:f ca="1">OFFSET('Job Info.'!AI3,'Job Info.'!P34,1)</x:f>
        <x:v>1.1499999999999999</x:v>
      </x:c>
      <x:c r="EY5" s="293"/>
      <x:c r="EZ5" s="293"/>
      <x:c r="FA5" s="293"/>
      <x:c r="FB5" s="293"/>
      <x:c r="FC5" s="293"/>
      <x:c r="FD5" s="293"/>
      <x:c r="FE5" s="246"/>
      <x:c r="FG5" s="775">
        <x:v>4.5</x:v>
      </x:c>
      <x:c r="FH5" s="775">
        <x:v>5</x:v>
      </x:c>
      <x:c r="FI5" s="776">
        <x:v>6</x:v>
      </x:c>
      <x:c r="GA5" s="241"/>
      <x:c r="GB5" s="241"/>
      <x:c r="GC5" s="241"/>
      <x:c r="GD5" s="241"/>
      <x:c r="GE5" s="241"/>
      <x:c r="GF5" s="241"/>
      <x:c r="GG5" s="241"/>
      <x:c r="GH5" s="241"/>
      <x:c r="GI5" s="241"/>
      <x:c r="GJ5" s="241"/>
      <x:c r="GK5" s="245"/>
      <x:c r="HA5" s="1182"/>
      <x:c r="HB5" s="1183"/>
      <x:c r="HC5" s="1183"/>
      <x:c r="HD5" s="1183"/>
      <x:c r="HE5" s="1183"/>
      <x:c r="HF5" s="1183"/>
      <x:c r="HG5" s="1183"/>
      <x:c r="HH5" s="1183"/>
      <x:c r="HI5" s="1183"/>
      <x:c r="HJ5" s="1183"/>
      <x:c r="HK5" s="1183"/>
      <x:c r="HL5" s="1183"/>
      <x:c r="HM5" s="1183"/>
      <x:c r="HN5" s="1183"/>
      <x:c r="HO5" s="1183"/>
      <x:c r="HP5" s="1183"/>
      <x:c r="HQ5" s="1183"/>
      <x:c r="HR5" s="1183"/>
      <x:c r="HS5" s="1183"/>
      <x:c r="HT5" s="1183"/>
      <x:c r="HU5" s="1183"/>
      <x:c r="HV5" s="1183"/>
      <x:c r="HW5" s="1183"/>
      <x:c r="HX5" s="1183"/>
      <x:c r="HY5" s="1179"/>
      <x:c r="HZ5" s="1179"/>
      <x:c r="IA5" s="1179"/>
      <x:c r="IB5" s="1179"/>
      <x:c r="IC5" s="1179"/>
      <x:c r="ID5" s="1179"/>
      <x:c r="IE5" s="1179"/>
      <x:c r="IF5" s="1179"/>
      <x:c r="IG5" s="1179"/>
      <x:c r="IH5" s="1178"/>
      <x:c r="II5" s="1178"/>
      <x:c r="IJ5" s="1178"/>
      <x:c r="IK5" s="1178"/>
      <x:c r="IL5" s="1178"/>
      <x:c r="IM5" s="1178"/>
      <x:c r="IN5" s="1178"/>
      <x:c r="IO5" s="1178"/>
      <x:c r="IP5" s="1178"/>
      <x:c r="IQ5" s="1178"/>
      <x:c r="IR5" s="1178"/>
      <x:c r="IS5" s="1178"/>
      <x:c r="IT5" s="1178"/>
      <x:c r="IU5" s="1178"/>
      <x:c r="IV5" s="1178"/>
      <x:c r="IW5" s="1178"/>
      <x:c r="IX5" s="1178"/>
      <x:c r="IY5" s="1178"/>
      <x:c r="IZ5" s="1178"/>
      <x:c r="JA5" s="1178"/>
      <x:c r="JB5" s="1178"/>
      <x:c r="JC5" s="1178"/>
      <x:c r="JD5" s="1178"/>
      <x:c r="JE5" s="1178"/>
      <x:c r="JF5" s="1178"/>
      <x:c r="JG5" s="1178"/>
      <x:c r="JH5" s="1178"/>
      <x:c r="JI5" s="1178"/>
      <x:c r="JJ5" s="1178"/>
      <x:c r="JK5" s="1178"/>
      <x:c r="JL5" s="1178"/>
      <x:c r="JM5" s="1178"/>
      <x:c r="JN5" s="1178"/>
      <x:c r="JO5" s="1178"/>
    </x:row>
    <x:row r="6" spans="1:276" s="117" customFormat="1" ht="12.95" customHeight="1" thickTop="1" thickBot="1" x14ac:dyDescent="0.25">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2060" t="s">
        <x:v>20</x:v>
      </x:c>
      <x:c r="W6" s="2060"/>
      <x:c r="X6" s="1816">
        <x:f>IF(ISBLANK('Job Info.'!D8),"",'Job Info.'!D8)</x:f>
        <x:v>45048</x:v>
      </x:c>
      <x:c r="Y6" s="1816"/>
      <x:c r="Z6" s="1089"/>
      <x:c r="AA6" s="374"/>
      <x:c r="AB6" s="374"/>
      <x:c r="AC6" s="374"/>
      <x:c r="AD6" s="374"/>
      <x:c r="AE6" s="374"/>
      <x:c r="AF6" s="374"/>
      <x:c r="AG6" s="374"/>
      <x:c r="AH6" s="374"/>
      <x:c r="AI6" s="374"/>
      <x:c r="AJ6" s="374"/>
      <x:c r="AK6" s="374"/>
      <x:c r="AL6" s="374"/>
      <x:c r="AM6" s="374"/>
      <x:c r="AN6" s="374"/>
      <x:c r="AO6" s="374"/>
      <x:c r="AP6" s="374"/>
      <x:c r="AQ6" s="374"/>
      <x:c r="AR6" s="374"/>
      <x:c r="AS6" s="374"/>
      <x:c r="AT6" s="374"/>
      <x:c r="AU6" s="374"/>
      <x:c r="AV6" s="374"/>
      <x:c r="AW6" s="374"/>
      <x:c r="AX6" s="374"/>
      <x:c r="AY6" s="374"/>
      <x:c r="AZ6" s="2060" t="s">
        <x:v>20</x:v>
      </x:c>
      <x:c r="BA6" s="2060"/>
      <x:c r="BB6" s="1816">
        <x:f>X6</x:f>
        <x:v>45048</x:v>
      </x:c>
      <x:c r="BC6" s="1816"/>
      <x:c r="BD6" s="1816"/>
      <x:c r="BE6" s="1090"/>
      <x:c r="BF6" s="374"/>
      <x:c r="BG6" s="374"/>
      <x:c r="BH6" s="261"/>
      <x:c r="BI6" s="503" t="s">
        <x:v>1132</x:v>
      </x:c>
      <x:c r="CA6" s="246"/>
      <x:c r="CB6" s="241"/>
      <x:c r="CC6" s="241"/>
      <x:c r="CD6" s="241"/>
      <x:c r="CE6" s="241"/>
      <x:c r="CF6" s="241"/>
      <x:c r="CG6" s="241"/>
      <x:c r="CH6" s="241"/>
      <x:c r="CI6" s="241"/>
      <x:c r="CJ6" s="241"/>
      <x:c r="CK6" s="241"/>
      <x:c r="CL6" s="241"/>
      <x:c r="CM6" s="241"/>
      <x:c r="CN6" s="241"/>
      <x:c r="CO6" s="241"/>
      <x:c r="CP6" s="241"/>
      <x:c r="CQ6" s="241"/>
      <x:c r="CR6" s="241"/>
      <x:c r="CS6" s="241"/>
      <x:c r="CT6" s="241"/>
      <x:c r="CU6" s="241"/>
      <x:c r="CV6" s="241"/>
      <x:c r="CW6" s="241"/>
      <x:c r="CX6" s="241"/>
      <x:c r="CY6" s="241"/>
      <x:c r="CZ6" s="241"/>
      <x:c r="DA6" s="241"/>
      <x:c r="DB6" s="241"/>
      <x:c r="DC6" s="241"/>
      <x:c r="DD6" s="241"/>
      <x:c r="DE6" s="241"/>
      <x:c r="DF6" s="244"/>
      <x:c r="DG6" s="535"/>
      <x:c r="DH6" s="2280" t="s">
        <x:v>639</x:v>
      </x:c>
      <x:c r="DI6" s="1927"/>
      <x:c r="DJ6" s="1927"/>
      <x:c r="DK6" s="1927"/>
      <x:c r="DL6" s="1927"/>
      <x:c r="DM6" s="1927"/>
      <x:c r="DN6" s="1927"/>
      <x:c r="DO6" s="1927"/>
      <x:c r="DP6" s="1927"/>
      <x:c r="DQ6" s="1927"/>
      <x:c r="DR6" s="1927"/>
      <x:c r="DS6" s="1927"/>
      <x:c r="DT6" s="1927"/>
      <x:c r="DU6" s="1927"/>
      <x:c r="DV6" s="1927"/>
      <x:c r="DW6" s="1927"/>
      <x:c r="DX6" s="1927"/>
      <x:c r="DY6" s="1927"/>
      <x:c r="DZ6" s="1927"/>
      <x:c r="EA6" s="1927"/>
      <x:c r="EB6" s="1927"/>
      <x:c r="EC6" s="1927"/>
      <x:c r="ED6" s="1927"/>
      <x:c r="EE6" s="1927"/>
      <x:c r="EF6" s="1927"/>
      <x:c r="EG6" s="1927"/>
      <x:c r="EH6" s="1927"/>
      <x:c r="EI6" s="1927"/>
      <x:c r="EJ6" s="1927"/>
      <x:c r="EK6" s="1928"/>
      <x:c r="EL6" s="203"/>
      <x:c r="EM6" s="203"/>
      <x:c r="EN6" s="203"/>
      <x:c r="EO6" s="927"/>
      <x:c r="EP6" s="927"/>
      <x:c r="EQ6" s="927"/>
      <x:c r="ER6" s="927"/>
      <x:c r="ES6" s="927"/>
      <x:c r="ET6" s="924"/>
      <x:c r="EU6" s="924"/>
      <x:c r="EV6" s="293"/>
      <x:c r="EW6" s="117" t="s">
        <x:v>1207</x:v>
      </x:c>
      <x:c r="EX6" s="117">
        <x:v>0.5</x:v>
      </x:c>
      <x:c r="FQ6" s="488"/>
      <x:c r="GA6" s="241"/>
      <x:c r="GB6" s="241"/>
      <x:c r="GC6" s="241"/>
      <x:c r="GD6" s="241"/>
      <x:c r="GE6" s="241"/>
      <x:c r="GF6" s="241"/>
      <x:c r="GG6" s="241"/>
      <x:c r="GH6" s="241"/>
      <x:c r="GI6" s="241"/>
      <x:c r="GJ6" s="241"/>
      <x:c r="GK6" s="245"/>
      <x:c r="HA6" s="1183"/>
      <x:c r="HB6" s="1183"/>
      <x:c r="HC6" s="1183"/>
      <x:c r="HD6" s="1183"/>
      <x:c r="HE6" s="1183"/>
      <x:c r="HF6" s="1183"/>
      <x:c r="HG6" s="1183"/>
      <x:c r="HH6" s="1183"/>
      <x:c r="HI6" s="1183"/>
      <x:c r="HJ6" s="1183"/>
      <x:c r="HK6" s="1183"/>
      <x:c r="HL6" s="1183"/>
      <x:c r="HM6" s="1183"/>
      <x:c r="HN6" s="1183"/>
      <x:c r="HO6" s="1183"/>
      <x:c r="HP6" s="1183"/>
      <x:c r="HQ6" s="1183"/>
      <x:c r="HR6" s="1183"/>
      <x:c r="HS6" s="1183"/>
      <x:c r="HT6" s="1183"/>
      <x:c r="HU6" s="1183"/>
      <x:c r="HV6" s="1183"/>
      <x:c r="HW6" s="1183"/>
      <x:c r="HX6" s="1183"/>
      <x:c r="HY6" s="1184"/>
      <x:c r="HZ6" s="1179"/>
      <x:c r="IA6" s="1179"/>
      <x:c r="IB6" s="1179"/>
      <x:c r="IC6" s="1179"/>
      <x:c r="ID6" s="1179"/>
      <x:c r="IE6" s="1179"/>
      <x:c r="IF6" s="1179"/>
      <x:c r="IG6" s="1179"/>
      <x:c r="IH6" s="1178"/>
      <x:c r="II6" s="1178"/>
      <x:c r="IJ6" s="1178"/>
      <x:c r="IK6" s="1178"/>
      <x:c r="IL6" s="1178"/>
      <x:c r="IM6" s="1178"/>
      <x:c r="IN6" s="1178"/>
      <x:c r="IO6" s="1178"/>
      <x:c r="IP6" s="1178"/>
      <x:c r="IQ6" s="1178"/>
      <x:c r="IR6" s="1178"/>
      <x:c r="IS6" s="1178"/>
      <x:c r="IT6" s="1178"/>
      <x:c r="IU6" s="1178"/>
      <x:c r="IV6" s="1178"/>
      <x:c r="IW6" s="1178"/>
      <x:c r="IX6" s="1178"/>
      <x:c r="IY6" s="1178"/>
      <x:c r="IZ6" s="1178"/>
      <x:c r="JA6" s="1178"/>
      <x:c r="JB6" s="1178"/>
      <x:c r="JC6" s="1178"/>
      <x:c r="JD6" s="1178"/>
      <x:c r="JE6" s="1178"/>
      <x:c r="JF6" s="1178"/>
      <x:c r="JG6" s="1178"/>
      <x:c r="JH6" s="1178"/>
      <x:c r="JI6" s="1178"/>
      <x:c r="JJ6" s="1178"/>
      <x:c r="JK6" s="1178"/>
      <x:c r="JL6" s="1178"/>
      <x:c r="JM6" s="1178"/>
      <x:c r="JN6" s="1178"/>
      <x:c r="JO6" s="1178"/>
    </x:row>
    <x:row r="7" spans="1:276" s="117" customFormat="1" ht="12.95" customHeight="1" thickTop="1" x14ac:dyDescent="0.2">
      <x:c r="A7" s="1091" t="s">
        <x:v>37</x:v>
      </x:c>
      <x:c r="B7" s="374"/>
      <x:c r="C7" s="374"/>
      <x:c r="D7" s="374"/>
      <x:c r="E7" s="374"/>
      <x:c r="F7" s="374"/>
      <x:c r="G7" s="374"/>
      <x:c r="H7" s="374"/>
      <x:c r="I7" s="374"/>
      <x:c r="J7" s="374"/>
      <x:c r="K7" s="2060" t="s">
        <x:v>26</x:v>
      </x:c>
      <x:c r="L7" s="2061"/>
      <x:c r="M7" s="2827" t="s">
        <x:v>1389</x:v>
      </x:c>
      <x:c r="N7" s="2828"/>
      <x:c r="O7" s="2828"/>
      <x:c r="P7" s="2828"/>
      <x:c r="Q7" s="2828"/>
      <x:c r="R7" s="2828"/>
      <x:c r="S7" s="2828"/>
      <x:c r="T7"/>
      <x:c r="U7" s="1092"/>
      <x:c r="V7" s="2060" t="s">
        <x:v>21</x:v>
      </x:c>
      <x:c r="W7" s="2060"/>
      <x:c r="X7" s="1175" t="str">
        <x:f>CONCATENATE(BI7, " of ",IF(ISBLANK('Job Info.'!D9),"",'Job Info.'!D9))</x:f>
        <x:v>13 of 19</x:v>
      </x:c>
      <x:c r="Y7" s="658"/>
      <x:c r="Z7" s="1089"/>
      <x:c r="AA7" s="374"/>
      <x:c r="AB7" s="1091" t="s">
        <x:v>38</x:v>
      </x:c>
      <x:c r="AC7" s="374"/>
      <x:c r="AD7" s="374"/>
      <x:c r="AE7" s="374"/>
      <x:c r="AF7" s="374"/>
      <x:c r="AG7" s="374"/>
      <x:c r="AH7" s="374"/>
      <x:c r="AI7" s="374"/>
      <x:c r="AJ7" s="374"/>
      <x:c r="AK7" s="374"/>
      <x:c r="AL7" s="374"/>
      <x:c r="AM7" s="374"/>
      <x:c r="AN7" s="374"/>
      <x:c r="AO7" s="374"/>
      <x:c r="AP7" s="374"/>
      <x:c r="AQ7" s="374"/>
      <x:c r="AR7" s="374"/>
      <x:c r="AS7" s="374"/>
      <x:c r="AT7" s="374"/>
      <x:c r="AU7" s="374"/>
      <x:c r="AV7" s="374"/>
      <x:c r="AW7" s="374"/>
      <x:c r="AX7" s="374"/>
      <x:c r="AY7" s="374"/>
      <x:c r="AZ7" s="2060" t="s">
        <x:v>21</x:v>
      </x:c>
      <x:c r="BA7" s="2060"/>
      <x:c r="BB7" s="1099" t="str">
        <x:f>CONCATENATE(IF(ISBLANK(BI7),"",BI7+1), " of ",IF(ISBLANK('Job Info.'!D9),"",'Job Info.'!D9))</x:f>
        <x:v>14 of 19</x:v>
      </x:c>
      <x:c r="BC7" s="658"/>
      <x:c r="BD7" s="658"/>
      <x:c r="BE7" s="374"/>
      <x:c r="BF7" s="374"/>
      <x:c r="BG7" s="374"/>
      <x:c r="BH7" s="261"/>
      <x:c r="BI7" s="1083">
        <x:v>13</x:v>
      </x:c>
      <x:c r="CA7" s="246"/>
      <x:c r="CB7" s="2018" t="s">
        <x:v>638</x:v>
      </x:c>
      <x:c r="CC7" s="2019"/>
      <x:c r="CD7" s="2019"/>
      <x:c r="CE7" s="2019"/>
      <x:c r="CF7" s="2019"/>
      <x:c r="CG7" s="2019"/>
      <x:c r="CH7" s="2019"/>
      <x:c r="CI7" s="2019"/>
      <x:c r="CJ7" s="2019"/>
      <x:c r="CK7" s="2019"/>
      <x:c r="CL7" s="2019"/>
      <x:c r="CM7" s="2019"/>
      <x:c r="CN7" s="2019"/>
      <x:c r="CO7" s="2019"/>
      <x:c r="CP7" s="2019"/>
      <x:c r="CQ7" s="2019"/>
      <x:c r="CR7" s="2019"/>
      <x:c r="CS7" s="2019"/>
      <x:c r="CT7" s="2019"/>
      <x:c r="CU7" s="2019"/>
      <x:c r="CV7" s="2019"/>
      <x:c r="CW7" s="2019"/>
      <x:c r="CX7" s="2019"/>
      <x:c r="CY7" s="2019"/>
      <x:c r="CZ7" s="1927"/>
      <x:c r="DA7" s="1927"/>
      <x:c r="DB7" s="1927"/>
      <x:c r="DC7" s="1927"/>
      <x:c r="DD7" s="1927"/>
      <x:c r="DE7" s="1928"/>
      <x:c r="DF7" s="244"/>
      <x:c r="DG7" s="244"/>
      <x:c r="DH7" s="1948"/>
      <x:c r="DI7" s="1931"/>
      <x:c r="DJ7" s="1931"/>
      <x:c r="DK7" s="1931"/>
      <x:c r="DL7" s="1931"/>
      <x:c r="DM7" s="1931"/>
      <x:c r="DN7" s="1931"/>
      <x:c r="DO7" s="1931"/>
      <x:c r="DP7" s="1931"/>
      <x:c r="DQ7" s="1931"/>
      <x:c r="DR7" s="1931"/>
      <x:c r="DS7" s="1931"/>
      <x:c r="DT7" s="1931"/>
      <x:c r="DU7" s="1931"/>
      <x:c r="DV7" s="1931"/>
      <x:c r="DW7" s="1931"/>
      <x:c r="DX7" s="1931"/>
      <x:c r="DY7" s="1931"/>
      <x:c r="DZ7" s="1931"/>
      <x:c r="EA7" s="1931"/>
      <x:c r="EB7" s="1931"/>
      <x:c r="EC7" s="1931"/>
      <x:c r="ED7" s="1931"/>
      <x:c r="EE7" s="1931"/>
      <x:c r="EF7" s="1931"/>
      <x:c r="EG7" s="1931"/>
      <x:c r="EH7" s="1931"/>
      <x:c r="EI7" s="1931"/>
      <x:c r="EJ7" s="1931"/>
      <x:c r="EK7" s="1932"/>
      <x:c r="EL7" s="244"/>
      <x:c r="EM7" s="244"/>
      <x:c r="EN7" s="203"/>
      <x:c r="EO7" s="924"/>
      <x:c r="EP7" s="927"/>
      <x:c r="EQ7" s="927"/>
      <x:c r="ER7" s="927"/>
      <x:c r="ES7" s="924"/>
      <x:c r="ET7" s="924"/>
      <x:c r="EU7" s="924"/>
      <x:c r="EV7" s="293"/>
      <x:c r="GA7" s="241"/>
      <x:c r="GB7" s="241"/>
      <x:c r="GC7" s="241"/>
      <x:c r="GD7" s="241"/>
      <x:c r="GE7" s="241"/>
      <x:c r="GF7" s="241"/>
      <x:c r="GG7" s="241"/>
      <x:c r="GH7" s="241"/>
      <x:c r="GI7" s="241"/>
      <x:c r="GJ7" s="241"/>
      <x:c r="GK7" s="245"/>
      <x:c r="HA7" s="1185"/>
      <x:c r="HB7" s="1185"/>
      <x:c r="HC7" s="1185"/>
      <x:c r="HD7" s="1185"/>
      <x:c r="HE7" s="1185"/>
      <x:c r="HF7" s="1185"/>
      <x:c r="HG7" s="1185"/>
      <x:c r="HH7" s="1185"/>
      <x:c r="HI7" s="1185"/>
      <x:c r="HJ7" s="1185"/>
      <x:c r="HK7" s="1185"/>
      <x:c r="HL7" s="1185"/>
      <x:c r="HM7" s="1185"/>
      <x:c r="HN7" s="1185"/>
      <x:c r="HO7" s="1185"/>
      <x:c r="HP7" s="1185"/>
      <x:c r="HQ7" s="1185"/>
      <x:c r="HR7" s="1185"/>
      <x:c r="HS7" s="1185"/>
      <x:c r="HT7" s="1185"/>
      <x:c r="HU7" s="1185"/>
      <x:c r="HV7" s="1185"/>
      <x:c r="HW7" s="1185"/>
      <x:c r="HX7" s="1185"/>
      <x:c r="HY7" s="1186"/>
      <x:c r="HZ7" s="1179"/>
      <x:c r="IA7" s="1179"/>
      <x:c r="IB7" s="1179"/>
      <x:c r="IC7" s="1179"/>
      <x:c r="ID7" s="1179"/>
      <x:c r="IE7" s="1179"/>
      <x:c r="IF7" s="1179"/>
      <x:c r="IG7" s="1179"/>
      <x:c r="IH7" s="1178"/>
      <x:c r="II7" s="1178"/>
      <x:c r="IJ7" s="1178"/>
      <x:c r="IK7" s="1178"/>
      <x:c r="IL7" s="1178"/>
      <x:c r="IM7" s="1178"/>
      <x:c r="IN7" s="1178"/>
      <x:c r="IO7" s="1178"/>
      <x:c r="IP7" s="1178"/>
      <x:c r="IQ7" s="1178"/>
      <x:c r="IR7" s="1178"/>
      <x:c r="IS7" s="1178"/>
      <x:c r="IT7" s="1178"/>
      <x:c r="IU7" s="1178"/>
      <x:c r="IV7" s="1178"/>
      <x:c r="IW7" s="1178"/>
      <x:c r="IX7" s="1178"/>
      <x:c r="IY7" s="1178"/>
      <x:c r="IZ7" s="1178"/>
      <x:c r="JA7" s="1178"/>
      <x:c r="JB7" s="1178"/>
      <x:c r="JC7" s="1178"/>
      <x:c r="JD7" s="1178"/>
      <x:c r="JE7" s="1178"/>
      <x:c r="JF7" s="1178"/>
      <x:c r="JG7" s="1178"/>
      <x:c r="JH7" s="1178"/>
      <x:c r="JI7" s="1178"/>
      <x:c r="JJ7" s="1178"/>
      <x:c r="JK7" s="1178"/>
      <x:c r="JL7" s="1178"/>
      <x:c r="JM7" s="1178"/>
      <x:c r="JN7" s="1178"/>
      <x:c r="JO7" s="1178"/>
    </x:row>
    <x:row r="8" spans="1:276" s="117" customFormat="1" ht="2.85" customHeight="1" thickBot="1" x14ac:dyDescent="0.25">
      <x:c r="A8" s="2285"/>
      <x:c r="B8" s="2285"/>
      <x:c r="C8" s="2285"/>
      <x:c r="D8" s="2285"/>
      <x:c r="E8" s="2285"/>
      <x:c r="F8" s="2285"/>
      <x:c r="G8" s="2285"/>
      <x:c r="H8" s="2285"/>
      <x:c r="I8" s="2285"/>
      <x:c r="J8" s="2285"/>
      <x:c r="K8" s="2285"/>
      <x:c r="L8" s="2285"/>
      <x:c r="M8" s="2285"/>
      <x:c r="N8" s="2285"/>
      <x:c r="O8" s="2285"/>
      <x:c r="P8" s="2285"/>
      <x:c r="Q8" s="2285"/>
      <x:c r="R8" s="2285"/>
      <x:c r="S8" s="2285"/>
      <x:c r="T8" s="2285"/>
      <x:c r="U8" s="2285"/>
      <x:c r="V8" s="2285"/>
      <x:c r="W8" s="2285"/>
      <x:c r="X8" s="2285"/>
      <x:c r="Y8" s="2285"/>
      <x:c r="Z8" s="2285"/>
      <x:c r="AA8" s="2285"/>
      <x:c r="AB8" s="2064"/>
      <x:c r="AC8" s="2064"/>
      <x:c r="AD8" s="2064"/>
      <x:c r="AE8" s="2064"/>
      <x:c r="AF8" s="2064"/>
      <x:c r="AG8" s="2064"/>
      <x:c r="AH8" s="2064"/>
      <x:c r="AI8" s="2064"/>
      <x:c r="AJ8" s="2064"/>
      <x:c r="AK8" s="2064"/>
      <x:c r="AL8" s="2064"/>
      <x:c r="AM8" s="2064"/>
      <x:c r="AN8" s="2064"/>
      <x:c r="AO8" s="2064"/>
      <x:c r="AP8" s="2064"/>
      <x:c r="AQ8" s="2064"/>
      <x:c r="AR8" s="2064"/>
      <x:c r="AS8" s="2064"/>
      <x:c r="AT8" s="2064"/>
      <x:c r="AU8" s="2064"/>
      <x:c r="AV8" s="2064"/>
      <x:c r="AW8" s="2064"/>
      <x:c r="AX8" s="2064"/>
      <x:c r="AY8" s="2064"/>
      <x:c r="AZ8" s="2064"/>
      <x:c r="BA8" s="2064"/>
      <x:c r="BB8" s="2064"/>
      <x:c r="BC8" s="2064"/>
      <x:c r="BD8" s="2064"/>
      <x:c r="BE8" s="2064"/>
      <x:c r="BF8" s="2064"/>
      <x:c r="BG8" s="2064"/>
      <x:c r="BH8" s="261"/>
      <x:c r="BI8" s="245"/>
      <x:c r="CA8" s="246"/>
      <x:c r="CB8" s="2021"/>
      <x:c r="CC8" s="2022"/>
      <x:c r="CD8" s="2022"/>
      <x:c r="CE8" s="2022"/>
      <x:c r="CF8" s="2022"/>
      <x:c r="CG8" s="2022"/>
      <x:c r="CH8" s="2022"/>
      <x:c r="CI8" s="2022"/>
      <x:c r="CJ8" s="2022"/>
      <x:c r="CK8" s="2022"/>
      <x:c r="CL8" s="2022"/>
      <x:c r="CM8" s="2022"/>
      <x:c r="CN8" s="2022"/>
      <x:c r="CO8" s="2022"/>
      <x:c r="CP8" s="2022"/>
      <x:c r="CQ8" s="2022"/>
      <x:c r="CR8" s="2022"/>
      <x:c r="CS8" s="2022"/>
      <x:c r="CT8" s="2022"/>
      <x:c r="CU8" s="2022"/>
      <x:c r="CV8" s="2022"/>
      <x:c r="CW8" s="2022"/>
      <x:c r="CX8" s="2022"/>
      <x:c r="CY8" s="2022"/>
      <x:c r="CZ8" s="1931"/>
      <x:c r="DA8" s="1931"/>
      <x:c r="DB8" s="1931"/>
      <x:c r="DC8" s="1931"/>
      <x:c r="DD8" s="1931"/>
      <x:c r="DE8" s="1932"/>
      <x:c r="DF8" s="141"/>
      <x:c r="DG8" s="141"/>
      <x:c r="DH8" s="2281"/>
      <x:c r="DI8" s="1945"/>
      <x:c r="DJ8" s="1945"/>
      <x:c r="DK8" s="1945"/>
      <x:c r="DL8" s="1945"/>
      <x:c r="DM8" s="1945"/>
      <x:c r="DN8" s="1945"/>
      <x:c r="DO8" s="1945"/>
      <x:c r="DP8" s="1945"/>
      <x:c r="DQ8" s="1945"/>
      <x:c r="DR8" s="1945"/>
      <x:c r="DS8" s="1945"/>
      <x:c r="DT8" s="1945"/>
      <x:c r="DU8" s="1945"/>
      <x:c r="DV8" s="1945"/>
      <x:c r="DW8" s="1945"/>
      <x:c r="DX8" s="1945"/>
      <x:c r="DY8" s="1945"/>
      <x:c r="DZ8" s="1945"/>
      <x:c r="EA8" s="1945"/>
      <x:c r="EB8" s="1945"/>
      <x:c r="EC8" s="1945"/>
      <x:c r="ED8" s="1945"/>
      <x:c r="EE8" s="1945"/>
      <x:c r="EF8" s="1945"/>
      <x:c r="EG8" s="1945"/>
      <x:c r="EH8" s="1945"/>
      <x:c r="EI8" s="1945"/>
      <x:c r="EJ8" s="1945"/>
      <x:c r="EK8" s="1946"/>
      <x:c r="EL8" s="244"/>
      <x:c r="EM8" s="244"/>
      <x:c r="EN8" s="203"/>
      <x:c r="EO8" s="244"/>
      <x:c r="EP8" s="203"/>
      <x:c r="EQ8" s="203"/>
      <x:c r="ER8" s="203"/>
      <x:c r="ES8" s="244"/>
      <x:c r="ET8" s="244"/>
      <x:c r="EU8" s="244"/>
      <x:c r="EV8" s="246"/>
      <x:c r="GA8" s="241"/>
      <x:c r="GB8" s="241"/>
      <x:c r="GC8" s="241"/>
      <x:c r="GD8" s="241"/>
      <x:c r="GE8" s="241"/>
      <x:c r="GF8" s="241"/>
      <x:c r="GG8" s="241"/>
      <x:c r="GH8" s="241"/>
      <x:c r="GI8" s="241"/>
      <x:c r="GJ8" s="241"/>
      <x:c r="GK8" s="245"/>
      <x:c r="HA8" s="1187"/>
      <x:c r="HB8" s="1187"/>
      <x:c r="HC8" s="1187"/>
      <x:c r="HD8" s="1188"/>
      <x:c r="HE8" s="1189"/>
      <x:c r="HF8" s="1187"/>
      <x:c r="HG8" s="1187"/>
      <x:c r="HH8" s="1187"/>
      <x:c r="HI8" s="1187"/>
      <x:c r="HJ8" s="1187"/>
      <x:c r="HK8" s="1187"/>
      <x:c r="HL8" s="1187"/>
      <x:c r="HM8" s="1187"/>
      <x:c r="HN8" s="1187"/>
      <x:c r="HO8" s="1187"/>
      <x:c r="HP8" s="1187"/>
      <x:c r="HQ8" s="1187"/>
      <x:c r="HR8" s="1187"/>
      <x:c r="HS8" s="1187"/>
      <x:c r="HT8" s="1187"/>
      <x:c r="HU8" s="1187"/>
      <x:c r="HV8" s="1187"/>
      <x:c r="HW8" s="1187"/>
      <x:c r="HX8" s="1187"/>
      <x:c r="HY8" s="1186"/>
      <x:c r="HZ8" s="1179"/>
      <x:c r="IA8" s="1179"/>
      <x:c r="IB8" s="1179"/>
      <x:c r="IC8" s="1179"/>
      <x:c r="ID8" s="1179"/>
      <x:c r="IE8" s="1179"/>
      <x:c r="IF8" s="1179"/>
      <x:c r="IG8" s="1179"/>
      <x:c r="IH8" s="1178"/>
      <x:c r="II8" s="1178"/>
      <x:c r="IJ8" s="1178"/>
      <x:c r="IK8" s="1178"/>
      <x:c r="IL8" s="1178"/>
      <x:c r="IM8" s="1178"/>
      <x:c r="IN8" s="1178"/>
      <x:c r="IO8" s="1178"/>
      <x:c r="IP8" s="1178"/>
      <x:c r="IQ8" s="1178"/>
      <x:c r="IR8" s="1178"/>
      <x:c r="IS8" s="1178"/>
      <x:c r="IT8" s="1178"/>
      <x:c r="IU8" s="1178"/>
      <x:c r="IV8" s="1178"/>
      <x:c r="IW8" s="1178"/>
      <x:c r="IX8" s="1178"/>
      <x:c r="IY8" s="1178"/>
      <x:c r="IZ8" s="1178"/>
      <x:c r="JA8" s="1178"/>
      <x:c r="JB8" s="1178"/>
      <x:c r="JC8" s="1178"/>
      <x:c r="JD8" s="1178"/>
      <x:c r="JE8" s="1178"/>
      <x:c r="JF8" s="1178"/>
      <x:c r="JG8" s="1178"/>
      <x:c r="JH8" s="1178"/>
      <x:c r="JI8" s="1178"/>
      <x:c r="JJ8" s="1178"/>
      <x:c r="JK8" s="1178"/>
      <x:c r="JL8" s="1178"/>
      <x:c r="JM8" s="1178"/>
      <x:c r="JN8" s="1178"/>
      <x:c r="JO8" s="1178"/>
    </x:row>
    <x:row r="9" spans="1:276" s="117" customFormat="1" ht="12.2" customHeight="1" thickTop="1" thickBot="1" x14ac:dyDescent="0.25">
      <x:c r="A9" s="1901" t="s">
        <x:v>1</x:v>
      </x:c>
      <x:c r="B9" s="1857"/>
      <x:c r="C9" s="1808" t="str">
        <x:f>IF(ISBLANK('Job Info.'!D3),"",'Job Info.'!D3)</x:f>
        <x:v>MINDEN UPS BLDG 1</x:v>
      </x:c>
      <x:c r="D9" s="1808"/>
      <x:c r="E9" s="1808"/>
      <x:c r="F9" s="1808"/>
      <x:c r="G9" s="1808"/>
      <x:c r="H9" s="1808"/>
      <x:c r="I9" s="1808"/>
      <x:c r="J9" s="1808"/>
      <x:c r="K9" s="1808"/>
      <x:c r="L9" s="1808"/>
      <x:c r="M9" s="1808"/>
      <x:c r="N9" s="1808"/>
      <x:c r="O9" s="1808"/>
      <x:c r="P9" s="1809"/>
      <x:c r="Q9" s="1901" t="s">
        <x:v>2</x:v>
      </x:c>
      <x:c r="R9" s="1857"/>
      <x:c r="S9" s="1857"/>
      <x:c r="T9" s="1809" t="str">
        <x:f>IF(ISBLANK('Job Info.'!D5),"",'Job Info.'!D5)</x:f>
        <x:v>NN22-0071</x:v>
      </x:c>
      <x:c r="U9" s="2085"/>
      <x:c r="V9" s="2085"/>
      <x:c r="W9" s="2085"/>
      <x:c r="X9" s="2085"/>
      <x:c r="Y9" s="2085"/>
      <x:c r="Z9" s="2085"/>
      <x:c r="AA9" s="2085"/>
      <x:c r="AB9" s="2059" t="s">
        <x:v>1</x:v>
      </x:c>
      <x:c r="AC9" s="2286"/>
      <x:c r="AD9" s="2287"/>
      <x:c r="AE9" s="1808" t="str">
        <x:f>C9</x:f>
        <x:v>MINDEN UPS BLDG 1</x:v>
      </x:c>
      <x:c r="AF9" s="1808"/>
      <x:c r="AG9" s="1808"/>
      <x:c r="AH9" s="1808"/>
      <x:c r="AI9" s="1808"/>
      <x:c r="AJ9" s="1808"/>
      <x:c r="AK9" s="1808"/>
      <x:c r="AL9" s="1808"/>
      <x:c r="AM9" s="1808"/>
      <x:c r="AN9" s="1808"/>
      <x:c r="AO9" s="1808"/>
      <x:c r="AP9" s="1808"/>
      <x:c r="AQ9" s="1808"/>
      <x:c r="AR9" s="1808"/>
      <x:c r="AS9" s="1808"/>
      <x:c r="AT9" s="1809"/>
      <x:c r="AU9" s="1901" t="s">
        <x:v>2</x:v>
      </x:c>
      <x:c r="AV9" s="1857"/>
      <x:c r="AW9" s="1857"/>
      <x:c r="AX9" s="1809" t="str">
        <x:f>T9</x:f>
        <x:v>NN22-0071</x:v>
      </x:c>
      <x:c r="AY9" s="2085"/>
      <x:c r="AZ9" s="2085"/>
      <x:c r="BA9" s="2085"/>
      <x:c r="BB9" s="2085"/>
      <x:c r="BC9" s="2085"/>
      <x:c r="BD9" s="2085"/>
      <x:c r="BE9" s="2085"/>
      <x:c r="BF9" s="2085"/>
      <x:c r="BG9" s="2085"/>
      <x:c r="BH9" s="1416"/>
      <x:c r="BI9" s="245"/>
      <x:c r="CA9" s="246"/>
      <x:c r="CB9" s="2021"/>
      <x:c r="CC9" s="2022"/>
      <x:c r="CD9" s="2022"/>
      <x:c r="CE9" s="2022"/>
      <x:c r="CF9" s="2022"/>
      <x:c r="CG9" s="2022"/>
      <x:c r="CH9" s="2022"/>
      <x:c r="CI9" s="2022"/>
      <x:c r="CJ9" s="2022"/>
      <x:c r="CK9" s="2022"/>
      <x:c r="CL9" s="2022"/>
      <x:c r="CM9" s="2022"/>
      <x:c r="CN9" s="2022"/>
      <x:c r="CO9" s="2022"/>
      <x:c r="CP9" s="2022"/>
      <x:c r="CQ9" s="2022"/>
      <x:c r="CR9" s="2022"/>
      <x:c r="CS9" s="2022"/>
      <x:c r="CT9" s="2022"/>
      <x:c r="CU9" s="2022"/>
      <x:c r="CV9" s="2022"/>
      <x:c r="CW9" s="2022"/>
      <x:c r="CX9" s="2022"/>
      <x:c r="CY9" s="2022"/>
      <x:c r="CZ9" s="1931"/>
      <x:c r="DA9" s="1931"/>
      <x:c r="DB9" s="1931"/>
      <x:c r="DC9" s="1931"/>
      <x:c r="DD9" s="1931"/>
      <x:c r="DE9" s="1932"/>
      <x:c r="DF9" s="141"/>
      <x:c r="DG9" s="141"/>
      <x:c r="DH9" s="2004" t="s">
        <x:v>613</x:v>
      </x:c>
      <x:c r="DI9" s="1914" t="s">
        <x:v>640</x:v>
      </x:c>
      <x:c r="DJ9" s="1927"/>
      <x:c r="DK9" s="1927"/>
      <x:c r="DL9" s="1927"/>
      <x:c r="DM9" s="1927"/>
      <x:c r="DN9" s="1954"/>
      <x:c r="DO9" s="2001" t="s">
        <x:v>1287</x:v>
      </x:c>
      <x:c r="DP9" s="1914" t="s">
        <x:v>641</x:v>
      </x:c>
      <x:c r="DQ9" s="1915"/>
      <x:c r="DR9" s="1915"/>
      <x:c r="DS9" s="1915"/>
      <x:c r="DT9" s="1915"/>
      <x:c r="DU9" s="1916"/>
      <x:c r="DV9" s="2193" t="s">
        <x:v>610</x:v>
      </x:c>
      <x:c r="DW9" s="1915"/>
      <x:c r="DX9" s="1915"/>
      <x:c r="DY9" s="1915"/>
      <x:c r="DZ9" s="1915"/>
      <x:c r="EA9" s="1915"/>
      <x:c r="EB9" s="1915"/>
      <x:c r="EC9" s="1915"/>
      <x:c r="ED9" s="1915"/>
      <x:c r="EE9" s="1915"/>
      <x:c r="EF9" s="1915"/>
      <x:c r="EG9" s="1915"/>
      <x:c r="EH9" s="1915"/>
      <x:c r="EI9" s="1915"/>
      <x:c r="EJ9" s="1915"/>
      <x:c r="EK9" s="1916"/>
      <x:c r="EL9" s="244"/>
      <x:c r="EM9" s="244"/>
      <x:c r="EN9" s="203"/>
      <x:c r="EO9" s="924"/>
      <x:c r="EP9" s="927"/>
      <x:c r="EQ9" s="241"/>
      <x:c r="ER9" s="241"/>
      <x:c r="ES9" s="241"/>
      <x:c r="ET9" s="2104" t="s">
        <x:v>615</x:v>
      </x:c>
      <x:c r="EU9" s="2296"/>
      <x:c r="EV9" s="246"/>
      <x:c r="FJ9" s="246"/>
      <x:c r="FK9" s="246"/>
      <x:c r="FL9" s="253"/>
      <x:c r="FM9" s="243"/>
      <x:c r="FN9" s="243"/>
      <x:c r="FO9" s="243"/>
      <x:c r="FP9" s="242"/>
      <x:c r="FQ9" s="248"/>
      <x:c r="FR9" s="243"/>
      <x:c r="FS9" s="243"/>
      <x:c r="FT9" s="243"/>
      <x:c r="FU9" s="245"/>
      <x:c r="FV9" s="245"/>
      <x:c r="FW9" s="245"/>
      <x:c r="FX9" s="245"/>
      <x:c r="FY9" s="245"/>
      <x:c r="FZ9" s="245"/>
      <x:c r="GA9" s="241"/>
      <x:c r="GB9" s="241"/>
      <x:c r="GC9" s="241"/>
      <x:c r="GD9" s="241"/>
      <x:c r="GE9" s="241"/>
      <x:c r="GF9" s="241"/>
      <x:c r="GG9" s="241"/>
      <x:c r="GH9" s="241"/>
      <x:c r="GI9" s="241"/>
      <x:c r="GJ9" s="241"/>
      <x:c r="GK9" s="245"/>
      <x:c r="HA9" s="1187"/>
      <x:c r="HB9" s="1187"/>
      <x:c r="HC9" s="1187"/>
      <x:c r="HD9" s="1188"/>
      <x:c r="HE9" s="1189"/>
      <x:c r="HF9" s="1187"/>
      <x:c r="HG9" s="1187"/>
      <x:c r="HH9" s="1187"/>
      <x:c r="HI9" s="1187"/>
      <x:c r="HJ9" s="1187"/>
      <x:c r="HK9" s="1187"/>
      <x:c r="HL9" s="1187"/>
      <x:c r="HM9" s="1187"/>
      <x:c r="HN9" s="1187"/>
      <x:c r="HO9" s="1187"/>
      <x:c r="HP9" s="1187"/>
      <x:c r="HQ9" s="1187"/>
      <x:c r="HR9" s="1187"/>
      <x:c r="HS9" s="1187"/>
      <x:c r="HT9" s="1187"/>
      <x:c r="HU9" s="1187"/>
      <x:c r="HV9" s="1187"/>
      <x:c r="HW9" s="1187"/>
      <x:c r="HX9" s="1187"/>
      <x:c r="HY9" s="1186"/>
      <x:c r="HZ9" s="1190"/>
      <x:c r="IA9" s="1190"/>
      <x:c r="IB9" s="1190"/>
      <x:c r="IC9" s="1190"/>
      <x:c r="ID9" s="1190"/>
      <x:c r="IE9" s="1190"/>
      <x:c r="IF9" s="1190"/>
      <x:c r="IG9" s="1190"/>
      <x:c r="IH9" s="1190"/>
      <x:c r="II9" s="1190"/>
      <x:c r="IJ9" s="1190"/>
      <x:c r="IK9" s="1190"/>
      <x:c r="IL9" s="1190"/>
      <x:c r="IM9" s="1190"/>
      <x:c r="IN9" s="1190"/>
      <x:c r="IO9" s="1190"/>
      <x:c r="IP9" s="1190"/>
      <x:c r="IQ9" s="1190"/>
      <x:c r="IR9" s="1190"/>
      <x:c r="IS9" s="1190"/>
      <x:c r="IT9" s="1190"/>
      <x:c r="IU9" s="1190"/>
      <x:c r="IV9" s="1190"/>
      <x:c r="IW9" s="1190"/>
      <x:c r="IX9" s="1190"/>
      <x:c r="IY9" s="1190"/>
      <x:c r="IZ9" s="1190"/>
      <x:c r="JA9" s="1190"/>
      <x:c r="JB9" s="1190"/>
      <x:c r="JC9" s="1190"/>
      <x:c r="JD9" s="1190"/>
      <x:c r="JE9" s="1178"/>
      <x:c r="JF9" s="1178"/>
      <x:c r="JG9" s="1178"/>
      <x:c r="JH9" s="1178"/>
      <x:c r="JI9" s="1178"/>
      <x:c r="JJ9" s="1178"/>
      <x:c r="JK9" s="1178"/>
      <x:c r="JL9" s="1178"/>
      <x:c r="JM9" s="1178"/>
      <x:c r="JN9" s="1178"/>
      <x:c r="JO9" s="1178"/>
    </x:row>
    <x:row r="10" spans="1:276" s="117" customFormat="1" ht="12.2" customHeight="1" thickTop="1" thickBot="1" x14ac:dyDescent="0.25">
      <x:c r="A10" s="1901" t="s">
        <x:v>3</x:v>
      </x:c>
      <x:c r="B10" s="1857"/>
      <x:c r="C10" s="1808" t="str">
        <x:f>IF(ISBLANK('Job Info.'!D4),"",'Job Info.'!D4)</x:f>
        <x:v>MINDEN, NV</x:v>
      </x:c>
      <x:c r="D10" s="1808"/>
      <x:c r="E10" s="1808"/>
      <x:c r="F10" s="1808"/>
      <x:c r="G10" s="1808"/>
      <x:c r="H10" s="1808"/>
      <x:c r="I10" s="1808"/>
      <x:c r="J10" s="1808"/>
      <x:c r="K10" s="1808"/>
      <x:c r="L10" s="1808"/>
      <x:c r="M10" s="1808"/>
      <x:c r="N10" s="1808"/>
      <x:c r="O10" s="1808"/>
      <x:c r="P10" s="1809"/>
      <x:c r="Q10" s="1901" t="s">
        <x:v>22</x:v>
      </x:c>
      <x:c r="R10" s="1857"/>
      <x:c r="S10" s="1857"/>
      <x:c r="T10" s="1808" t="str">
        <x:f>IF(ISBLANK('Job Info.'!D6),"",'Job Info.'!D6)</x:f>
        <x:v>JMM</x:v>
      </x:c>
      <x:c r="U10" s="1808"/>
      <x:c r="V10" s="1808"/>
      <x:c r="W10" s="1809"/>
      <x:c r="X10" s="1901" t="s">
        <x:v>23</x:v>
      </x:c>
      <x:c r="Y10" s="1857"/>
      <x:c r="Z10" s="1809" t="str">
        <x:f>IF(ISBLANK('Job Info.'!D7),"",'Job Info.'!D7)</x:f>
        <x:v>NR</x:v>
      </x:c>
      <x:c r="AA10" s="2085"/>
      <x:c r="AB10" s="2059" t="s">
        <x:v>3</x:v>
      </x:c>
      <x:c r="AC10" s="2286"/>
      <x:c r="AD10" s="2287"/>
      <x:c r="AE10" s="1808" t="str">
        <x:f>C10</x:f>
        <x:v>MINDEN, NV</x:v>
      </x:c>
      <x:c r="AF10" s="1808"/>
      <x:c r="AG10" s="1808"/>
      <x:c r="AH10" s="1808"/>
      <x:c r="AI10" s="1808"/>
      <x:c r="AJ10" s="1808"/>
      <x:c r="AK10" s="1808"/>
      <x:c r="AL10" s="1808"/>
      <x:c r="AM10" s="1808"/>
      <x:c r="AN10" s="1808"/>
      <x:c r="AO10" s="1808"/>
      <x:c r="AP10" s="1808"/>
      <x:c r="AQ10" s="1808"/>
      <x:c r="AR10" s="1808"/>
      <x:c r="AS10" s="1808"/>
      <x:c r="AT10" s="1809"/>
      <x:c r="AU10" s="1901" t="s">
        <x:v>22</x:v>
      </x:c>
      <x:c r="AV10" s="1857"/>
      <x:c r="AW10" s="1857"/>
      <x:c r="AX10" s="1808" t="str">
        <x:f>T10</x:f>
        <x:v>JMM</x:v>
      </x:c>
      <x:c r="AY10" s="1808"/>
      <x:c r="AZ10" s="1808"/>
      <x:c r="BA10" s="1809"/>
      <x:c r="BB10" s="1901" t="s">
        <x:v>23</x:v>
      </x:c>
      <x:c r="BC10" s="1857"/>
      <x:c r="BD10" s="1857"/>
      <x:c r="BE10" s="1809" t="str">
        <x:f>Z10</x:f>
        <x:v>NR</x:v>
      </x:c>
      <x:c r="BF10" s="2085"/>
      <x:c r="BG10" s="2085"/>
      <x:c r="BH10" s="1416"/>
      <x:c r="BI10" s="245"/>
      <x:c r="CA10" s="246"/>
      <x:c r="CB10" s="1933"/>
      <x:c r="CC10" s="1931"/>
      <x:c r="CD10" s="1931"/>
      <x:c r="CE10" s="1931"/>
      <x:c r="CF10" s="1932"/>
      <x:c r="CG10" s="1925" t="s">
        <x:v>469</x:v>
      </x:c>
      <x:c r="CH10" s="1926"/>
      <x:c r="CI10" s="1926"/>
      <x:c r="CJ10" s="1926"/>
      <x:c r="CK10" s="1926"/>
      <x:c r="CL10" s="1926"/>
      <x:c r="CM10" s="1926"/>
      <x:c r="CN10" s="1927"/>
      <x:c r="CO10" s="1927"/>
      <x:c r="CP10" s="1928"/>
      <x:c r="CQ10" s="1925" t="s">
        <x:v>470</x:v>
      </x:c>
      <x:c r="CR10" s="1926"/>
      <x:c r="CS10" s="1926"/>
      <x:c r="CT10" s="1926"/>
      <x:c r="CU10" s="1926"/>
      <x:c r="CV10" s="1926"/>
      <x:c r="CW10" s="1926"/>
      <x:c r="CX10" s="1927"/>
      <x:c r="CY10" s="1927"/>
      <x:c r="CZ10" s="1928"/>
      <x:c r="DA10" s="2258"/>
      <x:c r="DB10" s="1952"/>
      <x:c r="DC10" s="1952"/>
      <x:c r="DD10" s="1952"/>
      <x:c r="DE10" s="1953"/>
      <x:c r="DF10" s="141"/>
      <x:c r="DG10" s="141"/>
      <x:c r="DH10" s="2005"/>
      <x:c r="DI10" s="1955"/>
      <x:c r="DJ10" s="1931"/>
      <x:c r="DK10" s="1931"/>
      <x:c r="DL10" s="1931"/>
      <x:c r="DM10" s="1931"/>
      <x:c r="DN10" s="1956"/>
      <x:c r="DO10" s="2002"/>
      <x:c r="DP10" s="1917"/>
      <x:c r="DQ10" s="1868"/>
      <x:c r="DR10" s="1868"/>
      <x:c r="DS10" s="1868"/>
      <x:c r="DT10" s="1868"/>
      <x:c r="DU10" s="1918"/>
      <x:c r="DV10" s="2171"/>
      <x:c r="DW10" s="1868"/>
      <x:c r="DX10" s="1868"/>
      <x:c r="DY10" s="1868"/>
      <x:c r="DZ10" s="1868"/>
      <x:c r="EA10" s="1868"/>
      <x:c r="EB10" s="1868"/>
      <x:c r="EC10" s="1868"/>
      <x:c r="ED10" s="1868"/>
      <x:c r="EE10" s="1868"/>
      <x:c r="EF10" s="1868"/>
      <x:c r="EG10" s="1868"/>
      <x:c r="EH10" s="1868"/>
      <x:c r="EI10" s="1868"/>
      <x:c r="EJ10" s="1868"/>
      <x:c r="EK10" s="1918"/>
      <x:c r="EL10" s="241"/>
      <x:c r="EM10" s="241"/>
      <x:c r="EN10" s="241"/>
      <x:c r="EO10" s="241"/>
      <x:c r="EP10" s="241"/>
      <x:c r="EQ10" s="241"/>
      <x:c r="ER10" s="241"/>
      <x:c r="ES10" s="241"/>
      <x:c r="ET10" s="2297"/>
      <x:c r="EU10" s="2298"/>
      <x:c r="FW10" s="245"/>
      <x:c r="FX10" s="245"/>
      <x:c r="FY10" s="245"/>
      <x:c r="FZ10" s="245"/>
      <x:c r="GA10" s="2245" t="s">
        <x:v>1140</x:v>
      </x:c>
      <x:c r="GB10" s="2270"/>
      <x:c r="GC10" s="2270"/>
      <x:c r="GD10" s="2270"/>
      <x:c r="GE10" s="2270"/>
      <x:c r="GF10" s="2270"/>
      <x:c r="GG10" s="1931"/>
      <x:c r="GH10" s="1931"/>
      <x:c r="GI10" s="1931"/>
      <x:c r="GJ10" s="1931"/>
      <x:c r="GK10" s="245"/>
      <x:c r="HA10" s="1187"/>
      <x:c r="HB10" s="1187"/>
      <x:c r="HC10" s="1187"/>
      <x:c r="HD10" s="1188"/>
      <x:c r="HE10" s="1189"/>
      <x:c r="HF10" s="1191"/>
      <x:c r="HG10" s="1192"/>
      <x:c r="HH10" s="1192"/>
      <x:c r="HI10" s="1192"/>
      <x:c r="HJ10" s="1192"/>
      <x:c r="HK10" s="1192"/>
      <x:c r="HL10" s="1192"/>
      <x:c r="HM10" s="1191"/>
      <x:c r="HN10" s="1192"/>
      <x:c r="HO10" s="1192"/>
      <x:c r="HP10" s="1192"/>
      <x:c r="HQ10" s="1192"/>
      <x:c r="HR10" s="1192"/>
      <x:c r="HS10" s="1192"/>
      <x:c r="HT10" s="1187"/>
      <x:c r="HU10" s="1187"/>
      <x:c r="HV10" s="1187"/>
      <x:c r="HW10" s="1187"/>
      <x:c r="HX10" s="1187"/>
      <x:c r="HY10" s="1186"/>
      <x:c r="HZ10" s="1179"/>
      <x:c r="IA10" s="1179"/>
      <x:c r="IB10" s="1179"/>
      <x:c r="IC10" s="1179"/>
      <x:c r="ID10" s="1179"/>
      <x:c r="IE10" s="1179"/>
      <x:c r="IF10" s="1179"/>
      <x:c r="IG10" s="1179"/>
      <x:c r="IH10" s="1178"/>
      <x:c r="II10" s="1178"/>
      <x:c r="IJ10" s="1178"/>
      <x:c r="IK10" s="1178"/>
      <x:c r="IL10" s="1178"/>
      <x:c r="IM10" s="1178"/>
      <x:c r="IN10" s="1178"/>
      <x:c r="IO10" s="1178"/>
      <x:c r="IP10" s="1178"/>
      <x:c r="IQ10" s="1178"/>
      <x:c r="IR10" s="1178"/>
      <x:c r="IS10" s="1178"/>
      <x:c r="IT10" s="1178"/>
      <x:c r="IU10" s="1178"/>
      <x:c r="IV10" s="1178"/>
      <x:c r="IW10" s="1178"/>
      <x:c r="IX10" s="1178"/>
      <x:c r="IY10" s="1178"/>
      <x:c r="IZ10" s="1178"/>
      <x:c r="JA10" s="1178"/>
      <x:c r="JB10" s="1178"/>
      <x:c r="JC10" s="1178"/>
      <x:c r="JD10" s="1178"/>
      <x:c r="JE10" s="1178"/>
      <x:c r="JF10" s="1178"/>
      <x:c r="JG10" s="1178"/>
      <x:c r="JH10" s="1178"/>
      <x:c r="JI10" s="1178"/>
      <x:c r="JJ10" s="1178"/>
      <x:c r="JK10" s="1178"/>
      <x:c r="JL10" s="1178"/>
      <x:c r="JM10" s="1178"/>
      <x:c r="JN10" s="1178"/>
      <x:c r="JO10" s="1178"/>
    </x:row>
    <x:row r="11" spans="1:276" ht="3.95" customHeight="1" thickTop="1" thickBot="1" x14ac:dyDescent="0.25">
      <x:c r="A11" s="2110"/>
      <x:c r="B11" s="2110"/>
      <x:c r="C11" s="2110"/>
      <x:c r="D11" s="2110"/>
      <x:c r="E11" s="2110"/>
      <x:c r="F11" s="2110"/>
      <x:c r="G11" s="2110"/>
      <x:c r="H11" s="2110"/>
      <x:c r="I11" s="2110"/>
      <x:c r="J11" s="2110"/>
      <x:c r="K11" s="2110"/>
      <x:c r="L11" s="2110"/>
      <x:c r="M11" s="2110"/>
      <x:c r="N11" s="2110"/>
      <x:c r="O11" s="2110"/>
      <x:c r="P11" s="2110"/>
      <x:c r="Q11" s="2110"/>
      <x:c r="R11" s="2110"/>
      <x:c r="S11" s="2110"/>
      <x:c r="T11" s="2110"/>
      <x:c r="U11" s="2110"/>
      <x:c r="V11" s="2110"/>
      <x:c r="W11" s="2110"/>
      <x:c r="X11" s="2110"/>
      <x:c r="Y11" s="2110"/>
      <x:c r="Z11" s="2110"/>
      <x:c r="AA11" s="2110"/>
      <x:c r="AB11" s="1115"/>
      <x:c r="AC11" s="1115"/>
      <x:c r="AD11" s="1115"/>
      <x:c r="AE11" s="1115"/>
      <x:c r="AF11" s="1115"/>
      <x:c r="AG11" s="1115"/>
      <x:c r="AH11" s="1115"/>
      <x:c r="AI11" s="1115"/>
      <x:c r="AJ11" s="1115"/>
      <x:c r="AK11" s="1115"/>
      <x:c r="AL11" s="1115"/>
      <x:c r="AM11" s="1115"/>
      <x:c r="AN11" s="1115"/>
      <x:c r="AO11" s="1115"/>
      <x:c r="AP11" s="1115"/>
      <x:c r="AQ11" s="1115"/>
      <x:c r="AR11" s="1115"/>
      <x:c r="AS11" s="1115"/>
      <x:c r="AT11" s="1115"/>
      <x:c r="AU11" s="1115"/>
      <x:c r="AV11" s="1115"/>
      <x:c r="AW11" s="1115"/>
      <x:c r="AX11" s="1115"/>
      <x:c r="AY11" s="1115"/>
      <x:c r="AZ11" s="1115"/>
      <x:c r="BA11" s="1115"/>
      <x:c r="BB11" s="1115"/>
      <x:c r="BC11" s="1115"/>
      <x:c r="BD11" s="1115"/>
      <x:c r="BE11" s="1115"/>
      <x:c r="BF11" s="1115"/>
      <x:c r="BG11" s="1115"/>
      <x:c r="BH11" s="261"/>
      <x:c r="BJ11" s="117"/>
      <x:c r="BK11" s="117"/>
      <x:c r="BL11" s="117"/>
      <x:c r="BM11" s="117"/>
      <x:c r="BN11" s="117"/>
      <x:c r="BO11" s="117"/>
      <x:c r="CA11" s="105"/>
      <x:c r="CB11" s="1934"/>
      <x:c r="CC11" s="1935"/>
      <x:c r="CD11" s="1935"/>
      <x:c r="CE11" s="1935"/>
      <x:c r="CF11" s="1936"/>
      <x:c r="CG11" s="1929"/>
      <x:c r="CH11" s="1930"/>
      <x:c r="CI11" s="1930"/>
      <x:c r="CJ11" s="1930"/>
      <x:c r="CK11" s="1930"/>
      <x:c r="CL11" s="1930"/>
      <x:c r="CM11" s="1930"/>
      <x:c r="CN11" s="1931"/>
      <x:c r="CO11" s="1931"/>
      <x:c r="CP11" s="1932"/>
      <x:c r="CQ11" s="1943"/>
      <x:c r="CR11" s="1944"/>
      <x:c r="CS11" s="1944"/>
      <x:c r="CT11" s="1944"/>
      <x:c r="CU11" s="1944"/>
      <x:c r="CV11" s="1944"/>
      <x:c r="CW11" s="1944"/>
      <x:c r="CX11" s="1945"/>
      <x:c r="CY11" s="1945"/>
      <x:c r="CZ11" s="1946"/>
      <x:c r="DA11" s="1576"/>
      <x:c r="DB11" s="1947"/>
      <x:c r="DC11" s="1928"/>
      <x:c r="DD11" s="1949"/>
      <x:c r="DE11" s="1950"/>
      <x:c r="DF11" s="141"/>
      <x:c r="DG11" s="141"/>
      <x:c r="DH11" s="2005"/>
      <x:c r="DI11" s="1955"/>
      <x:c r="DJ11" s="1931"/>
      <x:c r="DK11" s="1931"/>
      <x:c r="DL11" s="1931"/>
      <x:c r="DM11" s="1931"/>
      <x:c r="DN11" s="1956"/>
      <x:c r="DO11" s="2002"/>
      <x:c r="DP11" s="2259" t="s">
        <x:v>601</x:v>
      </x:c>
      <x:c r="DQ11" s="1555"/>
      <x:c r="DR11" s="1921" t="s">
        <x:v>603</x:v>
      </x:c>
      <x:c r="DS11" s="1555"/>
      <x:c r="DT11" s="1555"/>
      <x:c r="DU11" s="1555"/>
      <x:c r="DV11" s="2171"/>
      <x:c r="DW11" s="1868"/>
      <x:c r="DX11" s="1868"/>
      <x:c r="DY11" s="1868"/>
      <x:c r="DZ11" s="1868"/>
      <x:c r="EA11" s="1868"/>
      <x:c r="EB11" s="1868"/>
      <x:c r="EC11" s="1868"/>
      <x:c r="ED11" s="1868"/>
      <x:c r="EE11" s="1868"/>
      <x:c r="EF11" s="1868"/>
      <x:c r="EG11" s="1868"/>
      <x:c r="EH11" s="1868"/>
      <x:c r="EI11" s="1868"/>
      <x:c r="EJ11" s="1868"/>
      <x:c r="EK11" s="1918"/>
      <x:c r="EL11" s="141"/>
      <x:c r="EM11" s="141"/>
      <x:c r="EN11" s="928"/>
      <x:c r="EO11" s="141"/>
      <x:c r="EP11" s="141"/>
      <x:c r="EQ11" s="141"/>
      <x:c r="ER11" s="241"/>
      <x:c r="ES11" s="241"/>
      <x:c r="ET11" s="2297"/>
      <x:c r="EU11" s="2298"/>
      <x:c r="FW11" s="2"/>
      <x:c r="FX11" s="2"/>
      <x:c r="FY11" s="2"/>
      <x:c r="FZ11" s="2"/>
      <x:c r="GA11" s="2271"/>
      <x:c r="GB11" s="2271"/>
      <x:c r="GC11" s="2271"/>
      <x:c r="GD11" s="2271"/>
      <x:c r="GE11" s="2271"/>
      <x:c r="GF11" s="2271"/>
      <x:c r="GG11" s="1935"/>
      <x:c r="GH11" s="1935"/>
      <x:c r="GI11" s="1935"/>
      <x:c r="GJ11" s="1935"/>
      <x:c r="GK11" s="2"/>
      <x:c r="HA11" s="1187"/>
      <x:c r="HB11" s="1187"/>
      <x:c r="HC11" s="1187"/>
      <x:c r="HD11" s="1188"/>
      <x:c r="HE11" s="1189"/>
      <x:c r="HF11" s="1192"/>
      <x:c r="HG11" s="1192"/>
      <x:c r="HH11" s="1192"/>
      <x:c r="HI11" s="1192"/>
      <x:c r="HJ11" s="1192"/>
      <x:c r="HK11" s="1192"/>
      <x:c r="HL11" s="1192"/>
      <x:c r="HM11" s="1192"/>
      <x:c r="HN11" s="1192"/>
      <x:c r="HO11" s="1192"/>
      <x:c r="HP11" s="1192"/>
      <x:c r="HQ11" s="1192"/>
      <x:c r="HR11" s="1192"/>
      <x:c r="HS11" s="1192"/>
      <x:c r="HT11" s="1187"/>
      <x:c r="HU11" s="1187"/>
      <x:c r="HV11" s="1187"/>
      <x:c r="HW11" s="1187"/>
      <x:c r="HX11" s="1187"/>
      <x:c r="HY11" s="1186"/>
      <x:c r="HZ11" s="1187"/>
      <x:c r="IA11" s="1187"/>
      <x:c r="IB11" s="1187"/>
      <x:c r="IC11" s="1187"/>
      <x:c r="ID11" s="1187"/>
      <x:c r="IE11" s="1187"/>
      <x:c r="IF11" s="1187"/>
      <x:c r="IG11" s="1187"/>
      <x:c r="IH11" s="1193"/>
      <x:c r="II11" s="1193"/>
      <x:c r="IJ11" s="1193"/>
      <x:c r="IK11" s="1193"/>
      <x:c r="IL11" s="1193"/>
      <x:c r="IM11" s="1193"/>
      <x:c r="IN11" s="1193"/>
      <x:c r="IO11" s="1193"/>
      <x:c r="IP11" s="1193"/>
      <x:c r="IQ11" s="1193"/>
      <x:c r="IR11" s="1193"/>
      <x:c r="IS11" s="1193"/>
      <x:c r="IT11" s="1193"/>
      <x:c r="IU11" s="1193"/>
      <x:c r="IV11" s="1193"/>
      <x:c r="IW11" s="1193"/>
      <x:c r="IX11" s="1193"/>
      <x:c r="IY11" s="1193"/>
      <x:c r="IZ11" s="1193"/>
      <x:c r="JA11" s="1193"/>
      <x:c r="JB11" s="1193"/>
      <x:c r="JC11" s="1193"/>
      <x:c r="JD11" s="1193"/>
      <x:c r="JE11" s="1193"/>
      <x:c r="JF11" s="1193"/>
      <x:c r="JG11" s="1193"/>
      <x:c r="JH11" s="1193"/>
      <x:c r="JI11" s="1193"/>
      <x:c r="JJ11" s="1193"/>
      <x:c r="JK11" s="1193"/>
      <x:c r="JL11" s="1193"/>
      <x:c r="JM11" s="1193"/>
      <x:c r="JN11" s="1193"/>
      <x:c r="JO11" s="1193"/>
    </x:row>
    <x:row r="12" spans="1:276" ht="12" customHeight="1" thickTop="1" thickBot="1" x14ac:dyDescent="0.3">
      <x:c r="A12" s="2068" t="s">
        <x:v>40</x:v>
      </x:c>
      <x:c r="B12" s="2069" t="s">
        <x:v>130</x:v>
      </x:c>
      <x:c r="C12" s="2069" t="s">
        <x:v>31</x:v>
      </x:c>
      <x:c r="D12" s="2069" t="s">
        <x:v>25</x:v>
      </x:c>
      <x:c r="E12" s="2073"/>
      <x:c r="F12" s="2079" t="s">
        <x:v>88</x:v>
      </x:c>
      <x:c r="G12" s="1969" t="s">
        <x:v>9</x:v>
      </x:c>
      <x:c r="H12" s="2077"/>
      <x:c r="I12" s="2077"/>
      <x:c r="J12" s="2077" t="s">
        <x:v>10</x:v>
      </x:c>
      <x:c r="K12" s="2077"/>
      <x:c r="L12" s="1967"/>
      <x:c r="M12" s="2071" t="s">
        <x:v>11</x:v>
      </x:c>
      <x:c r="N12" s="2072"/>
      <x:c r="O12" s="2074" t="s">
        <x:v>12</x:v>
      </x:c>
      <x:c r="P12" s="2075"/>
      <x:c r="Q12" s="2075" t="s">
        <x:v>13</x:v>
      </x:c>
      <x:c r="R12" s="2086"/>
      <x:c r="S12" s="2076" t="s">
        <x:v>14</x:v>
      </x:c>
      <x:c r="T12" s="2077"/>
      <x:c r="U12" s="2077"/>
      <x:c r="V12" s="2077"/>
      <x:c r="W12" s="2078"/>
      <x:c r="X12" s="1969" t="s">
        <x:v>111</x:v>
      </x:c>
      <x:c r="Y12" s="1967"/>
      <x:c r="Z12" s="1116" t="s">
        <x:v>15</x:v>
      </x:c>
      <x:c r="AA12" s="2288" t="s">
        <x:v>939</x:v>
      </x:c>
      <x:c r="AB12" s="2068" t="s">
        <x:v>40</x:v>
      </x:c>
      <x:c r="AC12" s="1961" t="s">
        <x:v>62</x:v>
      </x:c>
      <x:c r="AD12" s="1963" t="s">
        <x:v>32</x:v>
      </x:c>
      <x:c r="AE12" s="1964"/>
      <x:c r="AF12" s="1967" t="s">
        <x:v>34</x:v>
      </x:c>
      <x:c r="AG12" s="1968"/>
      <x:c r="AH12" s="1969"/>
      <x:c r="AI12" s="1963" t="s">
        <x:v>35</x:v>
      </x:c>
      <x:c r="AJ12" s="1964"/>
      <x:c r="AK12" s="1970" t="s">
        <x:v>63</x:v>
      </x:c>
      <x:c r="AL12" s="1972" t="s">
        <x:v>737</x:v>
      </x:c>
      <x:c r="AM12" s="1973"/>
      <x:c r="AN12" s="1973"/>
      <x:c r="AO12" s="1973"/>
      <x:c r="AP12" s="1973"/>
      <x:c r="AQ12" s="1974"/>
      <x:c r="AR12" s="2278" t="s">
        <x:v>82</x:v>
      </x:c>
      <x:c r="AS12" s="2279"/>
      <x:c r="AT12" s="2279"/>
      <x:c r="AU12" s="2279"/>
      <x:c r="AV12" s="2279"/>
      <x:c r="AW12" s="2279"/>
      <x:c r="AX12" s="2279"/>
      <x:c r="AY12" s="2279"/>
      <x:c r="AZ12" s="2279"/>
      <x:c r="BA12" s="2279"/>
      <x:c r="BB12" s="2279"/>
      <x:c r="BC12" s="2279"/>
      <x:c r="BD12" s="2279"/>
      <x:c r="BE12" s="2279"/>
      <x:c r="BF12" s="2279"/>
      <x:c r="BG12" s="2279"/>
      <x:c r="BH12" s="1416"/>
      <x:c r="BJ12" s="117"/>
      <x:c r="BK12" s="117"/>
      <x:c r="BL12" s="117"/>
      <x:c r="BM12" s="117"/>
      <x:c r="BN12" s="117"/>
      <x:c r="BO12" s="117"/>
      <x:c r="BW12" s="2290" t="s">
        <x:v>630</x:v>
      </x:c>
      <x:c r="BX12" s="2291"/>
      <x:c r="BY12" s="2291"/>
      <x:c r="BZ12" s="2292"/>
      <x:c r="CA12" s="105"/>
      <x:c r="CB12" s="2127" t="s">
        <x:v>613</x:v>
      </x:c>
      <x:c r="CC12" s="2058" t="s">
        <x:v>130</x:v>
      </x:c>
      <x:c r="CD12" s="2129" t="s">
        <x:v>478</x:v>
      </x:c>
      <x:c r="CE12" s="2052" t="s">
        <x:v>1291</x:v>
      </x:c>
      <x:c r="CF12" s="2053"/>
      <x:c r="CG12" s="2220" t="s">
        <x:v>1292</x:v>
      </x:c>
      <x:c r="CH12" s="2222" t="s">
        <x:v>595</x:v>
      </x:c>
      <x:c r="CI12" s="2223"/>
      <x:c r="CJ12" s="2222" t="s">
        <x:v>596</x:v>
      </x:c>
      <x:c r="CK12" s="2223"/>
      <x:c r="CL12" s="2238" t="s">
        <x:v>488</x:v>
      </x:c>
      <x:c r="CM12" s="2240" t="s">
        <x:v>790</x:v>
      </x:c>
      <x:c r="CN12" s="1937" t="s">
        <x:v>1276</x:v>
      </x:c>
      <x:c r="CO12" s="1938"/>
      <x:c r="CP12" s="1939"/>
      <x:c r="CQ12" s="2226" t="s">
        <x:v>1292</x:v>
      </x:c>
      <x:c r="CR12" s="2228" t="s">
        <x:v>595</x:v>
      </x:c>
      <x:c r="CS12" s="2229"/>
      <x:c r="CT12" s="2228" t="s">
        <x:v>596</x:v>
      </x:c>
      <x:c r="CU12" s="2229"/>
      <x:c r="CV12" s="2056" t="s">
        <x:v>488</x:v>
      </x:c>
      <x:c r="CW12" s="2236" t="s">
        <x:v>790</x:v>
      </x:c>
      <x:c r="CX12" s="1940" t="s">
        <x:v>1276</x:v>
      </x:c>
      <x:c r="CY12" s="1941"/>
      <x:c r="CZ12" s="1942"/>
      <x:c r="DA12" s="2218" t="s">
        <x:v>806</x:v>
      </x:c>
      <x:c r="DB12" s="1948"/>
      <x:c r="DC12" s="1932"/>
      <x:c r="DD12" s="2233" t="s">
        <x:v>1284</x:v>
      </x:c>
      <x:c r="DE12" s="2235" t="s">
        <x:v>1285</x:v>
      </x:c>
      <x:c r="DF12" s="141"/>
      <x:c r="DG12" s="141"/>
      <x:c r="DH12" s="2005"/>
      <x:c r="DI12" s="2011" t="s">
        <x:v>1289</x:v>
      </x:c>
      <x:c r="DJ12" s="1983" t="s">
        <x:v>32</x:v>
      </x:c>
      <x:c r="DK12" s="1984"/>
      <x:c r="DL12" s="1987" t="s">
        <x:v>34</x:v>
      </x:c>
      <x:c r="DM12" s="1989" t="s">
        <x:v>489</x:v>
      </x:c>
      <x:c r="DN12" s="1990"/>
      <x:c r="DO12" s="2002"/>
      <x:c r="DP12" s="2259"/>
      <x:c r="DQ12" s="2013" t="s">
        <x:v>602</x:v>
      </x:c>
      <x:c r="DR12" s="1921"/>
      <x:c r="DS12" s="2013" t="s">
        <x:v>604</x:v>
      </x:c>
      <x:c r="DT12" s="2015" t="s">
        <x:v>605</x:v>
      </x:c>
      <x:c r="DU12" s="2016"/>
      <x:c r="DV12" s="2276" t="s">
        <x:v>598</x:v>
      </x:c>
      <x:c r="DW12" s="2277"/>
      <x:c r="DX12" s="2007" t="s">
        <x:v>1287</x:v>
      </x:c>
      <x:c r="DY12" s="2009" t="s">
        <x:v>1288</x:v>
      </x:c>
      <x:c r="DZ12" s="2276" t="s">
        <x:v>598</x:v>
      </x:c>
      <x:c r="EA12" s="2277"/>
      <x:c r="EB12" s="2007" t="s">
        <x:v>1287</x:v>
      </x:c>
      <x:c r="EC12" s="2009" t="s">
        <x:v>1288</x:v>
      </x:c>
      <x:c r="ED12" s="2276" t="s">
        <x:v>598</x:v>
      </x:c>
      <x:c r="EE12" s="2277"/>
      <x:c r="EF12" s="2007" t="s">
        <x:v>1287</x:v>
      </x:c>
      <x:c r="EG12" s="2009" t="s">
        <x:v>1288</x:v>
      </x:c>
      <x:c r="EH12" s="2276" t="s">
        <x:v>598</x:v>
      </x:c>
      <x:c r="EI12" s="2277"/>
      <x:c r="EJ12" s="2007" t="s">
        <x:v>1287</x:v>
      </x:c>
      <x:c r="EK12" s="2194" t="s">
        <x:v>1288</x:v>
      </x:c>
      <x:c r="EL12" s="241"/>
      <x:c r="EM12" s="2196" t="s">
        <x:v>789</x:v>
      </x:c>
      <x:c r="EN12" s="2243" t="s">
        <x:v>588</x:v>
      </x:c>
      <x:c r="EO12" s="2244"/>
      <x:c r="EP12" s="2244"/>
      <x:c r="EQ12" s="2196" t="s">
        <x:v>589</x:v>
      </x:c>
      <x:c r="ER12" s="2231" t="s">
        <x:v>786</x:v>
      </x:c>
      <x:c r="ES12" s="2232"/>
      <x:c r="ET12" s="2299"/>
      <x:c r="EU12" s="2300"/>
      <x:c r="FW12" s="2"/>
      <x:c r="FX12" s="2"/>
      <x:c r="FY12" s="2"/>
      <x:c r="FZ12" s="2"/>
      <x:c r="GA12" s="2118" t="s">
        <x:v>708</x:v>
      </x:c>
      <x:c r="GB12" s="2119"/>
      <x:c r="GC12" s="2118" t="s">
        <x:v>558</x:v>
      </x:c>
      <x:c r="GD12" s="2119"/>
      <x:c r="GE12" s="2120" t="s">
        <x:v>711</x:v>
      </x:c>
      <x:c r="GF12" s="2122" t="s">
        <x:v>632</x:v>
      </x:c>
      <x:c r="GG12" s="2118" t="s">
        <x:v>1142</x:v>
      </x:c>
      <x:c r="GH12" s="2119"/>
      <x:c r="GI12" s="2118" t="s">
        <x:v>1141</x:v>
      </x:c>
      <x:c r="GJ12" s="2119"/>
      <x:c r="GK12" s="2123" t="s">
        <x:v>712</x:v>
      </x:c>
      <x:c r="GL12" s="2123" t="s">
        <x:v>713</x:v>
      </x:c>
      <x:c r="GM12" s="2123" t="s">
        <x:v>714</x:v>
      </x:c>
      <x:c r="HA12" s="2175" t="s">
        <x:v>632</x:v>
      </x:c>
      <x:c r="HB12" s="2177" t="s">
        <x:v>1134</x:v>
      </x:c>
      <x:c r="HC12" s="2177" t="s">
        <x:v>1159</x:v>
      </x:c>
      <x:c r="HD12" s="2177" t="str">
        <x:f>IF($HA$1,"Bay Length","Overall Length")</x:f>
        <x:v>Overall Length</x:v>
      </x:c>
      <x:c r="HE12" s="2192"/>
      <x:c r="HF12" s="2177" t="str">
        <x:f>IF($HA$1,"L Sect #","TC Width")</x:f>
        <x:v>TC Width</x:v>
      </x:c>
      <x:c r="HG12" s="2185" t="str">
        <x:f>IF($HA$1,"L Min Sup Wid","TCXL Feet")</x:f>
        <x:v>TCXL Feet</x:v>
      </x:c>
      <x:c r="HH12" s="2185" t="str">
        <x:f>IF($HA$1,"L Max Sup Wid","TCXL Inch")</x:f>
        <x:v>TCXL Inch</x:v>
      </x:c>
      <x:c r="HI12" s="2185" t="str">
        <x:f>IF($HA$1,"L Min Flg Ga","TCXL Type")</x:f>
        <x:v>TCXL Type</x:v>
      </x:c>
      <x:c r="HJ12" s="2185" t="str">
        <x:f>IF($HA$1,"L Max Flg Ga","TCXR Feet")</x:f>
        <x:v>TCXR Feet</x:v>
      </x:c>
      <x:c r="HK12" s="2185" t="str">
        <x:f>IF($HA$1,"L Skew","TCXR Inch")</x:f>
        <x:v>TCXR Inch</x:v>
      </x:c>
      <x:c r="HL12" s="2185" t="str">
        <x:f>IF($HA$1,"L Brg Slp","TCXR Type")</x:f>
        <x:v>TCXR Type</x:v>
      </x:c>
      <x:c r="HM12" s="2177" t="str">
        <x:f>IF($HA$1,"R Sect #","BDL")</x:f>
        <x:v>BDL</x:v>
      </x:c>
      <x:c r="HN12" s="2185" t="str">
        <x:f>IF($HA$1,"R Min Sup Wid","BDR")</x:f>
        <x:v>BDR</x:v>
      </x:c>
      <x:c r="HO12" s="2185" t="str">
        <x:f>IF($HA$1,"R Max Sup Wid","BCXL Feet")</x:f>
        <x:v>BCXL Feet</x:v>
      </x:c>
      <x:c r="HP12" s="2185" t="str">
        <x:f>IF($HA$1,"R Min Flg Ga","BCXL Inch")</x:f>
        <x:v>BCXL Inch</x:v>
      </x:c>
      <x:c r="HQ12" s="2185" t="str">
        <x:f>IF($HA$1,"R Max Flg Ga","BCXR Feet")</x:f>
        <x:v>BCXR Feet</x:v>
      </x:c>
      <x:c r="HR12" s="2185" t="str">
        <x:f>IF($HA$1,"R Skew","BCXR Inch")</x:f>
        <x:v>BCXR Inch</x:v>
      </x:c>
      <x:c r="HS12" s="2185" t="str">
        <x:f>IF($HA$1,"R Brg Slp","HL Feet")</x:f>
        <x:v>HL Feet</x:v>
      </x:c>
      <x:c r="HT12" s="2185" t="str">
        <x:f>IF($HA$1,"TC Slope","HL Inch")</x:f>
        <x:v>HL Inch</x:v>
      </x:c>
      <x:c r="HU12" s="2185" t="str">
        <x:f>IF($HA$1,"Load Notes","HR Feet")</x:f>
        <x:v>HR Feet</x:v>
      </x:c>
      <x:c r="HV12" s="2185" t="str">
        <x:f>IF($HA$1,"Spcl Notes","HR Inch")</x:f>
        <x:v>HR Inch</x:v>
      </x:c>
      <x:c r="HW12" s="2185" t="str">
        <x:f>IF($HA$1,"# KB","Slot Ga")</x:f>
        <x:v>Slot Ga</x:v>
      </x:c>
      <x:c r="HX12" s="2185" t="str">
        <x:f>IF($HA$1,"TC Width","L Seat Slp")</x:f>
        <x:v>L Seat Slp</x:v>
      </x:c>
      <x:c r="HY12" s="2185" t="str">
        <x:f>IF($HA$1,"TCL Override","R Seat Slp")</x:f>
        <x:v>R Seat Slp</x:v>
      </x:c>
      <x:c r="HZ12" s="2185" t="str">
        <x:f>IF($HA$1,"TCR Override","Load Notes")</x:f>
        <x:v>Load Notes</x:v>
      </x:c>
      <x:c r="IA12" s="2185" t="str">
        <x:f>IF($HA$1,"L-BL Override","Spcl Notes")</x:f>
        <x:v>Spcl Notes</x:v>
      </x:c>
      <x:c r="IB12" s="2246" t="str">
        <x:f>IF($HA$1,"R-BL Override","# KB")</x:f>
        <x:v># KB</x:v>
      </x:c>
      <x:c r="IC12" s="2185" t="str">
        <x:f>IF($HA$1,"BDL Override","-")</x:f>
        <x:v>-</x:v>
      </x:c>
      <x:c r="ID12" s="2294" t="str">
        <x:f>IF($HA$1,"BDR Override","-")</x:f>
        <x:v>-</x:v>
      </x:c>
      <x:c r="IE12" s="2168" t="s">
        <x:v>632</x:v>
      </x:c>
      <x:c r="IF12" s="2098" t="s">
        <x:v>1161</x:v>
      </x:c>
      <x:c r="IG12" s="2098" t="s">
        <x:v>1162</x:v>
      </x:c>
      <x:c r="IH12" s="2098" t="s">
        <x:v>1163</x:v>
      </x:c>
      <x:c r="II12" s="2098" t="s">
        <x:v>1164</x:v>
      </x:c>
      <x:c r="IJ12" s="2098" t="s">
        <x:v>1166</x:v>
      </x:c>
      <x:c r="IK12" s="2098" t="s">
        <x:v>1165</x:v>
      </x:c>
      <x:c r="IL12" s="2098" t="str">
        <x:f>IF($HA$1,"Load (Kip)","Panel ""B"" Feet")</x:f>
        <x:v>Panel "B" Feet</x:v>
      </x:c>
      <x:c r="IM12" s="2098" t="str">
        <x:f>IF($HA$1,"OSHA N/F/B","Panel ""B"" Inch")</x:f>
        <x:v>Panel "B" Inch</x:v>
      </x:c>
      <x:c r="IN12" s="2098" t="str">
        <x:f>IF($HA$1,"Girder TC Ga","Load (Kip)")</x:f>
        <x:v>Load (Kip)</x:v>
      </x:c>
      <x:c r="IO12" s="2098" t="str">
        <x:f>IF($HA$1,"Jst Hole (x/16)","OSHA N/F/B")</x:f>
        <x:v>OSHA N/F/B</x:v>
      </x:c>
      <x:c r="IP12" s="2098" t="str">
        <x:f>IF($HA$1,"Joist Gage","Girder TC Gage")</x:f>
        <x:v>Girder TC Gage</x:v>
      </x:c>
      <x:c r="IQ12" s="2098" t="str">
        <x:f>IF($HA$1,"TC Hole L","Girder TC Hole (x/16)")</x:f>
        <x:v>Girder TC Hole (x/16)</x:v>
      </x:c>
      <x:c r="IR12" s="2098" t="str">
        <x:f>IF($HA$1,"TC Hole R","Joist Gage")</x:f>
        <x:v>Joist Gage</x:v>
      </x:c>
      <x:c r="IS12" s="2098" t="str">
        <x:f>IF($HA$1,"Add Jst#1 Feet","TCHoleL")</x:f>
        <x:v>TCHoleL</x:v>
      </x:c>
      <x:c r="IT12" s="2098" t="str">
        <x:f>IF($HA$1,"Add Jst#1 Inch","TC Hole R")</x:f>
        <x:v>TC Hole R</x:v>
      </x:c>
      <x:c r="IU12" s="2098" t="str">
        <x:f>IF($HA$1,"Add Jst#1 Load","Add Jst#1 Feet")</x:f>
        <x:v>Add Jst#1 Feet</x:v>
      </x:c>
      <x:c r="IV12" s="2098" t="str">
        <x:f>IF($HA$1,"Add Jst#1 Bolt N/F/B","Add Jst#1 inch")</x:f>
        <x:v>Add Jst#1 inch</x:v>
      </x:c>
      <x:c r="IW12" s="2098" t="str">
        <x:f>IF($HA$1,"Add Jst#2 Feet","Add Jst#1 Load")</x:f>
        <x:v>Add Jst#1 Load</x:v>
      </x:c>
      <x:c r="IX12" s="2098" t="str">
        <x:f>IF($HA$1,"Add Jst#2 Inch","Add Jst#1 Bolt N/F/B")</x:f>
        <x:v>Add Jst#1 Bolt N/F/B</x:v>
      </x:c>
      <x:c r="IY12" s="2098" t="str">
        <x:f>IF($HA$1,"Add Jst#2 Load","Add Jst#2 Feet")</x:f>
        <x:v>Add Jst#2 Feet</x:v>
      </x:c>
      <x:c r="IZ12" s="2098" t="str">
        <x:f>IF($HA$1,"Add Jst#2 Bolt N/F/B","Add Jst#2 inch")</x:f>
        <x:v>Add Jst#2 inch</x:v>
      </x:c>
      <x:c r="JA12" s="2098" t="str">
        <x:f>IF($HA$1,"Add Jst#3 Feet","Add Jst#2 Load")</x:f>
        <x:v>Add Jst#2 Load</x:v>
      </x:c>
      <x:c r="JB12" s="2098" t="str">
        <x:f>IF($HA$1,"Add Jst#3 Inch","Add Jst#2 Bolt N/F/B")</x:f>
        <x:v>Add Jst#2 Bolt N/F/B</x:v>
      </x:c>
      <x:c r="JC12" s="2098" t="str">
        <x:f>IF($HA$1,"Add Jst#3 Load","Add Jst#3 Feet")</x:f>
        <x:v>Add Jst#3 Feet</x:v>
      </x:c>
      <x:c r="JD12" s="2098" t="str">
        <x:f>IF($HA$1,"Add Jst#3 Bolt N/F/B","Add Jst#3 inch")</x:f>
        <x:v>Add Jst#3 inch</x:v>
      </x:c>
      <x:c r="JE12" s="2098" t="str">
        <x:f>IF($HA$1,"Add Jst#4 Feet","Add Jst#3 Load")</x:f>
        <x:v>Add Jst#3 Load</x:v>
      </x:c>
      <x:c r="JF12" s="2098" t="str">
        <x:f>IF($HA$1,"Add Jst#4 Inch","Add Jst#3 Bolt N/F/B")</x:f>
        <x:v>Add Jst#3 Bolt N/F/B</x:v>
      </x:c>
      <x:c r="JG12" s="2098" t="str">
        <x:f>IF($HA$1,"Add Jst#4 Load","Add Jst#4 Feet")</x:f>
        <x:v>Add Jst#4 Feet</x:v>
      </x:c>
      <x:c r="JH12" s="2098" t="str">
        <x:f>IF($HA$1,"Add Jst#4 Bolt N/F/B","Add Jst#4 inch")</x:f>
        <x:v>Add Jst#4 inch</x:v>
      </x:c>
      <x:c r="JI12" s="2098" t="str">
        <x:f>IF($HA$1,"-","Add Jst#4 Load")</x:f>
        <x:v>Add Jst#4 Load</x:v>
      </x:c>
      <x:c r="JJ12" s="2098" t="str">
        <x:f>IF($HA$1,"-","Add Jst#4 Bolt N/F/B")</x:f>
        <x:v>Add Jst#4 Bolt N/F/B</x:v>
      </x:c>
      <x:c r="JK12" s="2254" t="str">
        <x:f>IF($HA$1,"# Rows Req'd","# Rows Req'd")</x:f>
        <x:v># Rows Req'd</x:v>
      </x:c>
      <x:c r="JL12" s="2256" t="s">
        <x:v>1168</x:v>
      </x:c>
      <x:c r="JM12" s="1193"/>
      <x:c r="JN12" s="1193"/>
      <x:c r="JO12" s="1193"/>
    </x:row>
    <x:row r="13" spans="1:276" ht="21" customHeight="1" thickTop="1" thickBot="1" x14ac:dyDescent="0.3">
      <x:c r="A13" s="2068"/>
      <x:c r="B13" s="2069"/>
      <x:c r="C13" s="2069"/>
      <x:c r="D13" s="2069"/>
      <x:c r="E13" s="2073"/>
      <x:c r="F13" s="2079"/>
      <x:c r="G13" s="1977" t="s">
        <x:v>16</x:v>
      </x:c>
      <x:c r="H13" s="2070"/>
      <x:c r="I13" s="1102" t="s">
        <x:v>732</x:v>
      </x:c>
      <x:c r="J13" s="2070" t="s">
        <x:v>16</x:v>
      </x:c>
      <x:c r="K13" s="2070"/>
      <x:c r="L13" s="1065" t="s">
        <x:v>732</x:v>
      </x:c>
      <x:c r="M13" s="1106" t="s">
        <x:v>18</x:v>
      </x:c>
      <x:c r="N13" s="461" t="s">
        <x:v>19</x:v>
      </x:c>
      <x:c r="O13" s="2074"/>
      <x:c r="P13" s="2075"/>
      <x:c r="Q13" s="2075"/>
      <x:c r="R13" s="2086"/>
      <x:c r="S13" s="1980" t="s">
        <x:v>80</x:v>
      </x:c>
      <x:c r="T13" s="2070"/>
      <x:c r="U13" s="2070" t="s">
        <x:v>81</x:v>
      </x:c>
      <x:c r="V13" s="2070"/>
      <x:c r="W13" s="461" t="s">
        <x:v>27</x:v>
      </x:c>
      <x:c r="X13" s="1101" t="s">
        <x:v>112</x:v>
      </x:c>
      <x:c r="Y13" s="1065" t="s">
        <x:v>113</x:v>
      </x:c>
      <x:c r="Z13" s="1117" t="s">
        <x:v>57</x:v>
      </x:c>
      <x:c r="AA13" s="2289"/>
      <x:c r="AB13" s="2068"/>
      <x:c r="AC13" s="1962"/>
      <x:c r="AD13" s="1965"/>
      <x:c r="AE13" s="1966"/>
      <x:c r="AF13" s="1102" t="s">
        <x:v>33</x:v>
      </x:c>
      <x:c r="AG13" s="2070" t="s">
        <x:v>16</x:v>
      </x:c>
      <x:c r="AH13" s="2070"/>
      <x:c r="AI13" s="1965"/>
      <x:c r="AJ13" s="1966"/>
      <x:c r="AK13" s="1971"/>
      <x:c r="AL13" s="1118" t="s">
        <x:v>738</x:v>
      </x:c>
      <x:c r="AM13" s="1103" t="s">
        <x:v>735</x:v>
      </x:c>
      <x:c r="AN13" s="1103" t="s">
        <x:v>736</x:v>
      </x:c>
      <x:c r="AO13" s="1104" t="s">
        <x:v>60</x:v>
      </x:c>
      <x:c r="AP13" s="1105" t="s">
        <x:v>739</x:v>
      </x:c>
      <x:c r="AQ13" s="1119" t="s">
        <x:v>740</x:v>
      </x:c>
      <x:c r="AR13" s="1978" t="s">
        <x:v>58</x:v>
      </x:c>
      <x:c r="AS13" s="1977"/>
      <x:c r="AT13" s="1120" t="s">
        <x:v>63</x:v>
      </x:c>
      <x:c r="AU13" s="1121" t="s">
        <x:v>59</x:v>
      </x:c>
      <x:c r="AV13" s="1979" t="s">
        <x:v>58</x:v>
      </x:c>
      <x:c r="AW13" s="1980"/>
      <x:c r="AX13" s="1120" t="s">
        <x:v>63</x:v>
      </x:c>
      <x:c r="AY13" s="1121" t="s">
        <x:v>59</x:v>
      </x:c>
      <x:c r="AZ13" s="1979" t="s">
        <x:v>58</x:v>
      </x:c>
      <x:c r="BA13" s="1980"/>
      <x:c r="BB13" s="1120" t="s">
        <x:v>63</x:v>
      </x:c>
      <x:c r="BC13" s="1121" t="s">
        <x:v>59</x:v>
      </x:c>
      <x:c r="BD13" s="1979" t="s">
        <x:v>58</x:v>
      </x:c>
      <x:c r="BE13" s="1980"/>
      <x:c r="BF13" s="1120" t="s">
        <x:v>63</x:v>
      </x:c>
      <x:c r="BG13" s="1121" t="s">
        <x:v>59</x:v>
      </x:c>
      <x:c r="BH13" s="1416"/>
      <x:c r="BJ13" s="517" t="s">
        <x:v>632</x:v>
      </x:c>
      <x:c r="BK13" s="518" t="s">
        <x:v>788</x:v>
      </x:c>
      <x:c r="BL13" s="370" t="s">
        <x:v>170</x:v>
      </x:c>
      <x:c r="BM13" s="370" t="s">
        <x:v>171</x:v>
      </x:c>
      <x:c r="BN13" s="370" t="s">
        <x:v>172</x:v>
      </x:c>
      <x:c r="BO13" s="370" t="s">
        <x:v>417</x:v>
      </x:c>
      <x:c r="BP13" s="370" t="s">
        <x:v>418</x:v>
      </x:c>
      <x:c r="BQ13" s="370" t="s">
        <x:v>419</x:v>
      </x:c>
      <x:c r="BR13" s="370" t="s">
        <x:v>179</x:v>
      </x:c>
      <x:c r="BS13" s="370" t="s">
        <x:v>176</x:v>
      </x:c>
      <x:c r="BT13" s="370" t="s">
        <x:v>174</x:v>
      </x:c>
      <x:c r="BU13" s="370" t="s">
        <x:v>177</x:v>
      </x:c>
      <x:c r="BV13" s="370" t="s">
        <x:v>178</x:v>
      </x:c>
      <x:c r="BW13" s="371" t="s">
        <x:v>631</x:v>
      </x:c>
      <x:c r="BX13" s="372" t="s">
        <x:v>632</x:v>
      </x:c>
      <x:c r="BY13" s="372" t="s">
        <x:v>170</x:v>
      </x:c>
      <x:c r="BZ13" s="518" t="s">
        <x:v>788</x:v>
      </x:c>
      <x:c r="CB13" s="2128"/>
      <x:c r="CC13" s="2057"/>
      <x:c r="CD13" s="2130"/>
      <x:c r="CE13" s="2054"/>
      <x:c r="CF13" s="2055"/>
      <x:c r="CG13" s="2221"/>
      <x:c r="CH13" s="2224"/>
      <x:c r="CI13" s="2225"/>
      <x:c r="CJ13" s="2224"/>
      <x:c r="CK13" s="2225"/>
      <x:c r="CL13" s="2239"/>
      <x:c r="CM13" s="2241"/>
      <x:c r="CN13" s="1546" t="s">
        <x:v>1283</x:v>
      </x:c>
      <x:c r="CO13" s="1547" t="s">
        <x:v>1278</x:v>
      </x:c>
      <x:c r="CP13" s="1548" t="s">
        <x:v>501</x:v>
      </x:c>
      <x:c r="CQ13" s="2227"/>
      <x:c r="CR13" s="2130"/>
      <x:c r="CS13" s="2230"/>
      <x:c r="CT13" s="2130"/>
      <x:c r="CU13" s="2230"/>
      <x:c r="CV13" s="2057"/>
      <x:c r="CW13" s="2237"/>
      <x:c r="CX13" s="1546" t="s">
        <x:v>1283</x:v>
      </x:c>
      <x:c r="CY13" s="1547" t="s">
        <x:v>1278</x:v>
      </x:c>
      <x:c r="CZ13" s="1548" t="s">
        <x:v>501</x:v>
      </x:c>
      <x:c r="DA13" s="2219"/>
      <x:c r="DB13" s="431" t="s">
        <x:v>418</x:v>
      </x:c>
      <x:c r="DC13" s="432" t="s">
        <x:v>553</x:v>
      </x:c>
      <x:c r="DD13" s="2234"/>
      <x:c r="DE13" s="2234"/>
      <x:c r="DF13" s="141"/>
      <x:c r="DG13" s="141"/>
      <x:c r="DH13" s="2006"/>
      <x:c r="DI13" s="2012"/>
      <x:c r="DJ13" s="1985"/>
      <x:c r="DK13" s="1986"/>
      <x:c r="DL13" s="1988"/>
      <x:c r="DM13" s="1991"/>
      <x:c r="DN13" s="1992"/>
      <x:c r="DO13" s="2003"/>
      <x:c r="DP13" s="2260"/>
      <x:c r="DQ13" s="2014"/>
      <x:c r="DR13" s="1922"/>
      <x:c r="DS13" s="2014"/>
      <x:c r="DT13" s="1602" t="s">
        <x:v>606</x:v>
      </x:c>
      <x:c r="DU13" s="1603" t="s">
        <x:v>607</x:v>
      </x:c>
      <x:c r="DV13" s="1580" t="s">
        <x:v>633</x:v>
      </x:c>
      <x:c r="DW13" s="1581" t="s">
        <x:v>608</x:v>
      </x:c>
      <x:c r="DX13" s="2008"/>
      <x:c r="DY13" s="2010"/>
      <x:c r="DZ13" s="1580" t="s">
        <x:v>633</x:v>
      </x:c>
      <x:c r="EA13" s="1581" t="s">
        <x:v>608</x:v>
      </x:c>
      <x:c r="EB13" s="2008"/>
      <x:c r="EC13" s="2010"/>
      <x:c r="ED13" s="1580" t="s">
        <x:v>633</x:v>
      </x:c>
      <x:c r="EE13" s="1581" t="s">
        <x:v>608</x:v>
      </x:c>
      <x:c r="EF13" s="2008"/>
      <x:c r="EG13" s="2010"/>
      <x:c r="EH13" s="1580" t="s">
        <x:v>633</x:v>
      </x:c>
      <x:c r="EI13" s="1581" t="s">
        <x:v>608</x:v>
      </x:c>
      <x:c r="EJ13" s="2008"/>
      <x:c r="EK13" s="2195"/>
      <x:c r="EL13" s="241"/>
      <x:c r="EM13" s="2242"/>
      <x:c r="EN13" s="522" t="s">
        <x:v>585</x:v>
      </x:c>
      <x:c r="EO13" s="433" t="s">
        <x:v>586</x:v>
      </x:c>
      <x:c r="EP13" s="434" t="s">
        <x:v>587</x:v>
      </x:c>
      <x:c r="EQ13" s="2242"/>
      <x:c r="ER13" s="536" t="s">
        <x:v>606</x:v>
      </x:c>
      <x:c r="ES13" s="537" t="s">
        <x:v>607</x:v>
      </x:c>
      <x:c r="ET13" s="436" t="s">
        <x:v>520</x:v>
      </x:c>
      <x:c r="EU13" s="437" t="s">
        <x:v>169</x:v>
      </x:c>
      <x:c r="EX13" s="372" t="s">
        <x:v>632</x:v>
      </x:c>
      <x:c r="EY13" s="939" t="s">
        <x:v>1061</x:v>
      </x:c>
      <x:c r="EZ13" s="941" t="s">
        <x:v>1063</x:v>
      </x:c>
      <x:c r="FA13" s="134" t="s">
        <x:v>1099</x:v>
      </x:c>
      <x:c r="FB13" s="957" t="s">
        <x:v>176</x:v>
      </x:c>
      <x:c r="FC13" s="957" t="s">
        <x:v>32</x:v>
      </x:c>
      <x:c r="FD13" s="957" t="s">
        <x:v>34</x:v>
      </x:c>
      <x:c r="FE13" s="957" t="s">
        <x:v>35</x:v>
      </x:c>
      <x:c r="FF13" s="958" t="s">
        <x:v>1100</x:v>
      </x:c>
      <x:c r="FN13" s="1283" t="s">
        <x:v>1101</x:v>
      </x:c>
      <x:c r="FO13" s="1284" t="s">
        <x:v>1205</x:v>
      </x:c>
      <x:c r="FP13" s="939" t="s">
        <x:v>1101</x:v>
      </x:c>
      <x:c r="FQ13" s="1284" t="s">
        <x:v>1206</x:v>
      </x:c>
      <x:c r="FW13" s="2"/>
      <x:c r="FX13" s="2"/>
      <x:c r="FZ13" s="2"/>
      <x:c r="GA13" s="542" t="s">
        <x:v>709</x:v>
      </x:c>
      <x:c r="GB13" s="543" t="s">
        <x:v>710</x:v>
      </x:c>
      <x:c r="GC13" s="542" t="s">
        <x:v>606</x:v>
      </x:c>
      <x:c r="GD13" s="543" t="s">
        <x:v>607</x:v>
      </x:c>
      <x:c r="GE13" s="2121"/>
      <x:c r="GF13" s="2121"/>
      <x:c r="GG13" s="542" t="s">
        <x:v>709</x:v>
      </x:c>
      <x:c r="GH13" s="543" t="s">
        <x:v>710</x:v>
      </x:c>
      <x:c r="GI13" s="542" t="s">
        <x:v>709</x:v>
      </x:c>
      <x:c r="GJ13" s="543" t="s">
        <x:v>710</x:v>
      </x:c>
      <x:c r="GK13" s="2124"/>
      <x:c r="GL13" s="2124"/>
      <x:c r="GM13" s="2124"/>
      <x:c r="HA13" s="2273"/>
      <x:c r="HB13" s="2261"/>
      <x:c r="HC13" s="2261"/>
      <x:c r="HD13" s="2261"/>
      <x:c r="HE13" s="2261"/>
      <x:c r="HF13" s="2261"/>
      <x:c r="HG13" s="2261"/>
      <x:c r="HH13" s="2261"/>
      <x:c r="HI13" s="2261"/>
      <x:c r="HJ13" s="2261"/>
      <x:c r="HK13" s="2261"/>
      <x:c r="HL13" s="2261"/>
      <x:c r="HM13" s="2261"/>
      <x:c r="HN13" s="2261"/>
      <x:c r="HO13" s="2261"/>
      <x:c r="HP13" s="2261"/>
      <x:c r="HQ13" s="2261"/>
      <x:c r="HR13" s="2261"/>
      <x:c r="HS13" s="2261"/>
      <x:c r="HT13" s="2261"/>
      <x:c r="HU13" s="2261"/>
      <x:c r="HV13" s="2261"/>
      <x:c r="HW13" s="2261"/>
      <x:c r="HX13" s="2261"/>
      <x:c r="HY13" s="2261"/>
      <x:c r="HZ13" s="2261"/>
      <x:c r="IA13" s="2261"/>
      <x:c r="IB13" s="2293"/>
      <x:c r="IC13" s="2261"/>
      <x:c r="ID13" s="2295"/>
      <x:c r="IE13" s="2169"/>
      <x:c r="IF13" s="2099"/>
      <x:c r="IG13" s="2099"/>
      <x:c r="IH13" s="2099"/>
      <x:c r="II13" s="2099"/>
      <x:c r="IJ13" s="2099"/>
      <x:c r="IK13" s="2099"/>
      <x:c r="IL13" s="2099"/>
      <x:c r="IM13" s="2099"/>
      <x:c r="IN13" s="2099"/>
      <x:c r="IO13" s="2099"/>
      <x:c r="IP13" s="2099"/>
      <x:c r="IQ13" s="2099"/>
      <x:c r="IR13" s="2099"/>
      <x:c r="IS13" s="2099"/>
      <x:c r="IT13" s="2099"/>
      <x:c r="IU13" s="2099"/>
      <x:c r="IV13" s="2099"/>
      <x:c r="IW13" s="2099"/>
      <x:c r="IX13" s="2099"/>
      <x:c r="IY13" s="2099"/>
      <x:c r="IZ13" s="2099"/>
      <x:c r="JA13" s="2099"/>
      <x:c r="JB13" s="2099"/>
      <x:c r="JC13" s="2099"/>
      <x:c r="JD13" s="2099"/>
      <x:c r="JE13" s="2099"/>
      <x:c r="JF13" s="2099"/>
      <x:c r="JG13" s="2099"/>
      <x:c r="JH13" s="2099"/>
      <x:c r="JI13" s="2099"/>
      <x:c r="JJ13" s="2099"/>
      <x:c r="JK13" s="2255"/>
      <x:c r="JL13" s="2257"/>
      <x:c r="JM13" s="1193"/>
      <x:c r="JN13" s="1193"/>
      <x:c r="JO13" s="1193"/>
    </x:row>
    <x:row r="14" spans="1:276" ht="12.6" customHeight="1" thickTop="1" x14ac:dyDescent="0.25">
      <x:c r="A14" s="2799" t="s">
        <x:v>1417</x:v>
      </x:c>
      <x:c r="B14" s="2829">
        <x:v>2</x:v>
      </x:c>
      <x:c r="C14" s="2830" t="s">
        <x:v>1587</x:v>
      </x:c>
      <x:c r="D14" s="2801">
        <x:v>55</x:v>
      </x:c>
      <x:c r="E14" s="2831">
        <x:v>6.25</x:v>
      </x:c>
      <x:c r="F14" s="2832">
        <x:v>11.125</x:v>
      </x:c>
      <x:c r="G14" s="2809">
        <x:v>0</x:v>
      </x:c>
      <x:c r="H14" s="2802">
        <x:v>1.75</x:v>
      </x:c>
      <x:c r="I14" s="2800" t="s">
        <x:v>113</x:v>
      </x:c>
      <x:c r="J14" s="2801">
        <x:v>0</x:v>
      </x:c>
      <x:c r="K14" s="2802">
        <x:v>0.5</x:v>
      </x:c>
      <x:c r="L14" s="2833" t="s">
        <x:v>113</x:v>
      </x:c>
      <x:c r="M14" s="2807">
        <x:v>7.5</x:v>
      </x:c>
      <x:c r="N14" s="2834">
        <x:v>7.5</x:v>
      </x:c>
      <x:c r="O14" s="2809">
        <x:v>0</x:v>
      </x:c>
      <x:c r="P14" s="2802">
        <x:v>6.75</x:v>
      </x:c>
      <x:c r="Q14" s="2801">
        <x:v>0</x:v>
      </x:c>
      <x:c r="R14" s="2831">
        <x:v>5.5</x:v>
      </x:c>
      <x:c r="S14" s="2835">
        <x:v>0</x:v>
      </x:c>
      <x:c r="T14" s="2802">
        <x:v>6.25</x:v>
      </x:c>
      <x:c r="U14" s="2801">
        <x:v>0</x:v>
      </x:c>
      <x:c r="V14" s="2802">
        <x:v>5</x:v>
      </x:c>
      <x:c r="W14" s="2834">
        <x:v>5</x:v>
      </x:c>
      <x:c r="X14" s="2836" t="str">
        <x:f t="shared" ref="X14:X45" si="0">IF(EN54="","",EN54)</x:f>
        <x:v/>
      </x:c>
      <x:c r="Y14" s="2837" t="str">
        <x:f t="shared" ref="Y14:Y45" si="1">IF(ES54="","",ES54)</x:f>
        <x:v/>
      </x:c>
      <x:c r="Z14" s="2779" t="s">
        <x:v>1632</x:v>
      </x:c>
      <x:c r="AA14" s="2838" t="str">
        <x:f t="shared" ref="AA14:AA45" si="2">IF(ISBLANK(DD14),"",DD14)</x:f>
        <x:v/>
      </x:c>
      <x:c r="AB14" s="2799" t="s">
        <x:v>1417</x:v>
      </x:c>
      <x:c r="AC14" s="2800" t="s">
        <x:v>35</x:v>
      </x:c>
      <x:c r="AD14" s="2801">
        <x:v>6</x:v>
      </x:c>
      <x:c r="AE14" s="2802">
        <x:v>0.375</x:v>
      </x:c>
      <x:c r="AF14" s="2800">
        <x:v>7</x:v>
      </x:c>
      <x:c r="AG14" s="2801">
        <x:v>6</x:v>
      </x:c>
      <x:c r="AH14" s="2802">
        <x:v>2.75</x:v>
      </x:c>
      <x:c r="AI14" s="2801">
        <x:v>5</x:v>
      </x:c>
      <x:c r="AJ14" s="2802">
        <x:v>8.375</x:v>
      </x:c>
      <x:c r="AK14" s="2803" t="str">
        <x:f t="shared" ref="AK14:AO45" si="3">IF(ISBLANK(DO14),"",DO14)</x:f>
        <x:v/>
      </x:c>
      <x:c r="AL14" s="2804" t="s">
        <x:v>35</x:v>
      </x:c>
      <x:c r="AM14" s="2805">
        <x:v>5</x:v>
      </x:c>
      <x:c r="AN14" s="2800">
        <x:v>13</x:v>
      </x:c>
      <x:c r="AO14" s="2834">
        <x:v>4</x:v>
      </x:c>
      <x:c r="AP14" s="2807">
        <x:v>1.75</x:v>
      </x:c>
      <x:c r="AQ14" s="2808" t="str">
        <x:f t="shared" ref="AP14:AQ45" si="4">IF(ISERROR(GE54),"ERR",IF(OR(GE54="",GE54=0),"",GE54))</x:f>
        <x:v/>
      </x:c>
      <x:c r="AR14" s="2809" t="str">
        <x:f t="shared" ref="AR14:AR45" si="5">IF(ISERROR(GF54),"ERR",IF(GF54="","",IF(ISTEXT(GF54),"P",TRUNC(GF54/12))))</x:f>
        <x:v/>
      </x:c>
      <x:c r="AS14" s="2802" t="str">
        <x:f t="shared" ref="AS14:AS45" si="6">IF(ISERROR(GF54),"",IF(GF54="","",IF(AR14="P",GF54,GF54-(AR14*12))))</x:f>
        <x:v/>
      </x:c>
      <x:c r="AT14" s="2810" t="str">
        <x:f t="shared" ref="AT14:AT45" si="7">IF(ISBLANK(DX14),"",DX14)</x:f>
        <x:v/>
      </x:c>
      <x:c r="AU14" s="2812" t="str">
        <x:f t="shared" ref="AU14:AU45" si="8">IF(ISBLANK(DY14),"",UPPER(DY14))</x:f>
        <x:v/>
      </x:c>
      <x:c r="AV14" s="2835" t="str">
        <x:f t="shared" ref="AV14:AV45" si="9">IF(ISERROR(GG54),"ERR",IF(GG54="","",IF(ISTEXT(GG54),"P",TRUNC(GG54/12))))</x:f>
        <x:v/>
      </x:c>
      <x:c r="AW14" s="2802" t="str">
        <x:f t="shared" ref="AW14:AW45" si="10">IF(ISERROR(GG54),"",IF(GG54="","",IF(AV14="P",GG54,GG54-(AV14*12))))</x:f>
        <x:v/>
      </x:c>
      <x:c r="AX14" s="2810" t="str">
        <x:f t="shared" ref="AX14:AX45" si="11">IF(ISBLANK(EB14),"",EB14)</x:f>
        <x:v/>
      </x:c>
      <x:c r="AY14" s="2812" t="str">
        <x:f t="shared" ref="AY14:AY45" si="12">IF(ISBLANK(EC14),"",UPPER(EC14))</x:f>
        <x:v/>
      </x:c>
      <x:c r="AZ14" s="2835" t="str">
        <x:f t="shared" ref="AZ14:AZ45" si="13">IF(ISERROR(GH54),"ERR",IF(GH54="","",IF(ISTEXT(GH54),"P",TRUNC(GH54/12))))</x:f>
        <x:v/>
      </x:c>
      <x:c r="BA14" s="2802" t="str">
        <x:f t="shared" ref="BA14:BA45" si="14">IF(ISERROR(GH54),"",IF(GH54="","",IF(AZ14="P",GH54,GH54-(AZ14*12))))</x:f>
        <x:v/>
      </x:c>
      <x:c r="BB14" s="2810" t="str">
        <x:f t="shared" ref="BB14:BB45" si="15">IF(ISBLANK(EF14),"",EF14)</x:f>
        <x:v/>
      </x:c>
      <x:c r="BC14" s="2812" t="str">
        <x:f t="shared" ref="BC14:BC45" si="16">IF(ISBLANK(EG14),"",UPPER(EG14))</x:f>
        <x:v/>
      </x:c>
      <x:c r="BD14" s="2835" t="str">
        <x:f t="shared" ref="BD14:BD45" si="17">IF(ISERROR(GI54),"ERR",IF(GI54="","",IF(ISTEXT(GI54),"P",TRUNC(GI54/12))))</x:f>
        <x:v/>
      </x:c>
      <x:c r="BE14" s="2802" t="str">
        <x:f t="shared" ref="BE14:BE45" si="18">IF(ISERROR(GI54),"",IF(GI54="","",IF(BD14="P",GI54,GI54-(BD14*12))))</x:f>
        <x:v/>
      </x:c>
      <x:c r="BF14" s="2810" t="str">
        <x:f t="shared" ref="BF14:BF45" si="19">IF(ISBLANK(EJ14),"",EJ14)</x:f>
        <x:v/>
      </x:c>
      <x:c r="BG14" s="2812" t="str">
        <x:f t="shared" ref="BG14:BG45" si="20">IF(ISBLANK(EK14),"",UPPER(EK14))</x:f>
        <x:v/>
      </x:c>
      <x:c r="BH14" s="1416"/>
      <x:c r="BJ14" s="995" t="str">
        <x:f>IF(OR(ISBLANK(A14),A14=""),"",A14)</x:f>
        <x:v>G17</x:v>
      </x:c>
      <x:c r="BK14" s="993" t="b">
        <x:f t="shared" ref="BK14:BK45" si="21">IF($BK$1,IF(BJ14=BJ13,BK13,IF(AND(BJ14&lt;&gt;"",OR(B14=0,B14="")),TRUE,FALSE)),FALSE)</x:f>
        <x:v>0</x:v>
      </x:c>
      <x:c r="BL14" s="1800" t="b">
        <x:v>0</x:v>
      </x:c>
      <x:c r="BM14" s="989">
        <x:f t="shared" ref="BM14:BM45" si="22">IF(C14="",0,VALUE(IF(BN14="","",LEFT(C14,SEARCH(BN14,C14)-1))))</x:f>
        <x:v>52</x:v>
      </x:c>
      <x:c r="BN14" s="989" t="str">
        <x:f t="shared" ref="BN14:BN45" si="23">IF(C14="",0,IF(NOT(ISERROR(SEARCH("VG",C14))),"VG",IF(NOT(ISERROR(SEARCH("BG",C14))),"BG",IF(NOT(ISERROR(SEARCH("G",C14))),"G"))))</x:f>
        <x:v>VG</x:v>
      </x:c>
      <x:c r="BO14" s="989">
        <x:f t="shared" ref="BO14:BO45" si="24">IF(C14="",0,VALUE(MID(C14,SEARCH(BN14,C14)+LEN(BN14),SEARCH("N",C14)-SEARCH(BN14,C14)-LEN(BN14))))</x:f>
        <x:v>9</x:v>
      </x:c>
      <x:c r="BP14" s="989">
        <x:f t="shared" ref="BP14:BP45" si="2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x:f>
        <x:v>18.3</x:v>
      </x:c>
      <x:c r="BQ14" s="989">
        <x:f t="shared" ref="BQ14:BQ45" si="26">IF(ISERROR(SEARCH("F",C14)),IF(C14="",0,IF(SEARCH("K",C14)=LEN(C14),0,VALUE(MID(C14,SEARCH("K",C14)+1,LEN(C14))))),IF(C14="",0,IF(SEARCH("F",C14)=LEN(C14),0,VALUE(MID(C14,SEARCH("F",C14)+1,LEN(C14))))))</x:f>
        <x:v>0</x:v>
      </x:c>
      <x:c r="BR14" s="989" t="b">
        <x:f t="shared" ref="BR14:BR45" si="27">IF(OR(ISERROR(BM14),ISERROR(BN14),ISERROR(BO14),ISERROR(BP14),ISERROR(BQ14)),FALSE,TRUE)</x:f>
        <x:v>1</x:v>
      </x:c>
      <x:c r="BS14" s="1302">
        <x:f t="shared" ref="BS14:BS45" si="28">6+IF(LEFT(I14,1)="R",IF(ISNUMBER(G14),G14*12,0)+IF(ISNUMBER(H14),H14,0),0)</x:f>
        <x:v>7.75</x:v>
      </x:c>
      <x:c r="BT14" s="990" t="str">
        <x:f t="shared" ref="BT14:BT45" si="29">IF(IF(ISNUMBER(S14),S14*12,0)+IF(ISNUMBER(T14),T14,0)&gt;0,IF(AND(IF(ISNUMBER(S14),S14*12,0)+IF(ISNUMBER(T14),T14,0)&gt;=$FE$4/2+$EX$6,IF(ISNUMBER(S14),S14*12,0)+IF(ISNUMBER(T14),T14,0)&lt;=(BS14-($FE$4/2+$EX$6))+IF(I14="X",2,0)),"Yes","No"),"No")</x:f>
        <x:v>Yes</x:v>
      </x:c>
      <x:c r="BU14" s="1302">
        <x:f t="shared" ref="BU14:BU45" si="30">6+IF(LEFT(L14,1)="R",IF(ISNUMBER(J14),J14*12,0)+IF(ISNUMBER(K14),K14,0),0)</x:f>
        <x:v>6.5</x:v>
      </x:c>
      <x:c r="BV14" s="990" t="str">
        <x:f t="shared" ref="BV14:BV45" si="31">IF(IF(ISNUMBER(U14),U14*12,0)+IF(ISNUMBER(V14),V14,0)&gt;0,IF(AND(IF(ISNUMBER(U14),U14*12,0)+IF(ISNUMBER(V14),V14,0)&gt;=$FE$4/2+$EX$6,IF(ISNUMBER(U14),U14*12,0)+IF(ISNUMBER(V14),V14,0)&lt;=(BU14-($FE$4/2+$EX$6))+IF(L14="X",2,0)),"Yes","No"),"No")</x:f>
        <x:v>Yes</x:v>
      </x:c>
      <x:c r="BW14" s="991">
        <x:f t="shared" ref="BW14:BW45" si="32">IF(AB14="",0,1)+IF(AC14="",0,1)+IF(AD14="",0,1)+IF(AE14="",0,1)+IF(AF14="",0,1)+IF(AG14="",0,1)+IF(AH14="",0,1)+IF(AI14="",0,1)+IF(AJ14="",0,1)+IF(AK14="",0,1)+IF(AL14="",0,1)+IF(AM14="",0,1)+IF(AN14="",0,1)+IF(AO14="",0,1)+IF(AP14="",0,1)+IF(AQ14="",0,1)+IF(AR14="",0,1)+IF(AS14="",0,1)+IF(AT14="",0,1)+IF(AU14="",0,1)+IF(AV14="",0,1)+IF(AW14="",0,1)+IF(AX14="",0,1)+IF(AY14="",0,1)+IF(AZ14="",0,1)+IF(BA14="",0,1)+IF(BB14="",0,1)+IF(BC14="",0,1)+IF(BD14="",0,1)+IF(BE14="",0,1)+IF(BF14="",0,1)+IF(BG14="",0,1)</x:f>
        <x:v>14</x:v>
      </x:c>
      <x:c r="BX14" s="991" t="str">
        <x:f t="shared" ref="BX14:BX45" si="33">IF(AND(AB14="",BW14&gt;0),BX13,IF(ISBLANK(AB14),"",AB14))</x:f>
        <x:v>G17</x:v>
      </x:c>
      <x:c r="BY14" s="991" t="b">
        <x:f t="shared" ref="BY14:BY45" si="34">IF(ISERROR(VLOOKUP(BX14,$BJ$14:$BL$45,3,FALSE)),FALSE,VLOOKUP(BX14,$BJ$14:$BL$45,3,FALSE))</x:f>
        <x:v>0</x:v>
      </x:c>
      <x:c r="BZ14" s="991" t="b">
        <x:f>IF($BK$1,IF(BX14="",FALSE,IF(ISERROR(VLOOKUP(BX14,$A$14:$B$45,2,FALSE)),FALSE,IF(VLOOKUP(BX14,$A$14:$B$45,2,FALSE)=0,TRUE,FALSE))))</x:f>
        <x:v>0</x:v>
      </x:c>
      <x:c r="CB14" s="672"/>
      <x:c r="CC14" s="1683"/>
      <x:c r="CD14" s="696"/>
      <x:c r="CE14" s="697"/>
      <x:c r="CF14" s="698"/>
      <x:c r="CG14" s="664"/>
      <x:c r="CH14" s="709"/>
      <x:c r="CI14" s="710"/>
      <x:c r="CJ14" s="709"/>
      <x:c r="CK14" s="710"/>
      <x:c r="CL14" s="711"/>
      <x:c r="CM14" s="742"/>
      <x:c r="CN14" s="1613"/>
      <x:c r="CO14" s="1614"/>
      <x:c r="CP14" s="1615"/>
      <x:c r="CQ14" s="664"/>
      <x:c r="CR14" s="709"/>
      <x:c r="CS14" s="710"/>
      <x:c r="CT14" s="709"/>
      <x:c r="CU14" s="710"/>
      <x:c r="CV14" s="711"/>
      <x:c r="CW14" s="742"/>
      <x:c r="CX14" s="1613"/>
      <x:c r="CY14" s="1614"/>
      <x:c r="CZ14" s="1615"/>
      <x:c r="DA14" s="712"/>
      <x:c r="DB14" s="702"/>
      <x:c r="DC14" s="703"/>
      <x:c r="DD14" s="723"/>
      <x:c r="DE14" s="724"/>
      <x:c r="DF14" s="141"/>
      <x:c r="DG14" s="141"/>
      <x:c r="DH14" s="672"/>
      <x:c r="DI14" s="665"/>
      <x:c r="DJ14" s="690"/>
      <x:c r="DK14" s="1330"/>
      <x:c r="DL14" s="666"/>
      <x:c r="DM14" s="691"/>
      <x:c r="DN14" s="1333"/>
      <x:c r="DO14" s="667"/>
      <x:c r="DP14" s="668"/>
      <x:c r="DQ14" s="1418"/>
      <x:c r="DR14" s="669"/>
      <x:c r="DS14" s="1418"/>
      <x:c r="DT14" s="1421"/>
      <x:c r="DU14" s="1422"/>
      <x:c r="DV14" s="678"/>
      <x:c r="DW14" s="1336"/>
      <x:c r="DX14" s="679"/>
      <x:c r="DY14" s="674"/>
      <x:c r="DZ14" s="678"/>
      <x:c r="EA14" s="1336"/>
      <x:c r="EB14" s="679"/>
      <x:c r="EC14" s="674"/>
      <x:c r="ED14" s="678"/>
      <x:c r="EE14" s="1336"/>
      <x:c r="EF14" s="679"/>
      <x:c r="EG14" s="674"/>
      <x:c r="EH14" s="678"/>
      <x:c r="EI14" s="1336"/>
      <x:c r="EJ14" s="679"/>
      <x:c r="EK14" s="680"/>
      <x:c r="EL14" s="241"/>
      <x:c r="EM14" s="1629" t="str">
        <x:f t="shared" ref="EM14:EM45" si="35">IF(ISBLANK(CB14),"",CB14)</x:f>
        <x:v/>
      </x:c>
      <x:c r="EN14" s="1425" t="str">
        <x:f t="shared" ref="EN14:EN45" si="36">IF(DQ54=DR54,"",CONCATENATE(IF(CL14&lt;0,"NS ","FS "),IF(DR54="ERR","Slot Only",CONCATENATE("Slot @ ",DQ54))))</x:f>
        <x:v/>
      </x:c>
      <x:c r="EO14" s="1426" t="str">
        <x:f t="shared" ref="EO14:EO45" si="37">IF(DX54=DY54,"",CONCATENATE(IF(CV14&lt;0,"FS ","NS "),IF(DY54="ERR","Slot Only",CONCATENATE("Slot @ ",DX54))))</x:f>
        <x:v/>
      </x:c>
      <x:c r="EP14" s="1427" t="str">
        <x:f t="shared" ref="EP14:EP45" si="38">IF(EC54="","",IF(CI54&lt;&gt;EC54,CONCATENATE("LE slots @ ",CI54," Ga."),IF(CR54&lt;&gt;EC54,CONCATENATE("RE slots @ ",CR54," Ga."),"")))</x:f>
        <x:v/>
      </x:c>
      <x:c r="EQ14" s="1433" t="str">
        <x:f t="shared" ref="EQ14:EQ45" si="39">IF(AND(ET14&lt;&gt;"",CL14&lt;&gt;"",EU14&lt;&gt;"",CV14&lt;&gt;""),"BE",IF(AND(ET14&lt;&gt;"",CL14&lt;&gt;""),"LE",IF(AND(EU14&lt;&gt;"",CV14&lt;&gt;""),"RE","")))</x:f>
        <x:v/>
      </x:c>
      <x:c r="ER14" s="1436" t="str">
        <x:f t="shared" ref="ER14:ER45" si="40">IF(ISBLANK(CO14),"",IF(CEILING(DB54,0.125)&lt;=DC54+$FA$4,"",CEILING(DB54,0.125)))</x:f>
        <x:v/>
      </x:c>
      <x:c r="ES14" s="1437" t="str">
        <x:f t="shared" ref="ES14:ES45" si="41">IF(ISBLANK(CY14),"",IF(CEILING(DH54,0.125)&lt;=DI54+$FA$4,"",CEILING(DH54,0.125)))</x:f>
        <x:v/>
      </x:c>
      <x:c r="ET14" s="1438" t="str">
        <x:f t="shared" ref="ET14:ET45" si="42">IF(CG14="","",IF($FB$4&gt;EV54,EV54,""))</x:f>
        <x:v/>
      </x:c>
      <x:c r="EU14" s="1439"/>
      <x:c r="EX14" s="503" t="str">
        <x:f>CONCATENATE(BX14,AC14)</x:f>
        <x:v>G17B</x:v>
      </x:c>
      <x:c r="EY14" s="940" t="b">
        <x:f t="shared" ref="EY14:EY45" ca="1" si="43">IF(OR(ISBLANK(AB14),AB14=""),"",VLOOKUP(LEFT(EX14,LEN(EX14)-1),$BJ$14:$BO$45,6,FALSE)=SUMIF($EX$14:$EX$45,EX14,$AF$14:$AF$45)+2)</x:f>
        <x:v>1</x:v>
      </x:c>
      <x:c r="EZ14" s="940">
        <x:f>IF(AB14="","",IF(VLOOKUP(BX14,$A$14:$F$45,6,FALSE)="",0,HLOOKUP(VLOOKUP(BX14,$A$14:$F$45,6,FALSE),$FG$4:$FI$5,2,TRUE)))</x:f>
        <x:v>5</x:v>
      </x:c>
      <x:c r="FA14" s="958" t="b">
        <x:f>IF(FB15="","",FB14=FF14)</x:f>
        <x:v>1</x:v>
      </x:c>
      <x:c r="FB14" s="134">
        <x: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x:f>
        <x:v>664</x:v>
      </x:c>
      <x:c r="FC14" s="134">
        <x:f t="shared" ref="FC14:FC45" si="44">IF(ISNUMBER(AD14),AD14,0)*12+IF(ISNUMBER(AE14),AE14,0)</x:f>
        <x:v>72.375</x:v>
      </x:c>
      <x:c r="FD14" s="134">
        <x:f t="shared" ref="FD14:FD45" si="45">IF(ISNUMBER(AF14),AF14,0)*(IF(ISNUMBER(AG14),AG14,0)*12+IF(ISNUMBER(AH14),AH14,0))</x:f>
        <x:v>523.25</x:v>
      </x:c>
      <x:c r="FE14" s="134">
        <x:f t="shared" ref="FE14:FE45" si="46">IF(ISNUMBER(AI14),AI14,0)*12+IF(ISNUMBER(AJ14),AJ14,0)</x:f>
        <x:v>68.375</x:v>
      </x:c>
      <x:c r="FF14" s="134">
        <x:f>SUM(FC14:FE14)+IF(FE14=0,FF15,0)</x:f>
        <x:v>664</x:v>
      </x:c>
      <x:c r="FN14" s="754" t="b">
        <x:v>0</x:v>
      </x:c>
      <x:c r="FO14" s="754" t="b">
        <x:f t="shared" ref="FO14:FO45" si="47">NOT(ISERROR(VLOOKUP(A14,$AB$14:$AB$45,1,FALSE)))</x:f>
        <x:v>1</x:v>
      </x:c>
      <x:c r="FP14" s="754" t="b">
        <x:v>0</x:v>
      </x:c>
      <x:c r="FQ14" s="754" t="b">
        <x:f>NOT(ISERROR(VLOOKUP(AB14,$A$14:$A$45,1,FALSE)))</x:f>
        <x:v>1</x:v>
      </x:c>
      <x:c r="FW14" s="2"/>
      <x:c r="FX14" s="2"/>
      <x:c r="FZ14" s="2"/>
      <x:c r="GA14" s="1761">
        <x:v>55</x:v>
      </x:c>
      <x:c r="GB14" s="1762">
        <x:v>3</x:v>
      </x:c>
      <x:c r="GC14" s="1763">
        <x:v>-0.25</x:v>
      </x:c>
      <x:c r="GD14" s="1764">
        <x:v>3.5</x:v>
      </x:c>
      <x:c r="GE14" s="1765">
        <x:f t="shared" ref="GE14:GE45" si="48">IF(GF14="","",IF(ISBLANK(DA14),IF(X14=Y14,0,MAX(ABS(X14),ABS(Y14))*IF(X14&lt;0,-1,1)),DA14))</x:f>
        <x:v>0</x:v>
      </x:c>
      <x:c r="GF14" s="582" t="str">
        <x:f t="shared" ref="GF14:GF45" si="49">IF(A14=0,"",A14)</x:f>
        <x:v>G17</x:v>
      </x:c>
      <x:c r="GG14" s="692">
        <x:v>0</x:v>
      </x:c>
      <x:c r="GH14" s="1134">
        <x:v>0</x:v>
      </x:c>
      <x:c r="GI14" s="692"/>
      <x:c r="GJ14" s="1134"/>
      <x:c r="GK14" s="1640">
        <x:f t="shared" ref="GK14:GK45" si="50">IF(D14="",0,D14*12+E14)</x:f>
        <x:v>666.25</x:v>
      </x:c>
      <x:c r="GL14" s="1640">
        <x:f t="shared" ref="GL14:GL45" si="51">(GA14*12+GB14+GC14+GD14)/COS(ATAN(ABS(GE14/12)))</x:f>
        <x:v>666.25</x:v>
      </x:c>
      <x:c r="GM14" s="1641">
        <x:f>IF(ABS(GK14-GL14)&gt;='Job Info.'!$L$22,ABS(GK14-GL14),0)</x:f>
        <x:v>0</x:v>
      </x:c>
      <x:c r="HA14" s="1241" t="s">
        <x:v>1417</x:v>
      </x:c>
      <x:c r="HB14" s="1242">
        <x:v>2</x:v>
      </x:c>
      <x:c r="HC14" s="1242" t="s">
        <x:v>1587</x:v>
      </x:c>
      <x:c r="HD14" s="1243">
        <x:v>55</x:v>
      </x:c>
      <x:c r="HE14" s="1244">
        <x:v>6.25</x:v>
      </x:c>
      <x:c r="HF14" s="1242">
        <x:v>11.125</x:v>
      </x:c>
      <x:c r="HG14" s="1242">
        <x:v>0</x:v>
      </x:c>
      <x:c r="HH14" s="1242">
        <x:v>1.75</x:v>
      </x:c>
      <x:c r="HI14" s="1242" t="s">
        <x:v>113</x:v>
      </x:c>
      <x:c r="HJ14" s="1242">
        <x:v>0</x:v>
      </x:c>
      <x:c r="HK14" s="1242">
        <x:v>0.5</x:v>
      </x:c>
      <x:c r="HL14" s="1242" t="s">
        <x:v>113</x:v>
      </x:c>
      <x:c r="HM14" s="1242">
        <x:v>7.5</x:v>
      </x:c>
      <x:c r="HN14" s="1242">
        <x:v>7.5</x:v>
      </x:c>
      <x:c r="HO14" s="1242">
        <x:v>0</x:v>
      </x:c>
      <x:c r="HP14" s="1242">
        <x:v>6.75</x:v>
      </x:c>
      <x:c r="HQ14" s="1242">
        <x:v>0</x:v>
      </x:c>
      <x:c r="HR14" s="1242">
        <x:v>5.5</x:v>
      </x:c>
      <x:c r="HS14" s="1242">
        <x:v>0</x:v>
      </x:c>
      <x:c r="HT14" s="1242">
        <x:v>6.25</x:v>
      </x:c>
      <x:c r="HU14" s="1242">
        <x:v>0</x:v>
      </x:c>
      <x:c r="HV14" s="1242">
        <x:v>5</x:v>
      </x:c>
      <x:c r="HW14" s="1242">
        <x:v>5</x:v>
      </x:c>
      <x:c r="HX14" s="1242" t="s">
        <x:v>116</x:v>
      </x:c>
      <x:c r="HY14" s="1246" t="s">
        <x:v>116</x:v>
      </x:c>
      <x:c r="HZ14" s="1246" t="s">
        <x:v>1632</x:v>
      </x:c>
      <x:c r="IA14" s="1246" t="s">
        <x:v>116</x:v>
      </x:c>
      <x:c r="IB14" s="1246"/>
      <x:c r="IC14" s="1246"/>
      <x:c r="ID14" s="1261"/>
      <x:c r="IE14" s="1256" t="s">
        <x:v>1417</x:v>
      </x:c>
      <x:c r="IF14" s="1257" t="s">
        <x:v>35</x:v>
      </x:c>
      <x:c r="IG14" s="1258">
        <x:v>6</x:v>
      </x:c>
      <x:c r="IH14" s="1259">
        <x:v>0.375</x:v>
      </x:c>
      <x:c r="II14" s="1257">
        <x:v>7</x:v>
      </x:c>
      <x:c r="IJ14" s="1258">
        <x:v>6</x:v>
      </x:c>
      <x:c r="IK14" s="1259">
        <x:v>2.75</x:v>
      </x:c>
      <x:c r="IL14" s="1257">
        <x:v>5</x:v>
      </x:c>
      <x:c r="IM14" s="1257">
        <x:v>8.375</x:v>
      </x:c>
      <x:c r="IN14" s="1257" t="s">
        <x:v>116</x:v>
      </x:c>
      <x:c r="IO14" s="1257" t="s">
        <x:v>35</x:v>
      </x:c>
      <x:c r="IP14" s="1257">
        <x:v>5</x:v>
      </x:c>
      <x:c r="IQ14" s="1257">
        <x:v>13</x:v>
      </x:c>
      <x:c r="IR14" s="1257">
        <x:v>4</x:v>
      </x:c>
      <x:c r="IS14" s="1258">
        <x:v>1.75</x:v>
      </x:c>
      <x:c r="IT14" s="1259" t="s">
        <x:v>116</x:v>
      </x:c>
      <x:c r="IU14" s="1257" t="s">
        <x:v>116</x:v>
      </x:c>
      <x:c r="IV14" s="1257" t="s">
        <x:v>116</x:v>
      </x:c>
      <x:c r="IW14" s="1258" t="s">
        <x:v>116</x:v>
      </x:c>
      <x:c r="IX14" s="1259" t="s">
        <x:v>116</x:v>
      </x:c>
      <x:c r="IY14" s="1257" t="s">
        <x:v>116</x:v>
      </x:c>
      <x:c r="IZ14" s="1257" t="s">
        <x:v>116</x:v>
      </x:c>
      <x:c r="JA14" s="1258" t="s">
        <x:v>116</x:v>
      </x:c>
      <x:c r="JB14" s="1259" t="s">
        <x:v>116</x:v>
      </x:c>
      <x:c r="JC14" s="1257" t="s">
        <x:v>116</x:v>
      </x:c>
      <x:c r="JD14" s="1257" t="s">
        <x:v>116</x:v>
      </x:c>
      <x:c r="JE14" s="1258" t="s">
        <x:v>116</x:v>
      </x:c>
      <x:c r="JF14" s="1259" t="s">
        <x:v>116</x:v>
      </x:c>
      <x:c r="JG14" s="1257" t="s">
        <x:v>116</x:v>
      </x:c>
      <x:c r="JH14" s="1257" t="s">
        <x:v>116</x:v>
      </x:c>
      <x:c r="JI14" s="1257" t="s">
        <x:v>116</x:v>
      </x:c>
      <x:c r="JJ14" s="1260" t="s">
        <x:v>116</x:v>
      </x:c>
      <x:c r="JK14" s="1257">
        <x:v>1</x:v>
      </x:c>
      <x:c r="JL14" s="1170">
        <x:f>IF(JK14="",0,1)</x:f>
        <x:v>1</x:v>
      </x:c>
      <x:c r="JM14" s="1193"/>
      <x:c r="JN14" s="1193"/>
      <x:c r="JO14" s="1193"/>
    </x:row>
    <x:row r="15" spans="1:276" ht="12.6" customHeight="1" x14ac:dyDescent="0.25">
      <x:c r="A15" s="2764" t="s">
        <x:v>1418</x:v>
      </x:c>
      <x:c r="B15" s="2765">
        <x:v>3</x:v>
      </x:c>
      <x:c r="C15" s="2766" t="s">
        <x:v>1587</x:v>
      </x:c>
      <x:c r="D15" s="2767">
        <x:v>55</x:v>
      </x:c>
      <x:c r="E15" s="2768">
        <x:v>11.5</x:v>
      </x:c>
      <x:c r="F15" s="2769">
        <x:v>11.125</x:v>
      </x:c>
      <x:c r="G15" s="2770">
        <x:v>0</x:v>
      </x:c>
      <x:c r="H15" s="2771">
        <x:v>1.75</x:v>
      </x:c>
      <x:c r="I15" s="2772" t="s">
        <x:v>113</x:v>
      </x:c>
      <x:c r="J15" s="2767">
        <x:v>0</x:v>
      </x:c>
      <x:c r="K15" s="2771">
        <x:v>1.75</x:v>
      </x:c>
      <x:c r="L15" s="2773" t="s">
        <x:v>113</x:v>
      </x:c>
      <x:c r="M15" s="2774">
        <x:v>7.5</x:v>
      </x:c>
      <x:c r="N15" s="2775">
        <x:v>7.5</x:v>
      </x:c>
      <x:c r="O15" s="2770">
        <x:v>0</x:v>
      </x:c>
      <x:c r="P15" s="2771">
        <x:v>6.75</x:v>
      </x:c>
      <x:c r="Q15" s="2767">
        <x:v>0</x:v>
      </x:c>
      <x:c r="R15" s="2768">
        <x:v>6.75</x:v>
      </x:c>
      <x:c r="S15" s="2776">
        <x:v>0</x:v>
      </x:c>
      <x:c r="T15" s="2771">
        <x:v>6.25</x:v>
      </x:c>
      <x:c r="U15" s="2767">
        <x:v>0</x:v>
      </x:c>
      <x:c r="V15" s="2771">
        <x:v>6.25</x:v>
      </x:c>
      <x:c r="W15" s="2775">
        <x:v>5</x:v>
      </x:c>
      <x:c r="X15" s="2777" t="str">
        <x:f t="shared" si="0"/>
        <x:v/>
      </x:c>
      <x:c r="Y15" s="2778" t="str">
        <x:f t="shared" si="1"/>
        <x:v/>
      </x:c>
      <x:c r="Z15" s="2779" t="s">
        <x:v>1633</x:v>
      </x:c>
      <x:c r="AA15" s="2839" t="str">
        <x:f t="shared" si="2"/>
        <x:v/>
      </x:c>
      <x:c r="AB15" s="2764" t="s">
        <x:v>1418</x:v>
      </x:c>
      <x:c r="AC15" s="2772" t="s">
        <x:v>35</x:v>
      </x:c>
      <x:c r="AD15" s="2767">
        <x:v>6</x:v>
      </x:c>
      <x:c r="AE15" s="2771">
        <x:v>0.375</x:v>
      </x:c>
      <x:c r="AF15" s="2772">
        <x:v>7</x:v>
      </x:c>
      <x:c r="AG15" s="2767">
        <x:v>6</x:v>
      </x:c>
      <x:c r="AH15" s="2771">
        <x:v>2.75</x:v>
      </x:c>
      <x:c r="AI15" s="2767">
        <x:v>6</x:v>
      </x:c>
      <x:c r="AJ15" s="2771">
        <x:v>0.375</x:v>
      </x:c>
      <x:c r="AK15" s="2813" t="str">
        <x:f t="shared" si="3"/>
        <x:v/>
      </x:c>
      <x:c r="AL15" s="2814" t="s">
        <x:v>35</x:v>
      </x:c>
      <x:c r="AM15" s="2815">
        <x:v>5</x:v>
      </x:c>
      <x:c r="AN15" s="2772">
        <x:v>13</x:v>
      </x:c>
      <x:c r="AO15" s="2775">
        <x:v>4</x:v>
      </x:c>
      <x:c r="AP15" s="2774">
        <x:v>1.75</x:v>
      </x:c>
      <x:c r="AQ15" s="2817">
        <x:v>1.75</x:v>
      </x:c>
      <x:c r="AR15" s="2770" t="str">
        <x:f t="shared" si="5"/>
        <x:v/>
      </x:c>
      <x:c r="AS15" s="2771" t="str">
        <x:f t="shared" si="6"/>
        <x:v/>
      </x:c>
      <x:c r="AT15" s="2818" t="str">
        <x:f t="shared" si="7"/>
        <x:v/>
      </x:c>
      <x:c r="AU15" s="2819" t="str">
        <x:f t="shared" si="8"/>
        <x:v/>
      </x:c>
      <x:c r="AV15" s="2776" t="str">
        <x:f t="shared" si="9"/>
        <x:v/>
      </x:c>
      <x:c r="AW15" s="2771" t="str">
        <x:f t="shared" si="10"/>
        <x:v/>
      </x:c>
      <x:c r="AX15" s="2818" t="str">
        <x:f t="shared" si="11"/>
        <x:v/>
      </x:c>
      <x:c r="AY15" s="2819" t="str">
        <x:f t="shared" si="12"/>
        <x:v/>
      </x:c>
      <x:c r="AZ15" s="2776" t="str">
        <x:f t="shared" si="13"/>
        <x:v/>
      </x:c>
      <x:c r="BA15" s="2771" t="str">
        <x:f t="shared" si="14"/>
        <x:v/>
      </x:c>
      <x:c r="BB15" s="2818" t="str">
        <x:f t="shared" si="15"/>
        <x:v/>
      </x:c>
      <x:c r="BC15" s="2819" t="str">
        <x:f t="shared" si="16"/>
        <x:v/>
      </x:c>
      <x:c r="BD15" s="2776" t="str">
        <x:f t="shared" si="17"/>
        <x:v/>
      </x:c>
      <x:c r="BE15" s="2771" t="str">
        <x:f t="shared" si="18"/>
        <x:v/>
      </x:c>
      <x:c r="BF15" s="2818" t="str">
        <x:f t="shared" si="19"/>
        <x:v/>
      </x:c>
      <x:c r="BG15" s="2819" t="str">
        <x:f t="shared" si="20"/>
        <x:v/>
      </x:c>
      <x:c r="BH15" s="1416"/>
      <x:c r="BJ15" s="995" t="str">
        <x:f>IF(AND(OR(ISBLANK(A15),A15=""),Z15&lt;&gt;""),BJ14,IF(OR(ISBLANK(A15),A15=""),"",A15))</x:f>
        <x:v>G18</x:v>
      </x:c>
      <x:c r="BK15" s="993" t="b">
        <x:f t="shared" si="21"/>
        <x:v>0</x:v>
      </x:c>
      <x:c r="BL15" s="1800" t="b">
        <x:v>0</x:v>
      </x:c>
      <x:c r="BM15" s="989">
        <x:f t="shared" si="22"/>
        <x:v>52</x:v>
      </x:c>
      <x:c r="BN15" s="989" t="str">
        <x:f t="shared" si="23"/>
        <x:v>VG</x:v>
      </x:c>
      <x:c r="BO15" s="989">
        <x:f t="shared" si="24"/>
        <x:v>9</x:v>
      </x:c>
      <x:c r="BP15" s="989">
        <x:f t="shared" si="25"/>
        <x:v>18.3</x:v>
      </x:c>
      <x:c r="BQ15" s="989">
        <x:f t="shared" si="26"/>
        <x:v>0</x:v>
      </x:c>
      <x:c r="BR15" s="989" t="b">
        <x:f t="shared" si="27"/>
        <x:v>1</x:v>
      </x:c>
      <x:c r="BS15" s="1302">
        <x:f t="shared" si="28"/>
        <x:v>7.75</x:v>
      </x:c>
      <x:c r="BT15" s="990" t="str">
        <x:f t="shared" si="29"/>
        <x:v>Yes</x:v>
      </x:c>
      <x:c r="BU15" s="1302">
        <x:f t="shared" si="30"/>
        <x:v>7.75</x:v>
      </x:c>
      <x:c r="BV15" s="990" t="str">
        <x:f t="shared" si="31"/>
        <x:v>Yes</x:v>
      </x:c>
      <x:c r="BW15" s="991">
        <x:f t="shared" si="32"/>
        <x:v>15</x:v>
      </x:c>
      <x:c r="BX15" s="991" t="str">
        <x:f t="shared" si="33"/>
        <x:v>G18</x:v>
      </x:c>
      <x:c r="BY15" s="991" t="b">
        <x:f t="shared" si="34"/>
        <x:v>0</x:v>
      </x:c>
      <x:c r="BZ15" s="991" t="b">
        <x:f t="shared" ref="BZ15:BZ45" si="52">IF($BK$1,IF(BX15="",FALSE,IF(ISERROR(VLOOKUP(BX15,$A$14:$B$45,2,FALSE)),FALSE,IF(VLOOKUP(BX15,$A$14:$B$45,2,FALSE)=0,TRUE,FALSE))))</x:f>
        <x:v>0</x:v>
      </x:c>
      <x:c r="CB15" s="672"/>
      <x:c r="CC15" s="1684"/>
      <x:c r="CD15" s="699"/>
      <x:c r="CE15" s="700"/>
      <x:c r="CF15" s="701"/>
      <x:c r="CG15" s="672"/>
      <x:c r="CH15" s="713"/>
      <x:c r="CI15" s="714"/>
      <x:c r="CJ15" s="713"/>
      <x:c r="CK15" s="714"/>
      <x:c r="CL15" s="715"/>
      <x:c r="CM15" s="743"/>
      <x:c r="CN15" s="738"/>
      <x:c r="CO15" s="1551"/>
      <x:c r="CP15" s="910"/>
      <x:c r="CQ15" s="672"/>
      <x:c r="CR15" s="713"/>
      <x:c r="CS15" s="714"/>
      <x:c r="CT15" s="713"/>
      <x:c r="CU15" s="714"/>
      <x:c r="CV15" s="715"/>
      <x:c r="CW15" s="743"/>
      <x:c r="CX15" s="738"/>
      <x:c r="CY15" s="1551"/>
      <x:c r="CZ15" s="910"/>
      <x:c r="DA15" s="717"/>
      <x:c r="DB15" s="702"/>
      <x:c r="DC15" s="703"/>
      <x:c r="DD15" s="725"/>
      <x:c r="DE15" s="726"/>
      <x:c r="DF15" s="141"/>
      <x:c r="DG15" s="141"/>
      <x:c r="DH15" s="672"/>
      <x:c r="DI15" s="673"/>
      <x:c r="DJ15" s="692"/>
      <x:c r="DK15" s="1331"/>
      <x:c r="DL15" s="674"/>
      <x:c r="DM15" s="693"/>
      <x:c r="DN15" s="1334"/>
      <x:c r="DO15" s="675"/>
      <x:c r="DP15" s="676"/>
      <x:c r="DQ15" s="1419"/>
      <x:c r="DR15" s="677"/>
      <x:c r="DS15" s="1419"/>
      <x:c r="DT15" s="1421"/>
      <x:c r="DU15" s="1422"/>
      <x:c r="DV15" s="678"/>
      <x:c r="DW15" s="1336"/>
      <x:c r="DX15" s="679"/>
      <x:c r="DY15" s="674"/>
      <x:c r="DZ15" s="678"/>
      <x:c r="EA15" s="1336"/>
      <x:c r="EB15" s="679"/>
      <x:c r="EC15" s="674"/>
      <x:c r="ED15" s="678"/>
      <x:c r="EE15" s="1336"/>
      <x:c r="EF15" s="679"/>
      <x:c r="EG15" s="674"/>
      <x:c r="EH15" s="678"/>
      <x:c r="EI15" s="1336"/>
      <x:c r="EJ15" s="679"/>
      <x:c r="EK15" s="680"/>
      <x:c r="EL15" s="241"/>
      <x:c r="EM15" s="1631" t="str">
        <x:f t="shared" si="35"/>
        <x:v/>
      </x:c>
      <x:c r="EN15" s="1428" t="str">
        <x:f t="shared" si="36"/>
        <x:v/>
      </x:c>
      <x:c r="EO15" s="1429" t="str">
        <x:f t="shared" si="37"/>
        <x:v/>
      </x:c>
      <x:c r="EP15" s="1430" t="str">
        <x:f t="shared" si="38"/>
        <x:v/>
      </x:c>
      <x:c r="EQ15" s="1434" t="str">
        <x:f t="shared" si="39"/>
        <x:v/>
      </x:c>
      <x:c r="ER15" s="1440" t="str">
        <x:f t="shared" si="40"/>
        <x:v/>
      </x:c>
      <x:c r="ES15" s="1441" t="str">
        <x:f t="shared" si="41"/>
        <x:v/>
      </x:c>
      <x:c r="ET15" s="1442" t="str">
        <x:f t="shared" si="42"/>
        <x:v/>
      </x:c>
      <x:c r="EU15" s="1443" t="str">
        <x:f t="shared" ref="EU15:EU45" si="53">IF(CQ15="","",IF($FB$4&gt;EW55,EW55,""))</x:f>
        <x:v/>
      </x:c>
      <x:c r="EX15" s="503" t="str">
        <x:f t="shared" ref="EX15:EX45" si="54">IF(AND(AC15="",BX15=BX14),EX14,CONCATENATE(BX15,AC15))</x:f>
        <x:v>G18B</x:v>
      </x:c>
      <x:c r="EY15" s="940" t="b">
        <x:f t="shared" ca="1" si="43"/>
        <x:v>1</x:v>
      </x:c>
      <x:c r="EZ15" s="940">
        <x:f t="shared" ref="EZ15:EZ45" si="55">IF(AB15="","",IF(VLOOKUP(BX15,$A$14:$F$45,6,FALSE)="",0,HLOOKUP(VLOOKUP(BX15,$A$14:$F$45,6,FALSE),$FG$4:$FI$5,2,TRUE)))</x:f>
        <x:v>5</x:v>
      </x:c>
      <x:c r="FA15" s="958" t="b">
        <x:f>IF(FB15="","",IF(FC15=0,FA14,FB15=FF15))</x:f>
        <x:v>1</x:v>
      </x:c>
      <x:c r="FB15" s="134">
        <x:f t="shared" ref="FB15:FB45" si="56">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x:f>
        <x:v>668</x:v>
      </x:c>
      <x:c r="FC15" s="134">
        <x:f t="shared" si="44"/>
        <x:v>72.375</x:v>
      </x:c>
      <x:c r="FD15" s="134">
        <x:f t="shared" si="45"/>
        <x:v>523.25</x:v>
      </x:c>
      <x:c r="FE15" s="134">
        <x:f t="shared" si="46"/>
        <x:v>72.375</x:v>
      </x:c>
      <x:c r="FF15" s="134">
        <x:f t="shared" ref="FF15:FF45" si="57">SUM(FC15:FE15)+IF(FE15=0,FF16,0)</x:f>
        <x:v>668</x:v>
      </x:c>
      <x:c r="FN15" s="754" t="b">
        <x:v>0</x:v>
      </x:c>
      <x:c r="FO15" s="754" t="b">
        <x:f t="shared" si="47"/>
        <x:v>1</x:v>
      </x:c>
      <x:c r="FP15" s="754" t="b">
        <x:v>0</x:v>
      </x:c>
      <x:c r="FQ15" s="754" t="b">
        <x:f t="shared" ref="FQ15:FQ45" si="58">NOT(ISERROR(VLOOKUP(AB15,$A$14:$A$45,1,FALSE)))</x:f>
        <x:v>1</x:v>
      </x:c>
      <x:c r="FW15" s="2"/>
      <x:c r="FX15" s="2"/>
      <x:c r="FZ15" s="2"/>
      <x:c r="GA15" s="1761">
        <x:v>56</x:v>
      </x:c>
      <x:c r="GB15" s="1762">
        <x:v>0</x:v>
      </x:c>
      <x:c r="GC15" s="1763">
        <x:v>-0.25</x:v>
      </x:c>
      <x:c r="GD15" s="1764">
        <x:v>-0.25</x:v>
      </x:c>
      <x:c r="GE15" s="1765">
        <x:f t="shared" si="48"/>
        <x:v>0</x:v>
      </x:c>
      <x:c r="GF15" s="582" t="str">
        <x:f t="shared" si="49"/>
        <x:v>G18</x:v>
      </x:c>
      <x:c r="GG15" s="692">
        <x:v>0</x:v>
      </x:c>
      <x:c r="GH15" s="1135">
        <x:v>0</x:v>
      </x:c>
      <x:c r="GI15" s="692"/>
      <x:c r="GJ15" s="1135"/>
      <x:c r="GK15" s="1640">
        <x:f t="shared" si="50"/>
        <x:v>671.5</x:v>
      </x:c>
      <x:c r="GL15" s="1640">
        <x:f t="shared" si="51"/>
        <x:v>671.5</x:v>
      </x:c>
      <x:c r="GM15" s="1641">
        <x:f>IF(ABS(GK15-GL15)&gt;='Job Info.'!$L$22,ABS(GK15-GL15),0)</x:f>
        <x:v>0</x:v>
      </x:c>
      <x:c r="HA15" s="1241" t="s">
        <x:v>1418</x:v>
      </x:c>
      <x:c r="HB15" s="1242">
        <x:v>3</x:v>
      </x:c>
      <x:c r="HC15" s="1242" t="s">
        <x:v>1587</x:v>
      </x:c>
      <x:c r="HD15" s="1243">
        <x:v>55</x:v>
      </x:c>
      <x:c r="HE15" s="1244">
        <x:v>11.5</x:v>
      </x:c>
      <x:c r="HF15" s="1242">
        <x:v>11.125</x:v>
      </x:c>
      <x:c r="HG15" s="1242">
        <x:v>0</x:v>
      </x:c>
      <x:c r="HH15" s="1242">
        <x:v>1.75</x:v>
      </x:c>
      <x:c r="HI15" s="1242" t="s">
        <x:v>113</x:v>
      </x:c>
      <x:c r="HJ15" s="1242">
        <x:v>0</x:v>
      </x:c>
      <x:c r="HK15" s="1242">
        <x:v>1.75</x:v>
      </x:c>
      <x:c r="HL15" s="1242" t="s">
        <x:v>113</x:v>
      </x:c>
      <x:c r="HM15" s="1242">
        <x:v>7.5</x:v>
      </x:c>
      <x:c r="HN15" s="1242">
        <x:v>7.5</x:v>
      </x:c>
      <x:c r="HO15" s="1242">
        <x:v>0</x:v>
      </x:c>
      <x:c r="HP15" s="1242">
        <x:v>6.75</x:v>
      </x:c>
      <x:c r="HQ15" s="1242">
        <x:v>0</x:v>
      </x:c>
      <x:c r="HR15" s="1242">
        <x:v>6.75</x:v>
      </x:c>
      <x:c r="HS15" s="1242">
        <x:v>0</x:v>
      </x:c>
      <x:c r="HT15" s="1242">
        <x:v>6.25</x:v>
      </x:c>
      <x:c r="HU15" s="1242">
        <x:v>0</x:v>
      </x:c>
      <x:c r="HV15" s="1242">
        <x:v>6.25</x:v>
      </x:c>
      <x:c r="HW15" s="1242">
        <x:v>5</x:v>
      </x:c>
      <x:c r="HX15" s="1242" t="s">
        <x:v>116</x:v>
      </x:c>
      <x:c r="HY15" s="1246" t="s">
        <x:v>116</x:v>
      </x:c>
      <x:c r="HZ15" s="1246" t="s">
        <x:v>1633</x:v>
      </x:c>
      <x:c r="IA15" s="1246" t="s">
        <x:v>116</x:v>
      </x:c>
      <x:c r="IB15" s="1246"/>
      <x:c r="IC15" s="1246"/>
      <x:c r="ID15" s="1261"/>
      <x:c r="IE15" s="1241" t="s">
        <x:v>1418</x:v>
      </x:c>
      <x:c r="IF15" s="1242" t="s">
        <x:v>35</x:v>
      </x:c>
      <x:c r="IG15" s="1243">
        <x:v>6</x:v>
      </x:c>
      <x:c r="IH15" s="1244">
        <x:v>0.375</x:v>
      </x:c>
      <x:c r="II15" s="1242">
        <x:v>7</x:v>
      </x:c>
      <x:c r="IJ15" s="1243">
        <x:v>6</x:v>
      </x:c>
      <x:c r="IK15" s="1244">
        <x:v>2.75</x:v>
      </x:c>
      <x:c r="IL15" s="1242">
        <x:v>6</x:v>
      </x:c>
      <x:c r="IM15" s="1242">
        <x:v>0.375</x:v>
      </x:c>
      <x:c r="IN15" s="1242" t="s">
        <x:v>116</x:v>
      </x:c>
      <x:c r="IO15" s="1242" t="s">
        <x:v>35</x:v>
      </x:c>
      <x:c r="IP15" s="1242">
        <x:v>5</x:v>
      </x:c>
      <x:c r="IQ15" s="1242">
        <x:v>13</x:v>
      </x:c>
      <x:c r="IR15" s="1242">
        <x:v>4</x:v>
      </x:c>
      <x:c r="IS15" s="1243">
        <x:v>1.75</x:v>
      </x:c>
      <x:c r="IT15" s="1244">
        <x:v>1.75</x:v>
      </x:c>
      <x:c r="IU15" s="1242" t="s">
        <x:v>116</x:v>
      </x:c>
      <x:c r="IV15" s="1242" t="s">
        <x:v>116</x:v>
      </x:c>
      <x:c r="IW15" s="1243" t="s">
        <x:v>116</x:v>
      </x:c>
      <x:c r="IX15" s="1244" t="s">
        <x:v>116</x:v>
      </x:c>
      <x:c r="IY15" s="1242" t="s">
        <x:v>116</x:v>
      </x:c>
      <x:c r="IZ15" s="1242" t="s">
        <x:v>116</x:v>
      </x:c>
      <x:c r="JA15" s="1243" t="s">
        <x:v>116</x:v>
      </x:c>
      <x:c r="JB15" s="1244" t="s">
        <x:v>116</x:v>
      </x:c>
      <x:c r="JC15" s="1242" t="s">
        <x:v>116</x:v>
      </x:c>
      <x:c r="JD15" s="1242" t="s">
        <x:v>116</x:v>
      </x:c>
      <x:c r="JE15" s="1243" t="s">
        <x:v>116</x:v>
      </x:c>
      <x:c r="JF15" s="1244" t="s">
        <x:v>116</x:v>
      </x:c>
      <x:c r="JG15" s="1242" t="s">
        <x:v>116</x:v>
      </x:c>
      <x:c r="JH15" s="1242" t="s">
        <x:v>116</x:v>
      </x:c>
      <x:c r="JI15" s="1242" t="s">
        <x:v>116</x:v>
      </x:c>
      <x:c r="JJ15" s="1245" t="s">
        <x:v>116</x:v>
      </x:c>
      <x:c r="JK15" s="1242">
        <x:v>1</x:v>
      </x:c>
      <x:c r="JL15" s="1171">
        <x:f ca="1">IF(ISBLANK(JK15),IF(JL14=0,0,IF(VALUE(OFFSET(JK15,JL14*-1,0))&lt;JL14+1,0,JL14+1)),1)</x:f>
        <x:v>1</x:v>
      </x:c>
    </x:row>
    <x:row r="16" spans="1:276" ht="12.6" customHeight="1" x14ac:dyDescent="0.25">
      <x:c r="A16" s="2764" t="s">
        <x:v>1419</x:v>
      </x:c>
      <x:c r="B16" s="2765">
        <x:v>2</x:v>
      </x:c>
      <x:c r="C16" s="2766" t="s">
        <x:v>1587</x:v>
      </x:c>
      <x:c r="D16" s="2767">
        <x:v>55</x:v>
      </x:c>
      <x:c r="E16" s="2768">
        <x:v>11.5</x:v>
      </x:c>
      <x:c r="F16" s="2769">
        <x:v>11.125</x:v>
      </x:c>
      <x:c r="G16" s="2770">
        <x:v>0</x:v>
      </x:c>
      <x:c r="H16" s="2771">
        <x:v>1.75</x:v>
      </x:c>
      <x:c r="I16" s="2772" t="s">
        <x:v>113</x:v>
      </x:c>
      <x:c r="J16" s="2767">
        <x:v>0</x:v>
      </x:c>
      <x:c r="K16" s="2771">
        <x:v>1.75</x:v>
      </x:c>
      <x:c r="L16" s="2773" t="s">
        <x:v>113</x:v>
      </x:c>
      <x:c r="M16" s="2774">
        <x:v>7.5</x:v>
      </x:c>
      <x:c r="N16" s="2775">
        <x:v>7.5</x:v>
      </x:c>
      <x:c r="O16" s="2770">
        <x:v>0</x:v>
      </x:c>
      <x:c r="P16" s="2771">
        <x:v>6.75</x:v>
      </x:c>
      <x:c r="Q16" s="2767">
        <x:v>0</x:v>
      </x:c>
      <x:c r="R16" s="2768">
        <x:v>6.75</x:v>
      </x:c>
      <x:c r="S16" s="2776">
        <x:v>0</x:v>
      </x:c>
      <x:c r="T16" s="2771">
        <x:v>6.25</x:v>
      </x:c>
      <x:c r="U16" s="2767">
        <x:v>0</x:v>
      </x:c>
      <x:c r="V16" s="2771">
        <x:v>6.25</x:v>
      </x:c>
      <x:c r="W16" s="2775">
        <x:v>5</x:v>
      </x:c>
      <x:c r="X16" s="2777" t="str">
        <x:f t="shared" si="0"/>
        <x:v/>
      </x:c>
      <x:c r="Y16" s="2778" t="str">
        <x:f t="shared" si="1"/>
        <x:v/>
      </x:c>
      <x:c r="Z16" s="2779" t="s">
        <x:v>1634</x:v>
      </x:c>
      <x:c r="AA16" s="2839" t="str">
        <x:f t="shared" si="2"/>
        <x:v/>
      </x:c>
      <x:c r="AB16" s="2764" t="s">
        <x:v>1419</x:v>
      </x:c>
      <x:c r="AC16" s="2772" t="s">
        <x:v>35</x:v>
      </x:c>
      <x:c r="AD16" s="2767">
        <x:v>6</x:v>
      </x:c>
      <x:c r="AE16" s="2771">
        <x:v>0.375</x:v>
      </x:c>
      <x:c r="AF16" s="2772">
        <x:v>7</x:v>
      </x:c>
      <x:c r="AG16" s="2767">
        <x:v>6</x:v>
      </x:c>
      <x:c r="AH16" s="2771">
        <x:v>2.75</x:v>
      </x:c>
      <x:c r="AI16" s="2767">
        <x:v>6</x:v>
      </x:c>
      <x:c r="AJ16" s="2771">
        <x:v>0.375</x:v>
      </x:c>
      <x:c r="AK16" s="2813" t="str">
        <x:f t="shared" si="3"/>
        <x:v/>
      </x:c>
      <x:c r="AL16" s="2814" t="s">
        <x:v>35</x:v>
      </x:c>
      <x:c r="AM16" s="2815">
        <x:v>5</x:v>
      </x:c>
      <x:c r="AN16" s="2772">
        <x:v>13</x:v>
      </x:c>
      <x:c r="AO16" s="2775">
        <x:v>4</x:v>
      </x:c>
      <x:c r="AP16" s="2774">
        <x:v>1.75</x:v>
      </x:c>
      <x:c r="AQ16" s="2817">
        <x:v>1.75</x:v>
      </x:c>
      <x:c r="AR16" s="2770" t="str">
        <x:f t="shared" si="5"/>
        <x:v/>
      </x:c>
      <x:c r="AS16" s="2771" t="str">
        <x:f t="shared" si="6"/>
        <x:v/>
      </x:c>
      <x:c r="AT16" s="2818" t="str">
        <x:f t="shared" si="7"/>
        <x:v/>
      </x:c>
      <x:c r="AU16" s="2819" t="str">
        <x:f t="shared" si="8"/>
        <x:v/>
      </x:c>
      <x:c r="AV16" s="2776" t="str">
        <x:f t="shared" si="9"/>
        <x:v/>
      </x:c>
      <x:c r="AW16" s="2771" t="str">
        <x:f t="shared" si="10"/>
        <x:v/>
      </x:c>
      <x:c r="AX16" s="2818" t="str">
        <x:f t="shared" si="11"/>
        <x:v/>
      </x:c>
      <x:c r="AY16" s="2819" t="str">
        <x:f t="shared" si="12"/>
        <x:v/>
      </x:c>
      <x:c r="AZ16" s="2776" t="str">
        <x:f t="shared" si="13"/>
        <x:v/>
      </x:c>
      <x:c r="BA16" s="2771" t="str">
        <x:f t="shared" si="14"/>
        <x:v/>
      </x:c>
      <x:c r="BB16" s="2818" t="str">
        <x:f t="shared" si="15"/>
        <x:v/>
      </x:c>
      <x:c r="BC16" s="2819" t="str">
        <x:f t="shared" si="16"/>
        <x:v/>
      </x:c>
      <x:c r="BD16" s="2776" t="str">
        <x:f t="shared" si="17"/>
        <x:v/>
      </x:c>
      <x:c r="BE16" s="2771" t="str">
        <x:f t="shared" si="18"/>
        <x:v/>
      </x:c>
      <x:c r="BF16" s="2818" t="str">
        <x:f t="shared" si="19"/>
        <x:v/>
      </x:c>
      <x:c r="BG16" s="2819" t="str">
        <x:f t="shared" si="20"/>
        <x:v/>
      </x:c>
      <x:c r="BH16" s="1416"/>
      <x:c r="BJ16" s="995" t="str">
        <x:f t="shared" ref="BJ16:BJ45" si="59">IF(AND(OR(ISBLANK(A16),A16=""),Z16&lt;&gt;""),BJ15,IF(OR(ISBLANK(A16),A16=""),"",A16))</x:f>
        <x:v>G19</x:v>
      </x:c>
      <x:c r="BK16" s="993" t="b">
        <x:f t="shared" si="21"/>
        <x:v>0</x:v>
      </x:c>
      <x:c r="BL16" s="1800" t="b">
        <x:v>0</x:v>
      </x:c>
      <x:c r="BM16" s="989">
        <x:f t="shared" si="22"/>
        <x:v>52</x:v>
      </x:c>
      <x:c r="BN16" s="989" t="str">
        <x:f t="shared" si="23"/>
        <x:v>VG</x:v>
      </x:c>
      <x:c r="BO16" s="989">
        <x:f t="shared" si="24"/>
        <x:v>9</x:v>
      </x:c>
      <x:c r="BP16" s="989">
        <x:f t="shared" si="25"/>
        <x:v>18.3</x:v>
      </x:c>
      <x:c r="BQ16" s="989">
        <x:f t="shared" si="26"/>
        <x:v>0</x:v>
      </x:c>
      <x:c r="BR16" s="989" t="b">
        <x:f t="shared" si="27"/>
        <x:v>1</x:v>
      </x:c>
      <x:c r="BS16" s="1302">
        <x:f t="shared" si="28"/>
        <x:v>7.75</x:v>
      </x:c>
      <x:c r="BT16" s="990" t="str">
        <x:f t="shared" si="29"/>
        <x:v>Yes</x:v>
      </x:c>
      <x:c r="BU16" s="1302">
        <x:f t="shared" si="30"/>
        <x:v>7.75</x:v>
      </x:c>
      <x:c r="BV16" s="990" t="str">
        <x:f t="shared" si="31"/>
        <x:v>Yes</x:v>
      </x:c>
      <x:c r="BW16" s="991">
        <x:f t="shared" si="32"/>
        <x:v>15</x:v>
      </x:c>
      <x:c r="BX16" s="991" t="str">
        <x:f t="shared" si="33"/>
        <x:v>G19</x:v>
      </x:c>
      <x:c r="BY16" s="991" t="b">
        <x:f t="shared" si="34"/>
        <x:v>0</x:v>
      </x:c>
      <x:c r="BZ16" s="991" t="b">
        <x:f t="shared" si="52"/>
        <x:v>0</x:v>
      </x:c>
      <x:c r="CB16" s="672"/>
      <x:c r="CC16" s="1684"/>
      <x:c r="CD16" s="699"/>
      <x:c r="CE16" s="700"/>
      <x:c r="CF16" s="701"/>
      <x:c r="CG16" s="672"/>
      <x:c r="CH16" s="713"/>
      <x:c r="CI16" s="714"/>
      <x:c r="CJ16" s="713"/>
      <x:c r="CK16" s="714"/>
      <x:c r="CL16" s="715"/>
      <x:c r="CM16" s="743"/>
      <x:c r="CN16" s="738"/>
      <x:c r="CO16" s="1551"/>
      <x:c r="CP16" s="910"/>
      <x:c r="CQ16" s="672"/>
      <x:c r="CR16" s="713"/>
      <x:c r="CS16" s="714"/>
      <x:c r="CT16" s="713"/>
      <x:c r="CU16" s="714"/>
      <x:c r="CV16" s="715"/>
      <x:c r="CW16" s="743"/>
      <x:c r="CX16" s="738"/>
      <x:c r="CY16" s="1551"/>
      <x:c r="CZ16" s="910"/>
      <x:c r="DA16" s="717"/>
      <x:c r="DB16" s="702"/>
      <x:c r="DC16" s="703"/>
      <x:c r="DD16" s="725"/>
      <x:c r="DE16" s="726"/>
      <x:c r="DF16" s="141"/>
      <x:c r="DG16" s="141"/>
      <x:c r="DH16" s="672"/>
      <x:c r="DI16" s="673"/>
      <x:c r="DJ16" s="692"/>
      <x:c r="DK16" s="1331"/>
      <x:c r="DL16" s="674"/>
      <x:c r="DM16" s="693"/>
      <x:c r="DN16" s="1334"/>
      <x:c r="DO16" s="675"/>
      <x:c r="DP16" s="676"/>
      <x:c r="DQ16" s="1419"/>
      <x:c r="DR16" s="677"/>
      <x:c r="DS16" s="1419"/>
      <x:c r="DT16" s="1421"/>
      <x:c r="DU16" s="1422"/>
      <x:c r="DV16" s="678"/>
      <x:c r="DW16" s="1336"/>
      <x:c r="DX16" s="679"/>
      <x:c r="DY16" s="674"/>
      <x:c r="DZ16" s="678"/>
      <x:c r="EA16" s="1336"/>
      <x:c r="EB16" s="679"/>
      <x:c r="EC16" s="674"/>
      <x:c r="ED16" s="678"/>
      <x:c r="EE16" s="1336"/>
      <x:c r="EF16" s="679"/>
      <x:c r="EG16" s="674"/>
      <x:c r="EH16" s="678"/>
      <x:c r="EI16" s="1336"/>
      <x:c r="EJ16" s="679"/>
      <x:c r="EK16" s="680"/>
      <x:c r="EL16" s="241"/>
      <x:c r="EM16" s="1631" t="str">
        <x:f t="shared" si="35"/>
        <x:v/>
      </x:c>
      <x:c r="EN16" s="1428" t="str">
        <x:f t="shared" si="36"/>
        <x:v/>
      </x:c>
      <x:c r="EO16" s="1429" t="str">
        <x:f t="shared" si="37"/>
        <x:v/>
      </x:c>
      <x:c r="EP16" s="1430" t="str">
        <x:f t="shared" si="38"/>
        <x:v/>
      </x:c>
      <x:c r="EQ16" s="1434" t="str">
        <x:f t="shared" si="39"/>
        <x:v/>
      </x:c>
      <x:c r="ER16" s="1440" t="str">
        <x:f t="shared" si="40"/>
        <x:v/>
      </x:c>
      <x:c r="ES16" s="1441" t="str">
        <x:f t="shared" si="41"/>
        <x:v/>
      </x:c>
      <x:c r="ET16" s="1442" t="str">
        <x:f t="shared" si="42"/>
        <x:v/>
      </x:c>
      <x:c r="EU16" s="1443" t="str">
        <x:f t="shared" si="53"/>
        <x:v/>
      </x:c>
      <x:c r="EX16" s="503" t="str">
        <x:f t="shared" si="54"/>
        <x:v>G19B</x:v>
      </x:c>
      <x:c r="EY16" s="940" t="b">
        <x:f t="shared" ca="1" si="43"/>
        <x:v>1</x:v>
      </x:c>
      <x:c r="EZ16" s="940">
        <x:f t="shared" si="55"/>
        <x:v>5</x:v>
      </x:c>
      <x:c r="FA16" s="958" t="b">
        <x:f t="shared" ref="FA16:FA45" si="60">IF(FB16="","",IF(FC16=0,FA15,FB16=FF16))</x:f>
        <x:v>1</x:v>
      </x:c>
      <x:c r="FB16" s="134">
        <x:f t="shared" si="56"/>
        <x:v>668</x:v>
      </x:c>
      <x:c r="FC16" s="134">
        <x:f t="shared" si="44"/>
        <x:v>72.375</x:v>
      </x:c>
      <x:c r="FD16" s="134">
        <x:f t="shared" si="45"/>
        <x:v>523.25</x:v>
      </x:c>
      <x:c r="FE16" s="134">
        <x:f t="shared" si="46"/>
        <x:v>72.375</x:v>
      </x:c>
      <x:c r="FF16" s="134">
        <x:f t="shared" si="57"/>
        <x:v>668</x:v>
      </x:c>
      <x:c r="FN16" s="754" t="b">
        <x:v>0</x:v>
      </x:c>
      <x:c r="FO16" s="754" t="b">
        <x:f t="shared" si="47"/>
        <x:v>1</x:v>
      </x:c>
      <x:c r="FP16" s="754" t="b">
        <x:v>0</x:v>
      </x:c>
      <x:c r="FQ16" s="754" t="b">
        <x:f t="shared" si="58"/>
        <x:v>1</x:v>
      </x:c>
      <x:c r="FW16" s="2"/>
      <x:c r="FX16" s="2"/>
      <x:c r="FZ16" s="2"/>
      <x:c r="GA16" s="1761">
        <x:v>56</x:v>
      </x:c>
      <x:c r="GB16" s="1762">
        <x:v>0</x:v>
      </x:c>
      <x:c r="GC16" s="1763">
        <x:v>-0.25</x:v>
      </x:c>
      <x:c r="GD16" s="1764">
        <x:v>-0.25</x:v>
      </x:c>
      <x:c r="GE16" s="1765">
        <x:f t="shared" si="48"/>
        <x:v>0</x:v>
      </x:c>
      <x:c r="GF16" s="582" t="str">
        <x:f t="shared" si="49"/>
        <x:v>G19</x:v>
      </x:c>
      <x:c r="GG16" s="692">
        <x:v>0</x:v>
      </x:c>
      <x:c r="GH16" s="1135">
        <x:v>0</x:v>
      </x:c>
      <x:c r="GI16" s="692"/>
      <x:c r="GJ16" s="1135"/>
      <x:c r="GK16" s="1640">
        <x:f t="shared" si="50"/>
        <x:v>671.5</x:v>
      </x:c>
      <x:c r="GL16" s="1640">
        <x:f t="shared" si="51"/>
        <x:v>671.5</x:v>
      </x:c>
      <x:c r="GM16" s="1641">
        <x:f>IF(ABS(GK16-GL16)&gt;='Job Info.'!$L$22,ABS(GK16-GL16),0)</x:f>
        <x:v>0</x:v>
      </x:c>
      <x:c r="GO16" s="140"/>
      <x:c r="GP16" s="140"/>
      <x:c r="GZ16" s="140"/>
      <x:c r="HA16" s="1241" t="s">
        <x:v>1419</x:v>
      </x:c>
      <x:c r="HB16" s="1242">
        <x:v>2</x:v>
      </x:c>
      <x:c r="HC16" s="1242" t="s">
        <x:v>1587</x:v>
      </x:c>
      <x:c r="HD16" s="1243">
        <x:v>55</x:v>
      </x:c>
      <x:c r="HE16" s="1244">
        <x:v>11.5</x:v>
      </x:c>
      <x:c r="HF16" s="1242">
        <x:v>11.125</x:v>
      </x:c>
      <x:c r="HG16" s="1242">
        <x:v>0</x:v>
      </x:c>
      <x:c r="HH16" s="1242">
        <x:v>1.75</x:v>
      </x:c>
      <x:c r="HI16" s="1242" t="s">
        <x:v>113</x:v>
      </x:c>
      <x:c r="HJ16" s="1242">
        <x:v>0</x:v>
      </x:c>
      <x:c r="HK16" s="1242">
        <x:v>1.75</x:v>
      </x:c>
      <x:c r="HL16" s="1242" t="s">
        <x:v>113</x:v>
      </x:c>
      <x:c r="HM16" s="1242">
        <x:v>7.5</x:v>
      </x:c>
      <x:c r="HN16" s="1242">
        <x:v>7.5</x:v>
      </x:c>
      <x:c r="HO16" s="1242">
        <x:v>0</x:v>
      </x:c>
      <x:c r="HP16" s="1242">
        <x:v>6.75</x:v>
      </x:c>
      <x:c r="HQ16" s="1242">
        <x:v>0</x:v>
      </x:c>
      <x:c r="HR16" s="1242">
        <x:v>6.75</x:v>
      </x:c>
      <x:c r="HS16" s="1242">
        <x:v>0</x:v>
      </x:c>
      <x:c r="HT16" s="1242">
        <x:v>6.25</x:v>
      </x:c>
      <x:c r="HU16" s="1242">
        <x:v>0</x:v>
      </x:c>
      <x:c r="HV16" s="1242">
        <x:v>6.25</x:v>
      </x:c>
      <x:c r="HW16" s="1242">
        <x:v>5</x:v>
      </x:c>
      <x:c r="HX16" s="1242" t="s">
        <x:v>116</x:v>
      </x:c>
      <x:c r="HY16" s="1246" t="s">
        <x:v>116</x:v>
      </x:c>
      <x:c r="HZ16" s="1246" t="s">
        <x:v>1634</x:v>
      </x:c>
      <x:c r="IA16" s="1246" t="s">
        <x:v>116</x:v>
      </x:c>
      <x:c r="IB16" s="1246"/>
      <x:c r="IC16" s="1246"/>
      <x:c r="ID16" s="1261"/>
      <x:c r="IE16" s="1241" t="s">
        <x:v>1419</x:v>
      </x:c>
      <x:c r="IF16" s="1242" t="s">
        <x:v>35</x:v>
      </x:c>
      <x:c r="IG16" s="1243">
        <x:v>6</x:v>
      </x:c>
      <x:c r="IH16" s="1244">
        <x:v>0.375</x:v>
      </x:c>
      <x:c r="II16" s="1242">
        <x:v>7</x:v>
      </x:c>
      <x:c r="IJ16" s="1243">
        <x:v>6</x:v>
      </x:c>
      <x:c r="IK16" s="1244">
        <x:v>2.75</x:v>
      </x:c>
      <x:c r="IL16" s="1242">
        <x:v>6</x:v>
      </x:c>
      <x:c r="IM16" s="1242">
        <x:v>0.375</x:v>
      </x:c>
      <x:c r="IN16" s="1242" t="s">
        <x:v>116</x:v>
      </x:c>
      <x:c r="IO16" s="1242" t="s">
        <x:v>35</x:v>
      </x:c>
      <x:c r="IP16" s="1242">
        <x:v>5</x:v>
      </x:c>
      <x:c r="IQ16" s="1242">
        <x:v>13</x:v>
      </x:c>
      <x:c r="IR16" s="1242">
        <x:v>4</x:v>
      </x:c>
      <x:c r="IS16" s="1243">
        <x:v>1.75</x:v>
      </x:c>
      <x:c r="IT16" s="1244">
        <x:v>1.75</x:v>
      </x:c>
      <x:c r="IU16" s="1242" t="s">
        <x:v>116</x:v>
      </x:c>
      <x:c r="IV16" s="1242" t="s">
        <x:v>116</x:v>
      </x:c>
      <x:c r="IW16" s="1243" t="s">
        <x:v>116</x:v>
      </x:c>
      <x:c r="IX16" s="1244" t="s">
        <x:v>116</x:v>
      </x:c>
      <x:c r="IY16" s="1242" t="s">
        <x:v>116</x:v>
      </x:c>
      <x:c r="IZ16" s="1242" t="s">
        <x:v>116</x:v>
      </x:c>
      <x:c r="JA16" s="1243" t="s">
        <x:v>116</x:v>
      </x:c>
      <x:c r="JB16" s="1244" t="s">
        <x:v>116</x:v>
      </x:c>
      <x:c r="JC16" s="1242" t="s">
        <x:v>116</x:v>
      </x:c>
      <x:c r="JD16" s="1242" t="s">
        <x:v>116</x:v>
      </x:c>
      <x:c r="JE16" s="1243" t="s">
        <x:v>116</x:v>
      </x:c>
      <x:c r="JF16" s="1244" t="s">
        <x:v>116</x:v>
      </x:c>
      <x:c r="JG16" s="1242" t="s">
        <x:v>116</x:v>
      </x:c>
      <x:c r="JH16" s="1242" t="s">
        <x:v>116</x:v>
      </x:c>
      <x:c r="JI16" s="1242" t="s">
        <x:v>116</x:v>
      </x:c>
      <x:c r="JJ16" s="1245" t="s">
        <x:v>116</x:v>
      </x:c>
      <x:c r="JK16" s="1242">
        <x:v>1</x:v>
      </x:c>
      <x:c r="JL16" s="1171">
        <x:f t="shared" ref="JL16:JL45" ca="1" si="61">IF(ISBLANK(JK16),IF(JL15=0,0,IF(VALUE(OFFSET(JK16,JL15*-1,0))&lt;JL15+1,0,JL15+1)),1)</x:f>
        <x:v>1</x:v>
      </x:c>
    </x:row>
    <x:row r="17" spans="1:272" ht="12.6" customHeight="1" x14ac:dyDescent="0.25">
      <x:c r="A17" s="2764" t="s">
        <x:v>1420</x:v>
      </x:c>
      <x:c r="B17" s="2765">
        <x:v>2</x:v>
      </x:c>
      <x:c r="C17" s="2766" t="s">
        <x:v>1587</x:v>
      </x:c>
      <x:c r="D17" s="2767">
        <x:v>55</x:v>
      </x:c>
      <x:c r="E17" s="2768">
        <x:v>10.875</x:v>
      </x:c>
      <x:c r="F17" s="2769">
        <x:v>11.125</x:v>
      </x:c>
      <x:c r="G17" s="2770">
        <x:v>0</x:v>
      </x:c>
      <x:c r="H17" s="2771">
        <x:v>1.75</x:v>
      </x:c>
      <x:c r="I17" s="2772" t="s">
        <x:v>113</x:v>
      </x:c>
      <x:c r="J17" s="2767" t="str">
        <x:f t="shared" ref="J17:J45" si="62">IF(DJ57=0,"",TRUNC(DJ57/12))</x:f>
        <x:v/>
      </x:c>
      <x:c r="K17" s="2771" t="str">
        <x:f t="shared" ref="K17:K45" si="63">IF(DJ57=0,"",DJ57-(J17*12))</x:f>
        <x:v/>
      </x:c>
      <x:c r="L17" s="2773" t="str">
        <x:f t="shared" ref="L17:L45" si="64">IF(DJ57=0,"",CN57)</x:f>
        <x:v/>
      </x:c>
      <x:c r="M17" s="2774">
        <x:v>7.5</x:v>
      </x:c>
      <x:c r="N17" s="2775">
        <x:v>10</x:v>
      </x:c>
      <x:c r="O17" s="2770">
        <x:v>0</x:v>
      </x:c>
      <x:c r="P17" s="2771">
        <x:v>6.75</x:v>
      </x:c>
      <x:c r="Q17" s="2767">
        <x:v>0</x:v>
      </x:c>
      <x:c r="R17" s="2768">
        <x:v>6.125</x:v>
      </x:c>
      <x:c r="S17" s="2776">
        <x:v>0</x:v>
      </x:c>
      <x:c r="T17" s="2771">
        <x:v>6.25</x:v>
      </x:c>
      <x:c r="U17" s="2767">
        <x:v>0</x:v>
      </x:c>
      <x:c r="V17" s="2771">
        <x:v>2.125</x:v>
      </x:c>
      <x:c r="W17" s="2775">
        <x:v>5</x:v>
      </x:c>
      <x:c r="X17" s="2777" t="str">
        <x:f t="shared" si="0"/>
        <x:v/>
      </x:c>
      <x:c r="Y17" s="2778" t="str">
        <x:f t="shared" si="1"/>
        <x:v/>
      </x:c>
      <x:c r="Z17" s="2779" t="s">
        <x:v>1635</x:v>
      </x:c>
      <x:c r="AA17" s="2839" t="str">
        <x:f t="shared" si="2"/>
        <x:v/>
      </x:c>
      <x:c r="AB17" s="2764" t="s">
        <x:v>1420</x:v>
      </x:c>
      <x:c r="AC17" s="2772" t="s">
        <x:v>35</x:v>
      </x:c>
      <x:c r="AD17" s="2767">
        <x:v>6</x:v>
      </x:c>
      <x:c r="AE17" s="2771">
        <x:v>0.375</x:v>
      </x:c>
      <x:c r="AF17" s="2772">
        <x:v>7</x:v>
      </x:c>
      <x:c r="AG17" s="2767">
        <x:v>6</x:v>
      </x:c>
      <x:c r="AH17" s="2771">
        <x:v>2.75</x:v>
      </x:c>
      <x:c r="AI17" s="2767">
        <x:v>6</x:v>
      </x:c>
      <x:c r="AJ17" s="2771">
        <x:v>1.5</x:v>
      </x:c>
      <x:c r="AK17" s="2813" t="str">
        <x:f t="shared" si="3"/>
        <x:v/>
      </x:c>
      <x:c r="AL17" s="2814" t="s">
        <x:v>35</x:v>
      </x:c>
      <x:c r="AM17" s="2815">
        <x:v>5</x:v>
      </x:c>
      <x:c r="AN17" s="2772">
        <x:v>13</x:v>
      </x:c>
      <x:c r="AO17" s="2775">
        <x:v>4</x:v>
      </x:c>
      <x:c r="AP17" s="2774">
        <x:v>1.75</x:v>
      </x:c>
      <x:c r="AQ17" s="2817" t="str">
        <x:f t="shared" si="4"/>
        <x:v/>
      </x:c>
      <x:c r="AR17" s="2770" t="str">
        <x:f t="shared" si="5"/>
        <x:v/>
      </x:c>
      <x:c r="AS17" s="2771" t="str">
        <x:f t="shared" si="6"/>
        <x:v/>
      </x:c>
      <x:c r="AT17" s="2818" t="str">
        <x:f t="shared" si="7"/>
        <x:v/>
      </x:c>
      <x:c r="AU17" s="2819" t="str">
        <x:f t="shared" si="8"/>
        <x:v/>
      </x:c>
      <x:c r="AV17" s="2776" t="str">
        <x:f t="shared" si="9"/>
        <x:v/>
      </x:c>
      <x:c r="AW17" s="2771" t="str">
        <x:f t="shared" si="10"/>
        <x:v/>
      </x:c>
      <x:c r="AX17" s="2818" t="str">
        <x:f t="shared" si="11"/>
        <x:v/>
      </x:c>
      <x:c r="AY17" s="2819" t="str">
        <x:f t="shared" si="12"/>
        <x:v/>
      </x:c>
      <x:c r="AZ17" s="2776" t="str">
        <x:f t="shared" si="13"/>
        <x:v/>
      </x:c>
      <x:c r="BA17" s="2771" t="str">
        <x:f t="shared" si="14"/>
        <x:v/>
      </x:c>
      <x:c r="BB17" s="2818" t="str">
        <x:f t="shared" si="15"/>
        <x:v/>
      </x:c>
      <x:c r="BC17" s="2819" t="str">
        <x:f t="shared" si="16"/>
        <x:v/>
      </x:c>
      <x:c r="BD17" s="2776" t="str">
        <x:f t="shared" si="17"/>
        <x:v/>
      </x:c>
      <x:c r="BE17" s="2771" t="str">
        <x:f t="shared" si="18"/>
        <x:v/>
      </x:c>
      <x:c r="BF17" s="2818" t="str">
        <x:f t="shared" si="19"/>
        <x:v/>
      </x:c>
      <x:c r="BG17" s="2819" t="str">
        <x:f t="shared" si="20"/>
        <x:v/>
      </x:c>
      <x:c r="BH17" s="1416"/>
      <x:c r="BJ17" s="995" t="str">
        <x:f t="shared" si="59"/>
        <x:v>G20</x:v>
      </x:c>
      <x:c r="BK17" s="993" t="b">
        <x:f t="shared" si="21"/>
        <x:v>0</x:v>
      </x:c>
      <x:c r="BL17" s="1800" t="b">
        <x:v>0</x:v>
      </x:c>
      <x:c r="BM17" s="989">
        <x:f t="shared" si="22"/>
        <x:v>52</x:v>
      </x:c>
      <x:c r="BN17" s="989" t="str">
        <x:f t="shared" si="23"/>
        <x:v>VG</x:v>
      </x:c>
      <x:c r="BO17" s="989">
        <x:f t="shared" si="24"/>
        <x:v>9</x:v>
      </x:c>
      <x:c r="BP17" s="989">
        <x:f t="shared" si="25"/>
        <x:v>18.3</x:v>
      </x:c>
      <x:c r="BQ17" s="989">
        <x:f t="shared" si="26"/>
        <x:v>0</x:v>
      </x:c>
      <x:c r="BR17" s="989" t="b">
        <x:f t="shared" si="27"/>
        <x:v>1</x:v>
      </x:c>
      <x:c r="BS17" s="1302">
        <x:f t="shared" si="28"/>
        <x:v>7.75</x:v>
      </x:c>
      <x:c r="BT17" s="990" t="str">
        <x:f t="shared" si="29"/>
        <x:v>Yes</x:v>
      </x:c>
      <x:c r="BU17" s="1302">
        <x:f t="shared" si="30"/>
        <x:v>6</x:v>
      </x:c>
      <x:c r="BV17" s="990" t="str">
        <x:f t="shared" si="31"/>
        <x:v>Yes</x:v>
      </x:c>
      <x:c r="BW17" s="991">
        <x:f t="shared" si="32"/>
        <x:v>14</x:v>
      </x:c>
      <x:c r="BX17" s="991" t="str">
        <x:f t="shared" si="33"/>
        <x:v>G20</x:v>
      </x:c>
      <x:c r="BY17" s="991" t="b">
        <x:f t="shared" si="34"/>
        <x:v>0</x:v>
      </x:c>
      <x:c r="BZ17" s="991" t="b">
        <x:f t="shared" si="52"/>
        <x:v>0</x:v>
      </x:c>
      <x:c r="CB17" s="672"/>
      <x:c r="CC17" s="1684"/>
      <x:c r="CD17" s="699"/>
      <x:c r="CE17" s="700"/>
      <x:c r="CF17" s="701"/>
      <x:c r="CG17" s="672"/>
      <x:c r="CH17" s="713"/>
      <x:c r="CI17" s="714"/>
      <x:c r="CJ17" s="713"/>
      <x:c r="CK17" s="714"/>
      <x:c r="CL17" s="715"/>
      <x:c r="CM17" s="743"/>
      <x:c r="CN17" s="738"/>
      <x:c r="CO17" s="1551"/>
      <x:c r="CP17" s="910"/>
      <x:c r="CQ17" s="672"/>
      <x:c r="CR17" s="713"/>
      <x:c r="CS17" s="714"/>
      <x:c r="CT17" s="713"/>
      <x:c r="CU17" s="714"/>
      <x:c r="CV17" s="715"/>
      <x:c r="CW17" s="743"/>
      <x:c r="CX17" s="738"/>
      <x:c r="CY17" s="1551"/>
      <x:c r="CZ17" s="910"/>
      <x:c r="DA17" s="717"/>
      <x:c r="DB17" s="702"/>
      <x:c r="DC17" s="703"/>
      <x:c r="DD17" s="725"/>
      <x:c r="DE17" s="726"/>
      <x:c r="DF17" s="141"/>
      <x:c r="DG17" s="141"/>
      <x:c r="DH17" s="672"/>
      <x:c r="DI17" s="673"/>
      <x:c r="DJ17" s="692"/>
      <x:c r="DK17" s="1331"/>
      <x:c r="DL17" s="674"/>
      <x:c r="DM17" s="693"/>
      <x:c r="DN17" s="1334"/>
      <x:c r="DO17" s="675"/>
      <x:c r="DP17" s="676"/>
      <x:c r="DQ17" s="1419"/>
      <x:c r="DR17" s="677"/>
      <x:c r="DS17" s="1419"/>
      <x:c r="DT17" s="1421"/>
      <x:c r="DU17" s="1422"/>
      <x:c r="DV17" s="678"/>
      <x:c r="DW17" s="1336"/>
      <x:c r="DX17" s="679"/>
      <x:c r="DY17" s="674"/>
      <x:c r="DZ17" s="678"/>
      <x:c r="EA17" s="1336"/>
      <x:c r="EB17" s="679"/>
      <x:c r="EC17" s="674"/>
      <x:c r="ED17" s="678"/>
      <x:c r="EE17" s="1336"/>
      <x:c r="EF17" s="679"/>
      <x:c r="EG17" s="674"/>
      <x:c r="EH17" s="678"/>
      <x:c r="EI17" s="1336"/>
      <x:c r="EJ17" s="679"/>
      <x:c r="EK17" s="680"/>
      <x:c r="EL17" s="241"/>
      <x:c r="EM17" s="1631" t="str">
        <x:f t="shared" si="35"/>
        <x:v/>
      </x:c>
      <x:c r="EN17" s="1428" t="str">
        <x:f t="shared" si="36"/>
        <x:v/>
      </x:c>
      <x:c r="EO17" s="1429" t="str">
        <x:f t="shared" si="37"/>
        <x:v/>
      </x:c>
      <x:c r="EP17" s="1430" t="str">
        <x:f t="shared" si="38"/>
        <x:v/>
      </x:c>
      <x:c r="EQ17" s="1434" t="str">
        <x:f t="shared" si="39"/>
        <x:v/>
      </x:c>
      <x:c r="ER17" s="1440" t="str">
        <x:f t="shared" si="40"/>
        <x:v/>
      </x:c>
      <x:c r="ES17" s="1441" t="str">
        <x:f t="shared" si="41"/>
        <x:v/>
      </x:c>
      <x:c r="ET17" s="1442" t="str">
        <x:f t="shared" si="42"/>
        <x:v/>
      </x:c>
      <x:c r="EU17" s="1443" t="str">
        <x:f t="shared" si="53"/>
        <x:v/>
      </x:c>
      <x:c r="EX17" s="503" t="str">
        <x:f t="shared" si="54"/>
        <x:v>G20B</x:v>
      </x:c>
      <x:c r="EY17" s="940" t="b">
        <x:f t="shared" ca="1" si="43"/>
        <x:v>1</x:v>
      </x:c>
      <x:c r="EZ17" s="940">
        <x:f t="shared" si="55"/>
        <x:v>5</x:v>
      </x:c>
      <x:c r="FA17" s="958" t="b">
        <x:f t="shared" si="60"/>
        <x:v>1</x:v>
      </x:c>
      <x:c r="FB17" s="134">
        <x:f t="shared" si="56"/>
        <x:v>669.125</x:v>
      </x:c>
      <x:c r="FC17" s="134">
        <x:f t="shared" si="44"/>
        <x:v>72.375</x:v>
      </x:c>
      <x:c r="FD17" s="134">
        <x:f t="shared" si="45"/>
        <x:v>523.25</x:v>
      </x:c>
      <x:c r="FE17" s="134">
        <x:f t="shared" si="46"/>
        <x:v>73.5</x:v>
      </x:c>
      <x:c r="FF17" s="134">
        <x:f t="shared" si="57"/>
        <x:v>669.125</x:v>
      </x:c>
      <x:c r="FN17" s="754" t="b">
        <x:v>0</x:v>
      </x:c>
      <x:c r="FO17" s="754" t="b">
        <x:f t="shared" si="47"/>
        <x:v>1</x:v>
      </x:c>
      <x:c r="FP17" s="754" t="b">
        <x:v>0</x:v>
      </x:c>
      <x:c r="FQ17" s="754" t="b">
        <x:f t="shared" si="58"/>
        <x:v>1</x:v>
      </x:c>
      <x:c r="FW17" s="2"/>
      <x:c r="FX17" s="2"/>
      <x:c r="FZ17" s="2"/>
      <x:c r="GA17" s="1761">
        <x:v>56</x:v>
      </x:c>
      <x:c r="GB17" s="1762">
        <x:v>0</x:v>
      </x:c>
      <x:c r="GC17" s="1763">
        <x:v>-0.25</x:v>
      </x:c>
      <x:c r="GD17" s="1764">
        <x:v>-0.875</x:v>
      </x:c>
      <x:c r="GE17" s="1765">
        <x:f t="shared" si="48"/>
        <x:v>0</x:v>
      </x:c>
      <x:c r="GF17" s="582" t="str">
        <x:f t="shared" si="49"/>
        <x:v>G20</x:v>
      </x:c>
      <x:c r="GG17" s="692">
        <x:v>0</x:v>
      </x:c>
      <x:c r="GH17" s="1135">
        <x:v>0</x:v>
      </x:c>
      <x:c r="GI17" s="692"/>
      <x:c r="GJ17" s="1135"/>
      <x:c r="GK17" s="1640">
        <x:f t="shared" si="50"/>
        <x:v>670.875</x:v>
      </x:c>
      <x:c r="GL17" s="1640">
        <x:f t="shared" si="51"/>
        <x:v>670.875</x:v>
      </x:c>
      <x:c r="GM17" s="1641">
        <x:f>IF(ABS(GK17-GL17)&gt;='Job Info.'!$L$22,ABS(GK17-GL17),0)</x:f>
        <x:v>0</x:v>
      </x:c>
      <x:c r="HA17" s="1241" t="s">
        <x:v>1420</x:v>
      </x:c>
      <x:c r="HB17" s="1242">
        <x:v>2</x:v>
      </x:c>
      <x:c r="HC17" s="1242" t="s">
        <x:v>1587</x:v>
      </x:c>
      <x:c r="HD17" s="1243">
        <x:v>55</x:v>
      </x:c>
      <x:c r="HE17" s="1244">
        <x:v>10.875</x:v>
      </x:c>
      <x:c r="HF17" s="1242">
        <x:v>11.125</x:v>
      </x:c>
      <x:c r="HG17" s="1242">
        <x:v>0</x:v>
      </x:c>
      <x:c r="HH17" s="1242">
        <x:v>1.75</x:v>
      </x:c>
      <x:c r="HI17" s="1242" t="s">
        <x:v>113</x:v>
      </x:c>
      <x:c r="HJ17" s="1242" t="s">
        <x:v>116</x:v>
      </x:c>
      <x:c r="HK17" s="1242" t="s">
        <x:v>116</x:v>
      </x:c>
      <x:c r="HL17" s="1242" t="s">
        <x:v>116</x:v>
      </x:c>
      <x:c r="HM17" s="1242">
        <x:v>7.5</x:v>
      </x:c>
      <x:c r="HN17" s="1242">
        <x:v>10</x:v>
      </x:c>
      <x:c r="HO17" s="1242">
        <x:v>0</x:v>
      </x:c>
      <x:c r="HP17" s="1242">
        <x:v>6.75</x:v>
      </x:c>
      <x:c r="HQ17" s="1242">
        <x:v>0</x:v>
      </x:c>
      <x:c r="HR17" s="1242">
        <x:v>6.125</x:v>
      </x:c>
      <x:c r="HS17" s="1242">
        <x:v>0</x:v>
      </x:c>
      <x:c r="HT17" s="1242">
        <x:v>6.25</x:v>
      </x:c>
      <x:c r="HU17" s="1242">
        <x:v>0</x:v>
      </x:c>
      <x:c r="HV17" s="1242">
        <x:v>2.125</x:v>
      </x:c>
      <x:c r="HW17" s="1242">
        <x:v>5</x:v>
      </x:c>
      <x:c r="HX17" s="1242" t="s">
        <x:v>116</x:v>
      </x:c>
      <x:c r="HY17" s="1246" t="s">
        <x:v>116</x:v>
      </x:c>
      <x:c r="HZ17" s="1246" t="s">
        <x:v>1635</x:v>
      </x:c>
      <x:c r="IA17" s="1246" t="s">
        <x:v>116</x:v>
      </x:c>
      <x:c r="IB17" s="1246"/>
      <x:c r="IC17" s="1246"/>
      <x:c r="ID17" s="1261"/>
      <x:c r="IE17" s="1241" t="s">
        <x:v>1420</x:v>
      </x:c>
      <x:c r="IF17" s="1242" t="s">
        <x:v>35</x:v>
      </x:c>
      <x:c r="IG17" s="1243">
        <x:v>6</x:v>
      </x:c>
      <x:c r="IH17" s="1244">
        <x:v>0.375</x:v>
      </x:c>
      <x:c r="II17" s="1242">
        <x:v>7</x:v>
      </x:c>
      <x:c r="IJ17" s="1243">
        <x:v>6</x:v>
      </x:c>
      <x:c r="IK17" s="1244">
        <x:v>2.75</x:v>
      </x:c>
      <x:c r="IL17" s="1242">
        <x:v>6</x:v>
      </x:c>
      <x:c r="IM17" s="1242">
        <x:v>1.5</x:v>
      </x:c>
      <x:c r="IN17" s="1242" t="s">
        <x:v>116</x:v>
      </x:c>
      <x:c r="IO17" s="1242" t="s">
        <x:v>35</x:v>
      </x:c>
      <x:c r="IP17" s="1242">
        <x:v>5</x:v>
      </x:c>
      <x:c r="IQ17" s="1242">
        <x:v>13</x:v>
      </x:c>
      <x:c r="IR17" s="1242">
        <x:v>4</x:v>
      </x:c>
      <x:c r="IS17" s="1243">
        <x:v>1.75</x:v>
      </x:c>
      <x:c r="IT17" s="1244" t="s">
        <x:v>116</x:v>
      </x:c>
      <x:c r="IU17" s="1242" t="s">
        <x:v>116</x:v>
      </x:c>
      <x:c r="IV17" s="1242" t="s">
        <x:v>116</x:v>
      </x:c>
      <x:c r="IW17" s="1243" t="s">
        <x:v>116</x:v>
      </x:c>
      <x:c r="IX17" s="1244" t="s">
        <x:v>116</x:v>
      </x:c>
      <x:c r="IY17" s="1242" t="s">
        <x:v>116</x:v>
      </x:c>
      <x:c r="IZ17" s="1242" t="s">
        <x:v>116</x:v>
      </x:c>
      <x:c r="JA17" s="1243" t="s">
        <x:v>116</x:v>
      </x:c>
      <x:c r="JB17" s="1244" t="s">
        <x:v>116</x:v>
      </x:c>
      <x:c r="JC17" s="1242" t="s">
        <x:v>116</x:v>
      </x:c>
      <x:c r="JD17" s="1242" t="s">
        <x:v>116</x:v>
      </x:c>
      <x:c r="JE17" s="1243" t="s">
        <x:v>116</x:v>
      </x:c>
      <x:c r="JF17" s="1244" t="s">
        <x:v>116</x:v>
      </x:c>
      <x:c r="JG17" s="1242" t="s">
        <x:v>116</x:v>
      </x:c>
      <x:c r="JH17" s="1242" t="s">
        <x:v>116</x:v>
      </x:c>
      <x:c r="JI17" s="1242" t="s">
        <x:v>116</x:v>
      </x:c>
      <x:c r="JJ17" s="1245" t="s">
        <x:v>116</x:v>
      </x:c>
      <x:c r="JK17" s="1242">
        <x:v>1</x:v>
      </x:c>
      <x:c r="JL17" s="1171">
        <x:f t="shared" ca="1" si="61"/>
        <x:v>1</x:v>
      </x:c>
    </x:row>
    <x:row r="18" spans="1:272" ht="12.6" customHeight="1" x14ac:dyDescent="0.25">
      <x:c r="A18" s="2764" t="s">
        <x:v>1421</x:v>
      </x:c>
      <x:c r="B18" s="2765">
        <x:v>1</x:v>
      </x:c>
      <x:c r="C18" s="2766" t="s">
        <x:v>1587</x:v>
      </x:c>
      <x:c r="D18" s="2767">
        <x:v>55</x:v>
      </x:c>
      <x:c r="E18" s="2768">
        <x:v>8.75</x:v>
      </x:c>
      <x:c r="F18" s="2769">
        <x:v>11.125</x:v>
      </x:c>
      <x:c r="G18" s="2770">
        <x:v>0</x:v>
      </x:c>
      <x:c r="H18" s="2771">
        <x:v>1.75</x:v>
      </x:c>
      <x:c r="I18" s="2772" t="s">
        <x:v>113</x:v>
      </x:c>
      <x:c r="J18" s="2767">
        <x:v>0</x:v>
      </x:c>
      <x:c r="K18" s="2771">
        <x:v>5</x:v>
      </x:c>
      <x:c r="L18" s="2773" t="s">
        <x:v>113</x:v>
      </x:c>
      <x:c r="M18" s="2774">
        <x:v>7.5</x:v>
      </x:c>
      <x:c r="N18" s="2775">
        <x:v>10</x:v>
      </x:c>
      <x:c r="O18" s="2770">
        <x:v>0</x:v>
      </x:c>
      <x:c r="P18" s="2771">
        <x:v>6.75</x:v>
      </x:c>
      <x:c r="Q18" s="2767">
        <x:v>0</x:v>
      </x:c>
      <x:c r="R18" s="2768">
        <x:v>4</x:v>
      </x:c>
      <x:c r="S18" s="2776">
        <x:v>0</x:v>
      </x:c>
      <x:c r="T18" s="2771">
        <x:v>6.25</x:v>
      </x:c>
      <x:c r="U18" s="2767">
        <x:v>0</x:v>
      </x:c>
      <x:c r="V18" s="2771">
        <x:v>4.625</x:v>
      </x:c>
      <x:c r="W18" s="2775">
        <x:v>5</x:v>
      </x:c>
      <x:c r="X18" s="2777" t="str">
        <x:f t="shared" si="0"/>
        <x:v/>
      </x:c>
      <x:c r="Y18" s="2778" t="str">
        <x:f t="shared" si="1"/>
        <x:v/>
      </x:c>
      <x:c r="Z18" s="2781" t="s">
        <x:v>1705</x:v>
      </x:c>
      <x:c r="AA18" s="2839" t="str">
        <x:f t="shared" si="2"/>
        <x:v/>
      </x:c>
      <x:c r="AB18" s="2764" t="s">
        <x:v>1421</x:v>
      </x:c>
      <x:c r="AC18" s="2772" t="s">
        <x:v>35</x:v>
      </x:c>
      <x:c r="AD18" s="2767">
        <x:v>6</x:v>
      </x:c>
      <x:c r="AE18" s="2771">
        <x:v>0.375</x:v>
      </x:c>
      <x:c r="AF18" s="2772">
        <x:v>7</x:v>
      </x:c>
      <x:c r="AG18" s="2767">
        <x:v>6</x:v>
      </x:c>
      <x:c r="AH18" s="2771">
        <x:v>2.75</x:v>
      </x:c>
      <x:c r="AI18" s="2767">
        <x:v>5</x:v>
      </x:c>
      <x:c r="AJ18" s="2771">
        <x:v>6.375</x:v>
      </x:c>
      <x:c r="AK18" s="2813" t="str">
        <x:f t="shared" si="3"/>
        <x:v/>
      </x:c>
      <x:c r="AL18" s="2814" t="s">
        <x:v>35</x:v>
      </x:c>
      <x:c r="AM18" s="2815">
        <x:v>5</x:v>
      </x:c>
      <x:c r="AN18" s="2772">
        <x:v>13</x:v>
      </x:c>
      <x:c r="AO18" s="2775">
        <x:v>4</x:v>
      </x:c>
      <x:c r="AP18" s="2774">
        <x:v>1.75</x:v>
      </x:c>
      <x:c r="AQ18" s="2817" t="str">
        <x:f t="shared" si="4"/>
        <x:v/>
      </x:c>
      <x:c r="AR18" s="2770">
        <x:v>54</x:v>
      </x:c>
      <x:c r="AS18" s="2771">
        <x:v>8</x:v>
      </x:c>
      <x:c r="AT18" s="2818">
        <x:v>18.3</x:v>
      </x:c>
      <x:c r="AU18" s="2819" t="s">
        <x:v>35</x:v>
      </x:c>
      <x:c r="AV18" s="2776" t="str">
        <x:f t="shared" si="9"/>
        <x:v/>
      </x:c>
      <x:c r="AW18" s="2771" t="str">
        <x:f t="shared" si="10"/>
        <x:v/>
      </x:c>
      <x:c r="AX18" s="2818" t="str">
        <x:f t="shared" si="11"/>
        <x:v/>
      </x:c>
      <x:c r="AY18" s="2819" t="str">
        <x:f t="shared" si="12"/>
        <x:v/>
      </x:c>
      <x:c r="AZ18" s="2776" t="str">
        <x:f t="shared" si="13"/>
        <x:v/>
      </x:c>
      <x:c r="BA18" s="2771" t="str">
        <x:f t="shared" si="14"/>
        <x:v/>
      </x:c>
      <x:c r="BB18" s="2818" t="str">
        <x:f t="shared" si="15"/>
        <x:v/>
      </x:c>
      <x:c r="BC18" s="2819" t="str">
        <x:f t="shared" si="16"/>
        <x:v/>
      </x:c>
      <x:c r="BD18" s="2776" t="str">
        <x:f t="shared" si="17"/>
        <x:v/>
      </x:c>
      <x:c r="BE18" s="2771" t="str">
        <x:f t="shared" si="18"/>
        <x:v/>
      </x:c>
      <x:c r="BF18" s="2818" t="str">
        <x:f t="shared" si="19"/>
        <x:v/>
      </x:c>
      <x:c r="BG18" s="2819" t="str">
        <x:f t="shared" si="20"/>
        <x:v/>
      </x:c>
      <x:c r="BH18" s="1416"/>
      <x:c r="BJ18" s="995" t="str">
        <x:f t="shared" si="59"/>
        <x:v>G21</x:v>
      </x:c>
      <x:c r="BK18" s="993" t="b">
        <x:f t="shared" si="21"/>
        <x:v>0</x:v>
      </x:c>
      <x:c r="BL18" s="1800" t="b">
        <x:v>0</x:v>
      </x:c>
      <x:c r="BM18" s="989">
        <x:f t="shared" si="22"/>
        <x:v>52</x:v>
      </x:c>
      <x:c r="BN18" s="989" t="str">
        <x:f t="shared" si="23"/>
        <x:v>VG</x:v>
      </x:c>
      <x:c r="BO18" s="989">
        <x:f t="shared" si="24"/>
        <x:v>9</x:v>
      </x:c>
      <x:c r="BP18" s="989">
        <x:f t="shared" si="25"/>
        <x:v>18.3</x:v>
      </x:c>
      <x:c r="BQ18" s="989">
        <x:f t="shared" si="26"/>
        <x:v>0</x:v>
      </x:c>
      <x:c r="BR18" s="989" t="b">
        <x:f t="shared" si="27"/>
        <x:v>1</x:v>
      </x:c>
      <x:c r="BS18" s="1302">
        <x:f t="shared" si="28"/>
        <x:v>7.75</x:v>
      </x:c>
      <x:c r="BT18" s="990" t="str">
        <x:f t="shared" si="29"/>
        <x:v>Yes</x:v>
      </x:c>
      <x:c r="BU18" s="1302">
        <x:f t="shared" si="30"/>
        <x:v>11</x:v>
      </x:c>
      <x:c r="BV18" s="990" t="str">
        <x:f t="shared" si="31"/>
        <x:v>Yes</x:v>
      </x:c>
      <x:c r="BW18" s="991">
        <x:f t="shared" si="32"/>
        <x:v>18</x:v>
      </x:c>
      <x:c r="BX18" s="991" t="str">
        <x:f t="shared" si="33"/>
        <x:v>G21</x:v>
      </x:c>
      <x:c r="BY18" s="991" t="b">
        <x:f t="shared" si="34"/>
        <x:v>0</x:v>
      </x:c>
      <x:c r="BZ18" s="991" t="b">
        <x:f t="shared" si="52"/>
        <x:v>0</x:v>
      </x:c>
      <x:c r="CB18" s="672"/>
      <x:c r="CC18" s="1684"/>
      <x:c r="CD18" s="699"/>
      <x:c r="CE18" s="700"/>
      <x:c r="CF18" s="701"/>
      <x:c r="CG18" s="672"/>
      <x:c r="CH18" s="713"/>
      <x:c r="CI18" s="714"/>
      <x:c r="CJ18" s="713"/>
      <x:c r="CK18" s="714"/>
      <x:c r="CL18" s="715"/>
      <x:c r="CM18" s="743"/>
      <x:c r="CN18" s="738"/>
      <x:c r="CO18" s="1551"/>
      <x:c r="CP18" s="910"/>
      <x:c r="CQ18" s="672"/>
      <x:c r="CR18" s="713"/>
      <x:c r="CS18" s="714"/>
      <x:c r="CT18" s="713"/>
      <x:c r="CU18" s="714"/>
      <x:c r="CV18" s="715"/>
      <x:c r="CW18" s="743"/>
      <x:c r="CX18" s="738"/>
      <x:c r="CY18" s="1551"/>
      <x:c r="CZ18" s="910"/>
      <x:c r="DA18" s="717"/>
      <x:c r="DB18" s="702"/>
      <x:c r="DC18" s="703"/>
      <x:c r="DD18" s="725"/>
      <x:c r="DE18" s="726"/>
      <x:c r="DF18" s="141"/>
      <x:c r="DG18" s="141"/>
      <x:c r="DH18" s="672"/>
      <x:c r="DI18" s="673"/>
      <x:c r="DJ18" s="692"/>
      <x:c r="DK18" s="1331"/>
      <x:c r="DL18" s="674"/>
      <x:c r="DM18" s="693"/>
      <x:c r="DN18" s="1334"/>
      <x:c r="DO18" s="675"/>
      <x:c r="DP18" s="676"/>
      <x:c r="DQ18" s="1419"/>
      <x:c r="DR18" s="677"/>
      <x:c r="DS18" s="1419"/>
      <x:c r="DT18" s="1421"/>
      <x:c r="DU18" s="1422"/>
      <x:c r="DV18" s="678"/>
      <x:c r="DW18" s="1336"/>
      <x:c r="DX18" s="679"/>
      <x:c r="DY18" s="674"/>
      <x:c r="DZ18" s="678"/>
      <x:c r="EA18" s="1336"/>
      <x:c r="EB18" s="679"/>
      <x:c r="EC18" s="674"/>
      <x:c r="ED18" s="678"/>
      <x:c r="EE18" s="1336"/>
      <x:c r="EF18" s="679"/>
      <x:c r="EG18" s="674"/>
      <x:c r="EH18" s="678"/>
      <x:c r="EI18" s="1336"/>
      <x:c r="EJ18" s="679"/>
      <x:c r="EK18" s="680"/>
      <x:c r="EL18" s="241"/>
      <x:c r="EM18" s="1631" t="str">
        <x:f t="shared" si="35"/>
        <x:v/>
      </x:c>
      <x:c r="EN18" s="1428" t="str">
        <x:f t="shared" si="36"/>
        <x:v/>
      </x:c>
      <x:c r="EO18" s="1429" t="str">
        <x:f t="shared" si="37"/>
        <x:v/>
      </x:c>
      <x:c r="EP18" s="1430" t="str">
        <x:f t="shared" si="38"/>
        <x:v/>
      </x:c>
      <x:c r="EQ18" s="1434" t="str">
        <x:f t="shared" si="39"/>
        <x:v/>
      </x:c>
      <x:c r="ER18" s="1440" t="str">
        <x:f t="shared" si="40"/>
        <x:v/>
      </x:c>
      <x:c r="ES18" s="1441" t="str">
        <x:f t="shared" si="41"/>
        <x:v/>
      </x:c>
      <x:c r="ET18" s="1442" t="str">
        <x:f t="shared" si="42"/>
        <x:v/>
      </x:c>
      <x:c r="EU18" s="1443" t="str">
        <x:f t="shared" si="53"/>
        <x:v/>
      </x:c>
      <x:c r="EX18" s="503" t="str">
        <x:f t="shared" si="54"/>
        <x:v>G21B</x:v>
      </x:c>
      <x:c r="EY18" s="940" t="b">
        <x:f t="shared" ca="1" si="43"/>
        <x:v>1</x:v>
      </x:c>
      <x:c r="EZ18" s="940">
        <x:f t="shared" si="55"/>
        <x:v>5</x:v>
      </x:c>
      <x:c r="FA18" s="958" t="b">
        <x:f t="shared" si="60"/>
        <x:v>1</x:v>
      </x:c>
      <x:c r="FB18" s="134">
        <x:f t="shared" si="56"/>
        <x:v>662</x:v>
      </x:c>
      <x:c r="FC18" s="134">
        <x:f t="shared" si="44"/>
        <x:v>72.375</x:v>
      </x:c>
      <x:c r="FD18" s="134">
        <x:f t="shared" si="45"/>
        <x:v>523.25</x:v>
      </x:c>
      <x:c r="FE18" s="134">
        <x:f t="shared" si="46"/>
        <x:v>66.375</x:v>
      </x:c>
      <x:c r="FF18" s="134">
        <x:f t="shared" si="57"/>
        <x:v>662</x:v>
      </x:c>
      <x:c r="FN18" s="754" t="b">
        <x:v>0</x:v>
      </x:c>
      <x:c r="FO18" s="754" t="b">
        <x:f t="shared" si="47"/>
        <x:v>1</x:v>
      </x:c>
      <x:c r="FP18" s="754" t="b">
        <x:v>0</x:v>
      </x:c>
      <x:c r="FQ18" s="754" t="b">
        <x:f t="shared" si="58"/>
        <x:v>1</x:v>
      </x:c>
      <x:c r="FW18" s="2"/>
      <x:c r="FX18" s="2"/>
      <x:c r="FZ18" s="2"/>
      <x:c r="GA18" s="1761">
        <x:v>56</x:v>
      </x:c>
      <x:c r="GB18" s="1762">
        <x:v>0</x:v>
      </x:c>
      <x:c r="GC18" s="1763">
        <x:v>-0.25</x:v>
      </x:c>
      <x:c r="GD18" s="1764">
        <x:v>-3</x:v>
      </x:c>
      <x:c r="GE18" s="1765">
        <x:f t="shared" si="48"/>
        <x:v>0</x:v>
      </x:c>
      <x:c r="GF18" s="582" t="str">
        <x:f t="shared" si="49"/>
        <x:v>G21</x:v>
      </x:c>
      <x:c r="GG18" s="692">
        <x:v>0</x:v>
      </x:c>
      <x:c r="GH18" s="1135">
        <x:v>0</x:v>
      </x:c>
      <x:c r="GI18" s="692"/>
      <x:c r="GJ18" s="1135"/>
      <x:c r="GK18" s="1640">
        <x:f t="shared" si="50"/>
        <x:v>668.75</x:v>
      </x:c>
      <x:c r="GL18" s="1640">
        <x:f t="shared" si="51"/>
        <x:v>668.75</x:v>
      </x:c>
      <x:c r="GM18" s="1641">
        <x:f>IF(ABS(GK18-GL18)&gt;='Job Info.'!$L$22,ABS(GK18-GL18),0)</x:f>
        <x:v>0</x:v>
      </x:c>
      <x:c r="HA18" s="1241" t="s">
        <x:v>1421</x:v>
      </x:c>
      <x:c r="HB18" s="1242">
        <x:v>1</x:v>
      </x:c>
      <x:c r="HC18" s="1242" t="s">
        <x:v>1587</x:v>
      </x:c>
      <x:c r="HD18" s="1243">
        <x:v>55</x:v>
      </x:c>
      <x:c r="HE18" s="1244">
        <x:v>8.75</x:v>
      </x:c>
      <x:c r="HF18" s="1242">
        <x:v>11.125</x:v>
      </x:c>
      <x:c r="HG18" s="1242">
        <x:v>0</x:v>
      </x:c>
      <x:c r="HH18" s="1242">
        <x:v>1.75</x:v>
      </x:c>
      <x:c r="HI18" s="1242" t="s">
        <x:v>113</x:v>
      </x:c>
      <x:c r="HJ18" s="1242">
        <x:v>0</x:v>
      </x:c>
      <x:c r="HK18" s="1242">
        <x:v>5</x:v>
      </x:c>
      <x:c r="HL18" s="1242" t="s">
        <x:v>113</x:v>
      </x:c>
      <x:c r="HM18" s="1242">
        <x:v>7.5</x:v>
      </x:c>
      <x:c r="HN18" s="1242">
        <x:v>10</x:v>
      </x:c>
      <x:c r="HO18" s="1242">
        <x:v>0</x:v>
      </x:c>
      <x:c r="HP18" s="1242">
        <x:v>6.75</x:v>
      </x:c>
      <x:c r="HQ18" s="1242">
        <x:v>0</x:v>
      </x:c>
      <x:c r="HR18" s="1242">
        <x:v>4</x:v>
      </x:c>
      <x:c r="HS18" s="1242">
        <x:v>0</x:v>
      </x:c>
      <x:c r="HT18" s="1242">
        <x:v>6.25</x:v>
      </x:c>
      <x:c r="HU18" s="1242">
        <x:v>0</x:v>
      </x:c>
      <x:c r="HV18" s="1242">
        <x:v>4.625</x:v>
      </x:c>
      <x:c r="HW18" s="1242">
        <x:v>5</x:v>
      </x:c>
      <x:c r="HX18" s="1242" t="s">
        <x:v>116</x:v>
      </x:c>
      <x:c r="HY18" s="1246" t="s">
        <x:v>116</x:v>
      </x:c>
      <x:c r="HZ18" s="1246" t="s">
        <x:v>1636</x:v>
      </x:c>
      <x:c r="IA18" s="1246" t="s">
        <x:v>116</x:v>
      </x:c>
      <x:c r="IB18" s="1246"/>
      <x:c r="IC18" s="1246"/>
      <x:c r="ID18" s="1261"/>
      <x:c r="IE18" s="1241" t="s">
        <x:v>1421</x:v>
      </x:c>
      <x:c r="IF18" s="1242" t="s">
        <x:v>35</x:v>
      </x:c>
      <x:c r="IG18" s="1243">
        <x:v>6</x:v>
      </x:c>
      <x:c r="IH18" s="1244">
        <x:v>0.375</x:v>
      </x:c>
      <x:c r="II18" s="1242">
        <x:v>7</x:v>
      </x:c>
      <x:c r="IJ18" s="1243">
        <x:v>6</x:v>
      </x:c>
      <x:c r="IK18" s="1244">
        <x:v>2.75</x:v>
      </x:c>
      <x:c r="IL18" s="1242">
        <x:v>5</x:v>
      </x:c>
      <x:c r="IM18" s="1242">
        <x:v>6.375</x:v>
      </x:c>
      <x:c r="IN18" s="1242" t="s">
        <x:v>116</x:v>
      </x:c>
      <x:c r="IO18" s="1242" t="s">
        <x:v>35</x:v>
      </x:c>
      <x:c r="IP18" s="1242">
        <x:v>5</x:v>
      </x:c>
      <x:c r="IQ18" s="1242">
        <x:v>13</x:v>
      </x:c>
      <x:c r="IR18" s="1242">
        <x:v>4</x:v>
      </x:c>
      <x:c r="IS18" s="1243">
        <x:v>1.75</x:v>
      </x:c>
      <x:c r="IT18" s="1244" t="s">
        <x:v>116</x:v>
      </x:c>
      <x:c r="IU18" s="1242">
        <x:v>54</x:v>
      </x:c>
      <x:c r="IV18" s="1242">
        <x:v>8</x:v>
      </x:c>
      <x:c r="IW18" s="1243">
        <x:v>18.3</x:v>
      </x:c>
      <x:c r="IX18" s="1244" t="s">
        <x:v>35</x:v>
      </x:c>
      <x:c r="IY18" s="1242" t="s">
        <x:v>116</x:v>
      </x:c>
      <x:c r="IZ18" s="1242" t="s">
        <x:v>116</x:v>
      </x:c>
      <x:c r="JA18" s="1243" t="s">
        <x:v>116</x:v>
      </x:c>
      <x:c r="JB18" s="1244" t="s">
        <x:v>116</x:v>
      </x:c>
      <x:c r="JC18" s="1242" t="s">
        <x:v>116</x:v>
      </x:c>
      <x:c r="JD18" s="1242" t="s">
        <x:v>116</x:v>
      </x:c>
      <x:c r="JE18" s="1243" t="s">
        <x:v>116</x:v>
      </x:c>
      <x:c r="JF18" s="1244" t="s">
        <x:v>116</x:v>
      </x:c>
      <x:c r="JG18" s="1242" t="s">
        <x:v>116</x:v>
      </x:c>
      <x:c r="JH18" s="1242" t="s">
        <x:v>116</x:v>
      </x:c>
      <x:c r="JI18" s="1242" t="s">
        <x:v>116</x:v>
      </x:c>
      <x:c r="JJ18" s="1245" t="s">
        <x:v>116</x:v>
      </x:c>
      <x:c r="JK18" s="1242">
        <x:v>1</x:v>
      </x:c>
      <x:c r="JL18" s="1171">
        <x:f t="shared" ca="1" si="61"/>
        <x:v>1</x:v>
      </x:c>
    </x:row>
    <x:row r="19" spans="1:272" ht="12.6" customHeight="1" x14ac:dyDescent="0.25">
      <x:c r="A19" s="2764" t="s">
        <x:v>1422</x:v>
      </x:c>
      <x:c r="B19" s="2765">
        <x:v>1</x:v>
      </x:c>
      <x:c r="C19" s="2766" t="s">
        <x:v>1577</x:v>
      </x:c>
      <x:c r="D19" s="2767">
        <x:v>55</x:v>
      </x:c>
      <x:c r="E19" s="2768">
        <x:v>11.5</x:v>
      </x:c>
      <x:c r="F19" s="2769">
        <x:v>11.125</x:v>
      </x:c>
      <x:c r="G19" s="2770">
        <x:v>0</x:v>
      </x:c>
      <x:c r="H19" s="2771">
        <x:v>1.75</x:v>
      </x:c>
      <x:c r="I19" s="2772" t="s">
        <x:v>113</x:v>
      </x:c>
      <x:c r="J19" s="2767">
        <x:v>0</x:v>
      </x:c>
      <x:c r="K19" s="2771">
        <x:v>1.75</x:v>
      </x:c>
      <x:c r="L19" s="2773" t="s">
        <x:v>113</x:v>
      </x:c>
      <x:c r="M19" s="2774">
        <x:v>7.5</x:v>
      </x:c>
      <x:c r="N19" s="2775">
        <x:v>7.5</x:v>
      </x:c>
      <x:c r="O19" s="2770">
        <x:v>0</x:v>
      </x:c>
      <x:c r="P19" s="2771">
        <x:v>6.75</x:v>
      </x:c>
      <x:c r="Q19" s="2767">
        <x:v>0</x:v>
      </x:c>
      <x:c r="R19" s="2768">
        <x:v>6.75</x:v>
      </x:c>
      <x:c r="S19" s="2776">
        <x:v>0</x:v>
      </x:c>
      <x:c r="T19" s="2771">
        <x:v>6.25</x:v>
      </x:c>
      <x:c r="U19" s="2767">
        <x:v>0</x:v>
      </x:c>
      <x:c r="V19" s="2771">
        <x:v>6.25</x:v>
      </x:c>
      <x:c r="W19" s="2775">
        <x:v>5</x:v>
      </x:c>
      <x:c r="X19" s="2777" t="str">
        <x:f t="shared" si="0"/>
        <x:v/>
      </x:c>
      <x:c r="Y19" s="2778" t="str">
        <x:f t="shared" si="1"/>
        <x:v/>
      </x:c>
      <x:c r="Z19" s="2779" t="s">
        <x:v>1637</x:v>
      </x:c>
      <x:c r="AA19" s="2839" t="str">
        <x:f t="shared" si="2"/>
        <x:v/>
      </x:c>
      <x:c r="AB19" s="2764" t="s">
        <x:v>1422</x:v>
      </x:c>
      <x:c r="AC19" s="2772" t="s">
        <x:v>35</x:v>
      </x:c>
      <x:c r="AD19" s="2767">
        <x:v>6</x:v>
      </x:c>
      <x:c r="AE19" s="2771">
        <x:v>0.375</x:v>
      </x:c>
      <x:c r="AF19" s="2772">
        <x:v>7</x:v>
      </x:c>
      <x:c r="AG19" s="2767">
        <x:v>6</x:v>
      </x:c>
      <x:c r="AH19" s="2771">
        <x:v>2.75</x:v>
      </x:c>
      <x:c r="AI19" s="2767">
        <x:v>6</x:v>
      </x:c>
      <x:c r="AJ19" s="2771">
        <x:v>0.375</x:v>
      </x:c>
      <x:c r="AK19" s="2813" t="str">
        <x:f t="shared" si="3"/>
        <x:v/>
      </x:c>
      <x:c r="AL19" s="2814" t="s">
        <x:v>35</x:v>
      </x:c>
      <x:c r="AM19" s="2815">
        <x:v>5</x:v>
      </x:c>
      <x:c r="AN19" s="2772">
        <x:v>13</x:v>
      </x:c>
      <x:c r="AO19" s="2775">
        <x:v>4</x:v>
      </x:c>
      <x:c r="AP19" s="2774">
        <x:v>1.75</x:v>
      </x:c>
      <x:c r="AQ19" s="2817">
        <x:v>1.75</x:v>
      </x:c>
      <x:c r="AR19" s="2770" t="str">
        <x:f t="shared" si="5"/>
        <x:v/>
      </x:c>
      <x:c r="AS19" s="2771" t="str">
        <x:f t="shared" si="6"/>
        <x:v/>
      </x:c>
      <x:c r="AT19" s="2818" t="str">
        <x:f t="shared" si="7"/>
        <x:v/>
      </x:c>
      <x:c r="AU19" s="2819" t="str">
        <x:f t="shared" si="8"/>
        <x:v/>
      </x:c>
      <x:c r="AV19" s="2776" t="str">
        <x:f t="shared" si="9"/>
        <x:v/>
      </x:c>
      <x:c r="AW19" s="2771" t="str">
        <x:f t="shared" si="10"/>
        <x:v/>
      </x:c>
      <x:c r="AX19" s="2818" t="str">
        <x:f t="shared" si="11"/>
        <x:v/>
      </x:c>
      <x:c r="AY19" s="2819" t="str">
        <x:f t="shared" si="12"/>
        <x:v/>
      </x:c>
      <x:c r="AZ19" s="2776" t="str">
        <x:f t="shared" si="13"/>
        <x:v/>
      </x:c>
      <x:c r="BA19" s="2771" t="str">
        <x:f t="shared" si="14"/>
        <x:v/>
      </x:c>
      <x:c r="BB19" s="2818" t="str">
        <x:f t="shared" si="15"/>
        <x:v/>
      </x:c>
      <x:c r="BC19" s="2819" t="str">
        <x:f t="shared" si="16"/>
        <x:v/>
      </x:c>
      <x:c r="BD19" s="2776" t="str">
        <x:f t="shared" si="17"/>
        <x:v/>
      </x:c>
      <x:c r="BE19" s="2771" t="str">
        <x:f t="shared" si="18"/>
        <x:v/>
      </x:c>
      <x:c r="BF19" s="2818" t="str">
        <x:f t="shared" si="19"/>
        <x:v/>
      </x:c>
      <x:c r="BG19" s="2819" t="str">
        <x:f t="shared" si="20"/>
        <x:v/>
      </x:c>
      <x:c r="BH19" s="1416"/>
      <x:c r="BJ19" s="995" t="str">
        <x:f t="shared" si="59"/>
        <x:v>G22</x:v>
      </x:c>
      <x:c r="BK19" s="993" t="b">
        <x:f t="shared" si="21"/>
        <x:v>0</x:v>
      </x:c>
      <x:c r="BL19" s="1800" t="b">
        <x:v>0</x:v>
      </x:c>
      <x:c r="BM19" s="989">
        <x:f t="shared" si="22"/>
        <x:v>48</x:v>
      </x:c>
      <x:c r="BN19" s="989" t="str">
        <x:f t="shared" si="23"/>
        <x:v>VG</x:v>
      </x:c>
      <x:c r="BO19" s="989">
        <x:f t="shared" si="24"/>
        <x:v>9</x:v>
      </x:c>
      <x:c r="BP19" s="989">
        <x:f t="shared" si="25"/>
        <x:v>16.3</x:v>
      </x:c>
      <x:c r="BQ19" s="989">
        <x:f t="shared" si="26"/>
        <x:v>0</x:v>
      </x:c>
      <x:c r="BR19" s="989" t="b">
        <x:f t="shared" si="27"/>
        <x:v>1</x:v>
      </x:c>
      <x:c r="BS19" s="1302">
        <x:f t="shared" si="28"/>
        <x:v>7.75</x:v>
      </x:c>
      <x:c r="BT19" s="990" t="str">
        <x:f t="shared" si="29"/>
        <x:v>Yes</x:v>
      </x:c>
      <x:c r="BU19" s="1302">
        <x:f t="shared" si="30"/>
        <x:v>7.75</x:v>
      </x:c>
      <x:c r="BV19" s="990" t="str">
        <x:f t="shared" si="31"/>
        <x:v>Yes</x:v>
      </x:c>
      <x:c r="BW19" s="991">
        <x:f t="shared" si="32"/>
        <x:v>15</x:v>
      </x:c>
      <x:c r="BX19" s="991" t="str">
        <x:f t="shared" si="33"/>
        <x:v>G22</x:v>
      </x:c>
      <x:c r="BY19" s="991" t="b">
        <x:f t="shared" si="34"/>
        <x:v>0</x:v>
      </x:c>
      <x:c r="BZ19" s="991" t="b">
        <x:f t="shared" si="52"/>
        <x:v>0</x:v>
      </x:c>
      <x:c r="CB19" s="672"/>
      <x:c r="CC19" s="1684"/>
      <x:c r="CD19" s="699"/>
      <x:c r="CE19" s="700"/>
      <x:c r="CF19" s="701"/>
      <x:c r="CG19" s="672"/>
      <x:c r="CH19" s="713"/>
      <x:c r="CI19" s="714"/>
      <x:c r="CJ19" s="713"/>
      <x:c r="CK19" s="714"/>
      <x:c r="CL19" s="715"/>
      <x:c r="CM19" s="743"/>
      <x:c r="CN19" s="738"/>
      <x:c r="CO19" s="1551"/>
      <x:c r="CP19" s="910"/>
      <x:c r="CQ19" s="672"/>
      <x:c r="CR19" s="713"/>
      <x:c r="CS19" s="714"/>
      <x:c r="CT19" s="713"/>
      <x:c r="CU19" s="714"/>
      <x:c r="CV19" s="715"/>
      <x:c r="CW19" s="743"/>
      <x:c r="CX19" s="738"/>
      <x:c r="CY19" s="1551"/>
      <x:c r="CZ19" s="910"/>
      <x:c r="DA19" s="717"/>
      <x:c r="DB19" s="702"/>
      <x:c r="DC19" s="703"/>
      <x:c r="DD19" s="725"/>
      <x:c r="DE19" s="726"/>
      <x:c r="DF19" s="141"/>
      <x:c r="DG19" s="141"/>
      <x:c r="DH19" s="672"/>
      <x:c r="DI19" s="673"/>
      <x:c r="DJ19" s="692"/>
      <x:c r="DK19" s="1331"/>
      <x:c r="DL19" s="674"/>
      <x:c r="DM19" s="693"/>
      <x:c r="DN19" s="1334"/>
      <x:c r="DO19" s="675"/>
      <x:c r="DP19" s="676"/>
      <x:c r="DQ19" s="1419"/>
      <x:c r="DR19" s="677"/>
      <x:c r="DS19" s="1419"/>
      <x:c r="DT19" s="1421"/>
      <x:c r="DU19" s="1422"/>
      <x:c r="DV19" s="678"/>
      <x:c r="DW19" s="1336"/>
      <x:c r="DX19" s="679"/>
      <x:c r="DY19" s="674"/>
      <x:c r="DZ19" s="678"/>
      <x:c r="EA19" s="1336"/>
      <x:c r="EB19" s="679"/>
      <x:c r="EC19" s="674"/>
      <x:c r="ED19" s="678"/>
      <x:c r="EE19" s="1336"/>
      <x:c r="EF19" s="679"/>
      <x:c r="EG19" s="674"/>
      <x:c r="EH19" s="678"/>
      <x:c r="EI19" s="1336"/>
      <x:c r="EJ19" s="679"/>
      <x:c r="EK19" s="680"/>
      <x:c r="EL19" s="241"/>
      <x:c r="EM19" s="1631" t="str">
        <x:f t="shared" si="35"/>
        <x:v/>
      </x:c>
      <x:c r="EN19" s="1428" t="str">
        <x:f t="shared" si="36"/>
        <x:v/>
      </x:c>
      <x:c r="EO19" s="1429" t="str">
        <x:f t="shared" si="37"/>
        <x:v/>
      </x:c>
      <x:c r="EP19" s="1430" t="str">
        <x:f t="shared" si="38"/>
        <x:v/>
      </x:c>
      <x:c r="EQ19" s="1434" t="str">
        <x:f t="shared" si="39"/>
        <x:v/>
      </x:c>
      <x:c r="ER19" s="1440" t="str">
        <x:f t="shared" si="40"/>
        <x:v/>
      </x:c>
      <x:c r="ES19" s="1441" t="str">
        <x:f t="shared" si="41"/>
        <x:v/>
      </x:c>
      <x:c r="ET19" s="1442" t="str">
        <x:f t="shared" si="42"/>
        <x:v/>
      </x:c>
      <x:c r="EU19" s="1443" t="str">
        <x:f t="shared" si="53"/>
        <x:v/>
      </x:c>
      <x:c r="EX19" s="503" t="str">
        <x:f t="shared" si="54"/>
        <x:v>G22B</x:v>
      </x:c>
      <x:c r="EY19" s="940" t="b">
        <x:f t="shared" ca="1" si="43"/>
        <x:v>1</x:v>
      </x:c>
      <x:c r="EZ19" s="940">
        <x:f t="shared" si="55"/>
        <x:v>5</x:v>
      </x:c>
      <x:c r="FA19" s="958" t="b">
        <x:f t="shared" si="60"/>
        <x:v>1</x:v>
      </x:c>
      <x:c r="FB19" s="134">
        <x:f t="shared" si="56"/>
        <x:v>668</x:v>
      </x:c>
      <x:c r="FC19" s="134">
        <x:f t="shared" si="44"/>
        <x:v>72.375</x:v>
      </x:c>
      <x:c r="FD19" s="134">
        <x:f t="shared" si="45"/>
        <x:v>523.25</x:v>
      </x:c>
      <x:c r="FE19" s="134">
        <x:f t="shared" si="46"/>
        <x:v>72.375</x:v>
      </x:c>
      <x:c r="FF19" s="134">
        <x:f t="shared" si="57"/>
        <x:v>668</x:v>
      </x:c>
      <x:c r="FN19" s="754" t="b">
        <x:v>0</x:v>
      </x:c>
      <x:c r="FO19" s="754" t="b">
        <x:f t="shared" si="47"/>
        <x:v>1</x:v>
      </x:c>
      <x:c r="FP19" s="754" t="b">
        <x:v>0</x:v>
      </x:c>
      <x:c r="FQ19" s="754" t="b">
        <x:f t="shared" si="58"/>
        <x:v>1</x:v>
      </x:c>
      <x:c r="FW19" s="2"/>
      <x:c r="FX19" s="2"/>
      <x:c r="FZ19" s="2"/>
      <x:c r="GA19" s="1761">
        <x:v>56</x:v>
      </x:c>
      <x:c r="GB19" s="1762">
        <x:v>0</x:v>
      </x:c>
      <x:c r="GC19" s="1763">
        <x:v>-0.25</x:v>
      </x:c>
      <x:c r="GD19" s="1764">
        <x:v>-0.25</x:v>
      </x:c>
      <x:c r="GE19" s="1765">
        <x:f t="shared" si="48"/>
        <x:v>0</x:v>
      </x:c>
      <x:c r="GF19" s="582" t="str">
        <x:f t="shared" si="49"/>
        <x:v>G22</x:v>
      </x:c>
      <x:c r="GG19" s="692">
        <x:v>0</x:v>
      </x:c>
      <x:c r="GH19" s="1135">
        <x:v>0</x:v>
      </x:c>
      <x:c r="GI19" s="692"/>
      <x:c r="GJ19" s="1135"/>
      <x:c r="GK19" s="1640">
        <x:f t="shared" si="50"/>
        <x:v>671.5</x:v>
      </x:c>
      <x:c r="GL19" s="1640">
        <x:f t="shared" si="51"/>
        <x:v>671.5</x:v>
      </x:c>
      <x:c r="GM19" s="1641">
        <x:f>IF(ABS(GK19-GL19)&gt;='Job Info.'!$L$22,ABS(GK19-GL19),0)</x:f>
        <x:v>0</x:v>
      </x:c>
      <x:c r="HA19" s="1241" t="s">
        <x:v>1422</x:v>
      </x:c>
      <x:c r="HB19" s="1242">
        <x:v>1</x:v>
      </x:c>
      <x:c r="HC19" s="1242" t="s">
        <x:v>1577</x:v>
      </x:c>
      <x:c r="HD19" s="1243">
        <x:v>55</x:v>
      </x:c>
      <x:c r="HE19" s="1244">
        <x:v>11.5</x:v>
      </x:c>
      <x:c r="HF19" s="1242">
        <x:v>11.125</x:v>
      </x:c>
      <x:c r="HG19" s="1242">
        <x:v>0</x:v>
      </x:c>
      <x:c r="HH19" s="1242">
        <x:v>1.75</x:v>
      </x:c>
      <x:c r="HI19" s="1242" t="s">
        <x:v>113</x:v>
      </x:c>
      <x:c r="HJ19" s="1242">
        <x:v>0</x:v>
      </x:c>
      <x:c r="HK19" s="1242">
        <x:v>1.75</x:v>
      </x:c>
      <x:c r="HL19" s="1242" t="s">
        <x:v>113</x:v>
      </x:c>
      <x:c r="HM19" s="1242">
        <x:v>7.5</x:v>
      </x:c>
      <x:c r="HN19" s="1242">
        <x:v>7.5</x:v>
      </x:c>
      <x:c r="HO19" s="1242">
        <x:v>0</x:v>
      </x:c>
      <x:c r="HP19" s="1242">
        <x:v>6.75</x:v>
      </x:c>
      <x:c r="HQ19" s="1242">
        <x:v>0</x:v>
      </x:c>
      <x:c r="HR19" s="1242">
        <x:v>6.75</x:v>
      </x:c>
      <x:c r="HS19" s="1242">
        <x:v>0</x:v>
      </x:c>
      <x:c r="HT19" s="1242">
        <x:v>6.25</x:v>
      </x:c>
      <x:c r="HU19" s="1242">
        <x:v>0</x:v>
      </x:c>
      <x:c r="HV19" s="1242">
        <x:v>6.25</x:v>
      </x:c>
      <x:c r="HW19" s="1242">
        <x:v>5</x:v>
      </x:c>
      <x:c r="HX19" s="1242" t="s">
        <x:v>116</x:v>
      </x:c>
      <x:c r="HY19" s="1246" t="s">
        <x:v>116</x:v>
      </x:c>
      <x:c r="HZ19" s="1246" t="s">
        <x:v>1637</x:v>
      </x:c>
      <x:c r="IA19" s="1246" t="s">
        <x:v>116</x:v>
      </x:c>
      <x:c r="IB19" s="1246"/>
      <x:c r="IC19" s="1246"/>
      <x:c r="ID19" s="1261"/>
      <x:c r="IE19" s="1241" t="s">
        <x:v>1422</x:v>
      </x:c>
      <x:c r="IF19" s="1242" t="s">
        <x:v>35</x:v>
      </x:c>
      <x:c r="IG19" s="1243">
        <x:v>6</x:v>
      </x:c>
      <x:c r="IH19" s="1244">
        <x:v>0.375</x:v>
      </x:c>
      <x:c r="II19" s="1242">
        <x:v>7</x:v>
      </x:c>
      <x:c r="IJ19" s="1243">
        <x:v>6</x:v>
      </x:c>
      <x:c r="IK19" s="1244">
        <x:v>2.75</x:v>
      </x:c>
      <x:c r="IL19" s="1242">
        <x:v>6</x:v>
      </x:c>
      <x:c r="IM19" s="1242">
        <x:v>0.375</x:v>
      </x:c>
      <x:c r="IN19" s="1242" t="s">
        <x:v>116</x:v>
      </x:c>
      <x:c r="IO19" s="1242" t="s">
        <x:v>35</x:v>
      </x:c>
      <x:c r="IP19" s="1242">
        <x:v>5</x:v>
      </x:c>
      <x:c r="IQ19" s="1242">
        <x:v>13</x:v>
      </x:c>
      <x:c r="IR19" s="1242">
        <x:v>4</x:v>
      </x:c>
      <x:c r="IS19" s="1243">
        <x:v>1.75</x:v>
      </x:c>
      <x:c r="IT19" s="1244">
        <x:v>1.75</x:v>
      </x:c>
      <x:c r="IU19" s="1242" t="s">
        <x:v>116</x:v>
      </x:c>
      <x:c r="IV19" s="1242" t="s">
        <x:v>116</x:v>
      </x:c>
      <x:c r="IW19" s="1243" t="s">
        <x:v>116</x:v>
      </x:c>
      <x:c r="IX19" s="1244" t="s">
        <x:v>116</x:v>
      </x:c>
      <x:c r="IY19" s="1242" t="s">
        <x:v>116</x:v>
      </x:c>
      <x:c r="IZ19" s="1242" t="s">
        <x:v>116</x:v>
      </x:c>
      <x:c r="JA19" s="1243" t="s">
        <x:v>116</x:v>
      </x:c>
      <x:c r="JB19" s="1244" t="s">
        <x:v>116</x:v>
      </x:c>
      <x:c r="JC19" s="1242" t="s">
        <x:v>116</x:v>
      </x:c>
      <x:c r="JD19" s="1242" t="s">
        <x:v>116</x:v>
      </x:c>
      <x:c r="JE19" s="1243" t="s">
        <x:v>116</x:v>
      </x:c>
      <x:c r="JF19" s="1244" t="s">
        <x:v>116</x:v>
      </x:c>
      <x:c r="JG19" s="1242" t="s">
        <x:v>116</x:v>
      </x:c>
      <x:c r="JH19" s="1242" t="s">
        <x:v>116</x:v>
      </x:c>
      <x:c r="JI19" s="1242" t="s">
        <x:v>116</x:v>
      </x:c>
      <x:c r="JJ19" s="1245" t="s">
        <x:v>116</x:v>
      </x:c>
      <x:c r="JK19" s="1242">
        <x:v>1</x:v>
      </x:c>
      <x:c r="JL19" s="1171">
        <x:f t="shared" ca="1" si="61"/>
        <x:v>1</x:v>
      </x:c>
    </x:row>
    <x:row r="20" spans="1:272" ht="12.6" customHeight="1" x14ac:dyDescent="0.25">
      <x:c r="A20" s="2764" t="s">
        <x:v>1423</x:v>
      </x:c>
      <x:c r="B20" s="2765">
        <x:v>1</x:v>
      </x:c>
      <x:c r="C20" s="2766" t="s">
        <x:v>1577</x:v>
      </x:c>
      <x:c r="D20" s="2767">
        <x:v>55</x:v>
      </x:c>
      <x:c r="E20" s="2768">
        <x:v>10.875</x:v>
      </x:c>
      <x:c r="F20" s="2769">
        <x:v>11.125</x:v>
      </x:c>
      <x:c r="G20" s="2770">
        <x:v>0</x:v>
      </x:c>
      <x:c r="H20" s="2771">
        <x:v>1.75</x:v>
      </x:c>
      <x:c r="I20" s="2772" t="s">
        <x:v>113</x:v>
      </x:c>
      <x:c r="J20" s="2767" t="str">
        <x:f t="shared" si="62"/>
        <x:v/>
      </x:c>
      <x:c r="K20" s="2771" t="str">
        <x:f t="shared" si="63"/>
        <x:v/>
      </x:c>
      <x:c r="L20" s="2773" t="str">
        <x:f t="shared" si="64"/>
        <x:v/>
      </x:c>
      <x:c r="M20" s="2774">
        <x:v>7.5</x:v>
      </x:c>
      <x:c r="N20" s="2775">
        <x:v>10</x:v>
      </x:c>
      <x:c r="O20" s="2770">
        <x:v>0</x:v>
      </x:c>
      <x:c r="P20" s="2771">
        <x:v>6.75</x:v>
      </x:c>
      <x:c r="Q20" s="2767">
        <x:v>0</x:v>
      </x:c>
      <x:c r="R20" s="2768">
        <x:v>6.125</x:v>
      </x:c>
      <x:c r="S20" s="2776">
        <x:v>0</x:v>
      </x:c>
      <x:c r="T20" s="2771">
        <x:v>6.25</x:v>
      </x:c>
      <x:c r="U20" s="2767">
        <x:v>0</x:v>
      </x:c>
      <x:c r="V20" s="2771">
        <x:v>2.125</x:v>
      </x:c>
      <x:c r="W20" s="2775">
        <x:v>5</x:v>
      </x:c>
      <x:c r="X20" s="2777" t="str">
        <x:f t="shared" si="0"/>
        <x:v/>
      </x:c>
      <x:c r="Y20" s="2778" t="str">
        <x:f t="shared" si="1"/>
        <x:v/>
      </x:c>
      <x:c r="Z20" s="2779" t="s">
        <x:v>1638</x:v>
      </x:c>
      <x:c r="AA20" s="2839" t="str">
        <x:f t="shared" si="2"/>
        <x:v/>
      </x:c>
      <x:c r="AB20" s="2764" t="s">
        <x:v>1423</x:v>
      </x:c>
      <x:c r="AC20" s="2772" t="s">
        <x:v>35</x:v>
      </x:c>
      <x:c r="AD20" s="2767">
        <x:v>6</x:v>
      </x:c>
      <x:c r="AE20" s="2771">
        <x:v>0.375</x:v>
      </x:c>
      <x:c r="AF20" s="2772">
        <x:v>7</x:v>
      </x:c>
      <x:c r="AG20" s="2767">
        <x:v>6</x:v>
      </x:c>
      <x:c r="AH20" s="2771">
        <x:v>2.75</x:v>
      </x:c>
      <x:c r="AI20" s="2767">
        <x:v>6</x:v>
      </x:c>
      <x:c r="AJ20" s="2771">
        <x:v>1.5</x:v>
      </x:c>
      <x:c r="AK20" s="2813" t="str">
        <x:f t="shared" si="3"/>
        <x:v/>
      </x:c>
      <x:c r="AL20" s="2814" t="s">
        <x:v>35</x:v>
      </x:c>
      <x:c r="AM20" s="2815">
        <x:v>5</x:v>
      </x:c>
      <x:c r="AN20" s="2772">
        <x:v>13</x:v>
      </x:c>
      <x:c r="AO20" s="2775">
        <x:v>4</x:v>
      </x:c>
      <x:c r="AP20" s="2774">
        <x:v>1.75</x:v>
      </x:c>
      <x:c r="AQ20" s="2817" t="str">
        <x:f t="shared" si="4"/>
        <x:v/>
      </x:c>
      <x:c r="AR20" s="2770" t="str">
        <x:f t="shared" si="5"/>
        <x:v/>
      </x:c>
      <x:c r="AS20" s="2771" t="str">
        <x:f t="shared" si="6"/>
        <x:v/>
      </x:c>
      <x:c r="AT20" s="2818" t="str">
        <x:f t="shared" si="7"/>
        <x:v/>
      </x:c>
      <x:c r="AU20" s="2819" t="str">
        <x:f t="shared" si="8"/>
        <x:v/>
      </x:c>
      <x:c r="AV20" s="2776" t="str">
        <x:f t="shared" si="9"/>
        <x:v/>
      </x:c>
      <x:c r="AW20" s="2771" t="str">
        <x:f t="shared" si="10"/>
        <x:v/>
      </x:c>
      <x:c r="AX20" s="2818" t="str">
        <x:f t="shared" si="11"/>
        <x:v/>
      </x:c>
      <x:c r="AY20" s="2819" t="str">
        <x:f t="shared" si="12"/>
        <x:v/>
      </x:c>
      <x:c r="AZ20" s="2776" t="str">
        <x:f t="shared" si="13"/>
        <x:v/>
      </x:c>
      <x:c r="BA20" s="2771" t="str">
        <x:f t="shared" si="14"/>
        <x:v/>
      </x:c>
      <x:c r="BB20" s="2818" t="str">
        <x:f t="shared" si="15"/>
        <x:v/>
      </x:c>
      <x:c r="BC20" s="2819" t="str">
        <x:f t="shared" si="16"/>
        <x:v/>
      </x:c>
      <x:c r="BD20" s="2776" t="str">
        <x:f t="shared" si="17"/>
        <x:v/>
      </x:c>
      <x:c r="BE20" s="2771" t="str">
        <x:f t="shared" si="18"/>
        <x:v/>
      </x:c>
      <x:c r="BF20" s="2818" t="str">
        <x:f t="shared" si="19"/>
        <x:v/>
      </x:c>
      <x:c r="BG20" s="2819" t="str">
        <x:f t="shared" si="20"/>
        <x:v/>
      </x:c>
      <x:c r="BH20" s="1416"/>
      <x:c r="BJ20" s="995" t="str">
        <x:f t="shared" si="59"/>
        <x:v>G23</x:v>
      </x:c>
      <x:c r="BK20" s="993" t="b">
        <x:f t="shared" si="21"/>
        <x:v>0</x:v>
      </x:c>
      <x:c r="BL20" s="1800" t="b">
        <x:v>0</x:v>
      </x:c>
      <x:c r="BM20" s="989">
        <x:f t="shared" si="22"/>
        <x:v>48</x:v>
      </x:c>
      <x:c r="BN20" s="989" t="str">
        <x:f t="shared" si="23"/>
        <x:v>VG</x:v>
      </x:c>
      <x:c r="BO20" s="989">
        <x:f t="shared" si="24"/>
        <x:v>9</x:v>
      </x:c>
      <x:c r="BP20" s="989">
        <x:f t="shared" si="25"/>
        <x:v>16.3</x:v>
      </x:c>
      <x:c r="BQ20" s="989">
        <x:f t="shared" si="26"/>
        <x:v>0</x:v>
      </x:c>
      <x:c r="BR20" s="989" t="b">
        <x:f t="shared" si="27"/>
        <x:v>1</x:v>
      </x:c>
      <x:c r="BS20" s="1302">
        <x:f t="shared" si="28"/>
        <x:v>7.75</x:v>
      </x:c>
      <x:c r="BT20" s="990" t="str">
        <x:f t="shared" si="29"/>
        <x:v>Yes</x:v>
      </x:c>
      <x:c r="BU20" s="1302">
        <x:f t="shared" si="30"/>
        <x:v>6</x:v>
      </x:c>
      <x:c r="BV20" s="990" t="str">
        <x:f t="shared" si="31"/>
        <x:v>Yes</x:v>
      </x:c>
      <x:c r="BW20" s="991">
        <x:f t="shared" si="32"/>
        <x:v>14</x:v>
      </x:c>
      <x:c r="BX20" s="991" t="str">
        <x:f t="shared" si="33"/>
        <x:v>G23</x:v>
      </x:c>
      <x:c r="BY20" s="991" t="b">
        <x:f t="shared" si="34"/>
        <x:v>0</x:v>
      </x:c>
      <x:c r="BZ20" s="991" t="b">
        <x:f t="shared" si="52"/>
        <x:v>0</x:v>
      </x:c>
      <x:c r="CB20" s="672"/>
      <x:c r="CC20" s="1684"/>
      <x:c r="CD20" s="699"/>
      <x:c r="CE20" s="700"/>
      <x:c r="CF20" s="701"/>
      <x:c r="CG20" s="672"/>
      <x:c r="CH20" s="713"/>
      <x:c r="CI20" s="714"/>
      <x:c r="CJ20" s="713"/>
      <x:c r="CK20" s="714"/>
      <x:c r="CL20" s="715"/>
      <x:c r="CM20" s="743"/>
      <x:c r="CN20" s="738"/>
      <x:c r="CO20" s="1551"/>
      <x:c r="CP20" s="910"/>
      <x:c r="CQ20" s="672"/>
      <x:c r="CR20" s="713"/>
      <x:c r="CS20" s="714"/>
      <x:c r="CT20" s="713"/>
      <x:c r="CU20" s="714"/>
      <x:c r="CV20" s="715"/>
      <x:c r="CW20" s="743"/>
      <x:c r="CX20" s="738"/>
      <x:c r="CY20" s="1551"/>
      <x:c r="CZ20" s="910"/>
      <x:c r="DA20" s="717"/>
      <x:c r="DB20" s="702"/>
      <x:c r="DC20" s="703"/>
      <x:c r="DD20" s="725"/>
      <x:c r="DE20" s="726"/>
      <x:c r="DF20" s="141"/>
      <x:c r="DG20" s="141"/>
      <x:c r="DH20" s="672"/>
      <x:c r="DI20" s="673"/>
      <x:c r="DJ20" s="692"/>
      <x:c r="DK20" s="1331"/>
      <x:c r="DL20" s="674"/>
      <x:c r="DM20" s="693"/>
      <x:c r="DN20" s="1334"/>
      <x:c r="DO20" s="675"/>
      <x:c r="DP20" s="676"/>
      <x:c r="DQ20" s="1419"/>
      <x:c r="DR20" s="677"/>
      <x:c r="DS20" s="1419"/>
      <x:c r="DT20" s="1421"/>
      <x:c r="DU20" s="1422"/>
      <x:c r="DV20" s="678"/>
      <x:c r="DW20" s="1336"/>
      <x:c r="DX20" s="679"/>
      <x:c r="DY20" s="674"/>
      <x:c r="DZ20" s="678"/>
      <x:c r="EA20" s="1336"/>
      <x:c r="EB20" s="679"/>
      <x:c r="EC20" s="674"/>
      <x:c r="ED20" s="678"/>
      <x:c r="EE20" s="1336"/>
      <x:c r="EF20" s="679"/>
      <x:c r="EG20" s="674"/>
      <x:c r="EH20" s="678"/>
      <x:c r="EI20" s="1336"/>
      <x:c r="EJ20" s="679"/>
      <x:c r="EK20" s="680"/>
      <x:c r="EL20" s="241"/>
      <x:c r="EM20" s="1631" t="str">
        <x:f t="shared" si="35"/>
        <x:v/>
      </x:c>
      <x:c r="EN20" s="1428" t="str">
        <x:f t="shared" si="36"/>
        <x:v/>
      </x:c>
      <x:c r="EO20" s="1429" t="str">
        <x:f t="shared" si="37"/>
        <x:v/>
      </x:c>
      <x:c r="EP20" s="1430" t="str">
        <x:f t="shared" si="38"/>
        <x:v/>
      </x:c>
      <x:c r="EQ20" s="1434" t="str">
        <x:f t="shared" si="39"/>
        <x:v/>
      </x:c>
      <x:c r="ER20" s="1440" t="str">
        <x:f t="shared" si="40"/>
        <x:v/>
      </x:c>
      <x:c r="ES20" s="1441" t="str">
        <x:f t="shared" si="41"/>
        <x:v/>
      </x:c>
      <x:c r="ET20" s="1442" t="str">
        <x:f t="shared" si="42"/>
        <x:v/>
      </x:c>
      <x:c r="EU20" s="1443" t="str">
        <x:f t="shared" si="53"/>
        <x:v/>
      </x:c>
      <x:c r="EX20" s="503" t="str">
        <x:f t="shared" si="54"/>
        <x:v>G23B</x:v>
      </x:c>
      <x:c r="EY20" s="940" t="b">
        <x:f t="shared" ca="1" si="43"/>
        <x:v>1</x:v>
      </x:c>
      <x:c r="EZ20" s="940">
        <x:f t="shared" si="55"/>
        <x:v>5</x:v>
      </x:c>
      <x:c r="FA20" s="958" t="b">
        <x:f t="shared" si="60"/>
        <x:v>1</x:v>
      </x:c>
      <x:c r="FB20" s="134">
        <x:f t="shared" si="56"/>
        <x:v>669.125</x:v>
      </x:c>
      <x:c r="FC20" s="134">
        <x:f t="shared" si="44"/>
        <x:v>72.375</x:v>
      </x:c>
      <x:c r="FD20" s="134">
        <x:f t="shared" si="45"/>
        <x:v>523.25</x:v>
      </x:c>
      <x:c r="FE20" s="134">
        <x:f t="shared" si="46"/>
        <x:v>73.5</x:v>
      </x:c>
      <x:c r="FF20" s="134">
        <x:f t="shared" si="57"/>
        <x:v>669.125</x:v>
      </x:c>
      <x:c r="FN20" s="754" t="b">
        <x:v>0</x:v>
      </x:c>
      <x:c r="FO20" s="754" t="b">
        <x:f t="shared" si="47"/>
        <x:v>1</x:v>
      </x:c>
      <x:c r="FP20" s="754" t="b">
        <x:v>0</x:v>
      </x:c>
      <x:c r="FQ20" s="754" t="b">
        <x:f t="shared" si="58"/>
        <x:v>1</x:v>
      </x:c>
      <x:c r="FW20" s="2"/>
      <x:c r="FX20" s="2"/>
      <x:c r="FZ20" s="2"/>
      <x:c r="GA20" s="1761">
        <x:v>56</x:v>
      </x:c>
      <x:c r="GB20" s="1762">
        <x:v>0</x:v>
      </x:c>
      <x:c r="GC20" s="1763">
        <x:v>-0.25</x:v>
      </x:c>
      <x:c r="GD20" s="1764">
        <x:v>-0.875</x:v>
      </x:c>
      <x:c r="GE20" s="1765">
        <x:f t="shared" si="48"/>
        <x:v>0</x:v>
      </x:c>
      <x:c r="GF20" s="582" t="str">
        <x:f t="shared" si="49"/>
        <x:v>G23</x:v>
      </x:c>
      <x:c r="GG20" s="692">
        <x:v>0</x:v>
      </x:c>
      <x:c r="GH20" s="1135">
        <x:v>0</x:v>
      </x:c>
      <x:c r="GI20" s="692"/>
      <x:c r="GJ20" s="1135"/>
      <x:c r="GK20" s="1640">
        <x:f t="shared" si="50"/>
        <x:v>670.875</x:v>
      </x:c>
      <x:c r="GL20" s="1640">
        <x:f t="shared" si="51"/>
        <x:v>670.875</x:v>
      </x:c>
      <x:c r="GM20" s="1641">
        <x:f>IF(ABS(GK20-GL20)&gt;='Job Info.'!$L$22,ABS(GK20-GL20),0)</x:f>
        <x:v>0</x:v>
      </x:c>
      <x:c r="HA20" s="1241" t="s">
        <x:v>1423</x:v>
      </x:c>
      <x:c r="HB20" s="1242">
        <x:v>1</x:v>
      </x:c>
      <x:c r="HC20" s="1242" t="s">
        <x:v>1577</x:v>
      </x:c>
      <x:c r="HD20" s="1243">
        <x:v>55</x:v>
      </x:c>
      <x:c r="HE20" s="1244">
        <x:v>10.875</x:v>
      </x:c>
      <x:c r="HF20" s="1242">
        <x:v>11.125</x:v>
      </x:c>
      <x:c r="HG20" s="1242">
        <x:v>0</x:v>
      </x:c>
      <x:c r="HH20" s="1242">
        <x:v>1.75</x:v>
      </x:c>
      <x:c r="HI20" s="1242" t="s">
        <x:v>113</x:v>
      </x:c>
      <x:c r="HJ20" s="1242" t="s">
        <x:v>116</x:v>
      </x:c>
      <x:c r="HK20" s="1242" t="s">
        <x:v>116</x:v>
      </x:c>
      <x:c r="HL20" s="1242" t="s">
        <x:v>116</x:v>
      </x:c>
      <x:c r="HM20" s="1242">
        <x:v>7.5</x:v>
      </x:c>
      <x:c r="HN20" s="1242">
        <x:v>10</x:v>
      </x:c>
      <x:c r="HO20" s="1242">
        <x:v>0</x:v>
      </x:c>
      <x:c r="HP20" s="1242">
        <x:v>6.75</x:v>
      </x:c>
      <x:c r="HQ20" s="1242">
        <x:v>0</x:v>
      </x:c>
      <x:c r="HR20" s="1242">
        <x:v>6.125</x:v>
      </x:c>
      <x:c r="HS20" s="1242">
        <x:v>0</x:v>
      </x:c>
      <x:c r="HT20" s="1242">
        <x:v>6.25</x:v>
      </x:c>
      <x:c r="HU20" s="1242">
        <x:v>0</x:v>
      </x:c>
      <x:c r="HV20" s="1242">
        <x:v>2.125</x:v>
      </x:c>
      <x:c r="HW20" s="1242">
        <x:v>5</x:v>
      </x:c>
      <x:c r="HX20" s="1242" t="s">
        <x:v>116</x:v>
      </x:c>
      <x:c r="HY20" s="1246" t="s">
        <x:v>116</x:v>
      </x:c>
      <x:c r="HZ20" s="1246" t="s">
        <x:v>1638</x:v>
      </x:c>
      <x:c r="IA20" s="1246" t="s">
        <x:v>116</x:v>
      </x:c>
      <x:c r="IB20" s="1246"/>
      <x:c r="IC20" s="1246"/>
      <x:c r="ID20" s="1261"/>
      <x:c r="IE20" s="1241" t="s">
        <x:v>1423</x:v>
      </x:c>
      <x:c r="IF20" s="1242" t="s">
        <x:v>35</x:v>
      </x:c>
      <x:c r="IG20" s="1243">
        <x:v>6</x:v>
      </x:c>
      <x:c r="IH20" s="1244">
        <x:v>0.375</x:v>
      </x:c>
      <x:c r="II20" s="1242">
        <x:v>7</x:v>
      </x:c>
      <x:c r="IJ20" s="1243">
        <x:v>6</x:v>
      </x:c>
      <x:c r="IK20" s="1244">
        <x:v>2.75</x:v>
      </x:c>
      <x:c r="IL20" s="1242">
        <x:v>6</x:v>
      </x:c>
      <x:c r="IM20" s="1242">
        <x:v>1.5</x:v>
      </x:c>
      <x:c r="IN20" s="1242" t="s">
        <x:v>116</x:v>
      </x:c>
      <x:c r="IO20" s="1242" t="s">
        <x:v>35</x:v>
      </x:c>
      <x:c r="IP20" s="1242">
        <x:v>5</x:v>
      </x:c>
      <x:c r="IQ20" s="1242">
        <x:v>13</x:v>
      </x:c>
      <x:c r="IR20" s="1242">
        <x:v>4</x:v>
      </x:c>
      <x:c r="IS20" s="1243">
        <x:v>1.75</x:v>
      </x:c>
      <x:c r="IT20" s="1244" t="s">
        <x:v>116</x:v>
      </x:c>
      <x:c r="IU20" s="1242" t="s">
        <x:v>116</x:v>
      </x:c>
      <x:c r="IV20" s="1242" t="s">
        <x:v>116</x:v>
      </x:c>
      <x:c r="IW20" s="1243" t="s">
        <x:v>116</x:v>
      </x:c>
      <x:c r="IX20" s="1244" t="s">
        <x:v>116</x:v>
      </x:c>
      <x:c r="IY20" s="1242" t="s">
        <x:v>116</x:v>
      </x:c>
      <x:c r="IZ20" s="1242" t="s">
        <x:v>116</x:v>
      </x:c>
      <x:c r="JA20" s="1243" t="s">
        <x:v>116</x:v>
      </x:c>
      <x:c r="JB20" s="1244" t="s">
        <x:v>116</x:v>
      </x:c>
      <x:c r="JC20" s="1242" t="s">
        <x:v>116</x:v>
      </x:c>
      <x:c r="JD20" s="1242" t="s">
        <x:v>116</x:v>
      </x:c>
      <x:c r="JE20" s="1243" t="s">
        <x:v>116</x:v>
      </x:c>
      <x:c r="JF20" s="1244" t="s">
        <x:v>116</x:v>
      </x:c>
      <x:c r="JG20" s="1242" t="s">
        <x:v>116</x:v>
      </x:c>
      <x:c r="JH20" s="1242" t="s">
        <x:v>116</x:v>
      </x:c>
      <x:c r="JI20" s="1242" t="s">
        <x:v>116</x:v>
      </x:c>
      <x:c r="JJ20" s="1245" t="s">
        <x:v>116</x:v>
      </x:c>
      <x:c r="JK20" s="1242">
        <x:v>1</x:v>
      </x:c>
      <x:c r="JL20" s="1171">
        <x:f t="shared" ca="1" si="61"/>
        <x:v>1</x:v>
      </x:c>
    </x:row>
    <x:row r="21" spans="1:272" ht="12.6" customHeight="1" x14ac:dyDescent="0.25">
      <x:c r="A21" s="2764" t="s">
        <x:v>1424</x:v>
      </x:c>
      <x:c r="B21" s="2765">
        <x:v>1</x:v>
      </x:c>
      <x:c r="C21" s="2766" t="s">
        <x:v>1577</x:v>
      </x:c>
      <x:c r="D21" s="2767">
        <x:v>55</x:v>
      </x:c>
      <x:c r="E21" s="2768">
        <x:v>8.75</x:v>
      </x:c>
      <x:c r="F21" s="2769">
        <x:v>11.125</x:v>
      </x:c>
      <x:c r="G21" s="2770">
        <x:v>0</x:v>
      </x:c>
      <x:c r="H21" s="2771">
        <x:v>1.75</x:v>
      </x:c>
      <x:c r="I21" s="2772" t="s">
        <x:v>113</x:v>
      </x:c>
      <x:c r="J21" s="2767">
        <x:v>0</x:v>
      </x:c>
      <x:c r="K21" s="2771">
        <x:v>5</x:v>
      </x:c>
      <x:c r="L21" s="2773" t="s">
        <x:v>113</x:v>
      </x:c>
      <x:c r="M21" s="2774">
        <x:v>7.5</x:v>
      </x:c>
      <x:c r="N21" s="2775">
        <x:v>10</x:v>
      </x:c>
      <x:c r="O21" s="2770">
        <x:v>0</x:v>
      </x:c>
      <x:c r="P21" s="2771">
        <x:v>6.75</x:v>
      </x:c>
      <x:c r="Q21" s="2767">
        <x:v>0</x:v>
      </x:c>
      <x:c r="R21" s="2768">
        <x:v>4</x:v>
      </x:c>
      <x:c r="S21" s="2776">
        <x:v>0</x:v>
      </x:c>
      <x:c r="T21" s="2771">
        <x:v>6.25</x:v>
      </x:c>
      <x:c r="U21" s="2767">
        <x:v>0</x:v>
      </x:c>
      <x:c r="V21" s="2771">
        <x:v>4.625</x:v>
      </x:c>
      <x:c r="W21" s="2775">
        <x:v>5</x:v>
      </x:c>
      <x:c r="X21" s="2777" t="str">
        <x:f t="shared" si="0"/>
        <x:v/>
      </x:c>
      <x:c r="Y21" s="2778" t="str">
        <x:f t="shared" si="1"/>
        <x:v/>
      </x:c>
      <x:c r="Z21" s="2781" t="s">
        <x:v>1706</x:v>
      </x:c>
      <x:c r="AA21" s="2839" t="str">
        <x:f t="shared" si="2"/>
        <x:v/>
      </x:c>
      <x:c r="AB21" s="2764" t="s">
        <x:v>1424</x:v>
      </x:c>
      <x:c r="AC21" s="2772" t="s">
        <x:v>35</x:v>
      </x:c>
      <x:c r="AD21" s="2767">
        <x:v>6</x:v>
      </x:c>
      <x:c r="AE21" s="2771">
        <x:v>0.375</x:v>
      </x:c>
      <x:c r="AF21" s="2772">
        <x:v>7</x:v>
      </x:c>
      <x:c r="AG21" s="2767">
        <x:v>6</x:v>
      </x:c>
      <x:c r="AH21" s="2771">
        <x:v>2.75</x:v>
      </x:c>
      <x:c r="AI21" s="2767">
        <x:v>5</x:v>
      </x:c>
      <x:c r="AJ21" s="2771">
        <x:v>6.375</x:v>
      </x:c>
      <x:c r="AK21" s="2813" t="str">
        <x:f t="shared" si="3"/>
        <x:v/>
      </x:c>
      <x:c r="AL21" s="2814" t="s">
        <x:v>35</x:v>
      </x:c>
      <x:c r="AM21" s="2815">
        <x:v>5</x:v>
      </x:c>
      <x:c r="AN21" s="2772">
        <x:v>13</x:v>
      </x:c>
      <x:c r="AO21" s="2775">
        <x:v>4</x:v>
      </x:c>
      <x:c r="AP21" s="2774">
        <x:v>1.75</x:v>
      </x:c>
      <x:c r="AQ21" s="2817" t="str">
        <x:f t="shared" si="4"/>
        <x:v/>
      </x:c>
      <x:c r="AR21" s="2770">
        <x:v>54</x:v>
      </x:c>
      <x:c r="AS21" s="2771">
        <x:v>8</x:v>
      </x:c>
      <x:c r="AT21" s="2818">
        <x:v>16.3</x:v>
      </x:c>
      <x:c r="AU21" s="2819" t="s">
        <x:v>35</x:v>
      </x:c>
      <x:c r="AV21" s="2776" t="str">
        <x:f t="shared" si="9"/>
        <x:v/>
      </x:c>
      <x:c r="AW21" s="2771" t="str">
        <x:f t="shared" si="10"/>
        <x:v/>
      </x:c>
      <x:c r="AX21" s="2818" t="str">
        <x:f t="shared" si="11"/>
        <x:v/>
      </x:c>
      <x:c r="AY21" s="2819" t="str">
        <x:f t="shared" si="12"/>
        <x:v/>
      </x:c>
      <x:c r="AZ21" s="2776" t="str">
        <x:f t="shared" si="13"/>
        <x:v/>
      </x:c>
      <x:c r="BA21" s="2771" t="str">
        <x:f t="shared" si="14"/>
        <x:v/>
      </x:c>
      <x:c r="BB21" s="2818" t="str">
        <x:f t="shared" si="15"/>
        <x:v/>
      </x:c>
      <x:c r="BC21" s="2819" t="str">
        <x:f t="shared" si="16"/>
        <x:v/>
      </x:c>
      <x:c r="BD21" s="2776" t="str">
        <x:f t="shared" si="17"/>
        <x:v/>
      </x:c>
      <x:c r="BE21" s="2771" t="str">
        <x:f t="shared" si="18"/>
        <x:v/>
      </x:c>
      <x:c r="BF21" s="2818" t="str">
        <x:f t="shared" si="19"/>
        <x:v/>
      </x:c>
      <x:c r="BG21" s="2819" t="str">
        <x:f t="shared" si="20"/>
        <x:v/>
      </x:c>
      <x:c r="BH21" s="1416"/>
      <x:c r="BJ21" s="995" t="str">
        <x:f t="shared" si="59"/>
        <x:v>G24</x:v>
      </x:c>
      <x:c r="BK21" s="993" t="b">
        <x:f t="shared" si="21"/>
        <x:v>0</x:v>
      </x:c>
      <x:c r="BL21" s="1800" t="b">
        <x:v>0</x:v>
      </x:c>
      <x:c r="BM21" s="989">
        <x:f t="shared" si="22"/>
        <x:v>48</x:v>
      </x:c>
      <x:c r="BN21" s="989" t="str">
        <x:f t="shared" si="23"/>
        <x:v>VG</x:v>
      </x:c>
      <x:c r="BO21" s="989">
        <x:f t="shared" si="24"/>
        <x:v>9</x:v>
      </x:c>
      <x:c r="BP21" s="989">
        <x:f t="shared" si="25"/>
        <x:v>16.3</x:v>
      </x:c>
      <x:c r="BQ21" s="989">
        <x:f t="shared" si="26"/>
        <x:v>0</x:v>
      </x:c>
      <x:c r="BR21" s="989" t="b">
        <x:f t="shared" si="27"/>
        <x:v>1</x:v>
      </x:c>
      <x:c r="BS21" s="1302">
        <x:f t="shared" si="28"/>
        <x:v>7.75</x:v>
      </x:c>
      <x:c r="BT21" s="990" t="str">
        <x:f t="shared" si="29"/>
        <x:v>Yes</x:v>
      </x:c>
      <x:c r="BU21" s="1302">
        <x:f t="shared" si="30"/>
        <x:v>11</x:v>
      </x:c>
      <x:c r="BV21" s="990" t="str">
        <x:f t="shared" si="31"/>
        <x:v>Yes</x:v>
      </x:c>
      <x:c r="BW21" s="991">
        <x:f t="shared" si="32"/>
        <x:v>18</x:v>
      </x:c>
      <x:c r="BX21" s="991" t="str">
        <x:f t="shared" si="33"/>
        <x:v>G24</x:v>
      </x:c>
      <x:c r="BY21" s="991" t="b">
        <x:f t="shared" si="34"/>
        <x:v>0</x:v>
      </x:c>
      <x:c r="BZ21" s="991" t="b">
        <x:f t="shared" si="52"/>
        <x:v>0</x:v>
      </x:c>
      <x:c r="CB21" s="672"/>
      <x:c r="CC21" s="1684"/>
      <x:c r="CD21" s="699"/>
      <x:c r="CE21" s="700"/>
      <x:c r="CF21" s="701"/>
      <x:c r="CG21" s="672"/>
      <x:c r="CH21" s="713"/>
      <x:c r="CI21" s="714"/>
      <x:c r="CJ21" s="713"/>
      <x:c r="CK21" s="714"/>
      <x:c r="CL21" s="715"/>
      <x:c r="CM21" s="743"/>
      <x:c r="CN21" s="738"/>
      <x:c r="CO21" s="1551"/>
      <x:c r="CP21" s="910"/>
      <x:c r="CQ21" s="672"/>
      <x:c r="CR21" s="713"/>
      <x:c r="CS21" s="714"/>
      <x:c r="CT21" s="713"/>
      <x:c r="CU21" s="714"/>
      <x:c r="CV21" s="715"/>
      <x:c r="CW21" s="743"/>
      <x:c r="CX21" s="738"/>
      <x:c r="CY21" s="1551"/>
      <x:c r="CZ21" s="910"/>
      <x:c r="DA21" s="717"/>
      <x:c r="DB21" s="702"/>
      <x:c r="DC21" s="703"/>
      <x:c r="DD21" s="725"/>
      <x:c r="DE21" s="726"/>
      <x:c r="DF21" s="141"/>
      <x:c r="DG21" s="141"/>
      <x:c r="DH21" s="672"/>
      <x:c r="DI21" s="673"/>
      <x:c r="DJ21" s="692"/>
      <x:c r="DK21" s="1331"/>
      <x:c r="DL21" s="674"/>
      <x:c r="DM21" s="693"/>
      <x:c r="DN21" s="1334"/>
      <x:c r="DO21" s="675"/>
      <x:c r="DP21" s="676"/>
      <x:c r="DQ21" s="1419"/>
      <x:c r="DR21" s="677"/>
      <x:c r="DS21" s="1419"/>
      <x:c r="DT21" s="1421"/>
      <x:c r="DU21" s="1422"/>
      <x:c r="DV21" s="678"/>
      <x:c r="DW21" s="1336"/>
      <x:c r="DX21" s="679"/>
      <x:c r="DY21" s="674"/>
      <x:c r="DZ21" s="678"/>
      <x:c r="EA21" s="1336"/>
      <x:c r="EB21" s="679"/>
      <x:c r="EC21" s="674"/>
      <x:c r="ED21" s="678"/>
      <x:c r="EE21" s="1336"/>
      <x:c r="EF21" s="679"/>
      <x:c r="EG21" s="674"/>
      <x:c r="EH21" s="678"/>
      <x:c r="EI21" s="1336"/>
      <x:c r="EJ21" s="679"/>
      <x:c r="EK21" s="680"/>
      <x:c r="EL21" s="241"/>
      <x:c r="EM21" s="1631" t="str">
        <x:f t="shared" si="35"/>
        <x:v/>
      </x:c>
      <x:c r="EN21" s="1428" t="str">
        <x:f t="shared" si="36"/>
        <x:v/>
      </x:c>
      <x:c r="EO21" s="1429" t="str">
        <x:f t="shared" si="37"/>
        <x:v/>
      </x:c>
      <x:c r="EP21" s="1430" t="str">
        <x:f t="shared" si="38"/>
        <x:v/>
      </x:c>
      <x:c r="EQ21" s="1434" t="str">
        <x:f t="shared" si="39"/>
        <x:v/>
      </x:c>
      <x:c r="ER21" s="1440" t="str">
        <x:f t="shared" si="40"/>
        <x:v/>
      </x:c>
      <x:c r="ES21" s="1441" t="str">
        <x:f t="shared" si="41"/>
        <x:v/>
      </x:c>
      <x:c r="ET21" s="1442" t="str">
        <x:f t="shared" si="42"/>
        <x:v/>
      </x:c>
      <x:c r="EU21" s="1443" t="str">
        <x:f t="shared" si="53"/>
        <x:v/>
      </x:c>
      <x:c r="EX21" s="503" t="str">
        <x:f t="shared" si="54"/>
        <x:v>G24B</x:v>
      </x:c>
      <x:c r="EY21" s="940" t="b">
        <x:f t="shared" ca="1" si="43"/>
        <x:v>1</x:v>
      </x:c>
      <x:c r="EZ21" s="940">
        <x:f t="shared" si="55"/>
        <x:v>5</x:v>
      </x:c>
      <x:c r="FA21" s="958" t="b">
        <x:f t="shared" si="60"/>
        <x:v>1</x:v>
      </x:c>
      <x:c r="FB21" s="134">
        <x:f t="shared" si="56"/>
        <x:v>662</x:v>
      </x:c>
      <x:c r="FC21" s="134">
        <x:f t="shared" si="44"/>
        <x:v>72.375</x:v>
      </x:c>
      <x:c r="FD21" s="134">
        <x:f t="shared" si="45"/>
        <x:v>523.25</x:v>
      </x:c>
      <x:c r="FE21" s="134">
        <x:f t="shared" si="46"/>
        <x:v>66.375</x:v>
      </x:c>
      <x:c r="FF21" s="134">
        <x:f t="shared" si="57"/>
        <x:v>662</x:v>
      </x:c>
      <x:c r="FN21" s="754" t="b">
        <x:v>0</x:v>
      </x:c>
      <x:c r="FO21" s="754" t="b">
        <x:f t="shared" si="47"/>
        <x:v>1</x:v>
      </x:c>
      <x:c r="FP21" s="754" t="b">
        <x:v>0</x:v>
      </x:c>
      <x:c r="FQ21" s="754" t="b">
        <x:f t="shared" si="58"/>
        <x:v>1</x:v>
      </x:c>
      <x:c r="FW21" s="23"/>
      <x:c r="FX21" s="23"/>
      <x:c r="FZ21" s="23"/>
      <x:c r="GA21" s="1761">
        <x:v>56</x:v>
      </x:c>
      <x:c r="GB21" s="1762">
        <x:v>0</x:v>
      </x:c>
      <x:c r="GC21" s="1763">
        <x:v>-0.25</x:v>
      </x:c>
      <x:c r="GD21" s="1764">
        <x:v>-3</x:v>
      </x:c>
      <x:c r="GE21" s="1765">
        <x:f t="shared" si="48"/>
        <x:v>0</x:v>
      </x:c>
      <x:c r="GF21" s="582" t="str">
        <x:f t="shared" si="49"/>
        <x:v>G24</x:v>
      </x:c>
      <x:c r="GG21" s="692">
        <x:v>0</x:v>
      </x:c>
      <x:c r="GH21" s="1135">
        <x:v>0</x:v>
      </x:c>
      <x:c r="GI21" s="692"/>
      <x:c r="GJ21" s="1135"/>
      <x:c r="GK21" s="1640">
        <x:f t="shared" si="50"/>
        <x:v>668.75</x:v>
      </x:c>
      <x:c r="GL21" s="1640">
        <x:f t="shared" si="51"/>
        <x:v>668.75</x:v>
      </x:c>
      <x:c r="GM21" s="1641">
        <x:f>IF(ABS(GK21-GL21)&gt;='Job Info.'!$L$22,ABS(GK21-GL21),0)</x:f>
        <x:v>0</x:v>
      </x:c>
      <x:c r="HA21" s="1241" t="s">
        <x:v>1424</x:v>
      </x:c>
      <x:c r="HB21" s="1242">
        <x:v>1</x:v>
      </x:c>
      <x:c r="HC21" s="1242" t="s">
        <x:v>1577</x:v>
      </x:c>
      <x:c r="HD21" s="1243">
        <x:v>55</x:v>
      </x:c>
      <x:c r="HE21" s="1244">
        <x:v>8.75</x:v>
      </x:c>
      <x:c r="HF21" s="1242">
        <x:v>11.125</x:v>
      </x:c>
      <x:c r="HG21" s="1242">
        <x:v>0</x:v>
      </x:c>
      <x:c r="HH21" s="1242">
        <x:v>1.75</x:v>
      </x:c>
      <x:c r="HI21" s="1242" t="s">
        <x:v>113</x:v>
      </x:c>
      <x:c r="HJ21" s="1242">
        <x:v>0</x:v>
      </x:c>
      <x:c r="HK21" s="1242">
        <x:v>5</x:v>
      </x:c>
      <x:c r="HL21" s="1242" t="s">
        <x:v>113</x:v>
      </x:c>
      <x:c r="HM21" s="1242">
        <x:v>7.5</x:v>
      </x:c>
      <x:c r="HN21" s="1242">
        <x:v>10</x:v>
      </x:c>
      <x:c r="HO21" s="1242">
        <x:v>0</x:v>
      </x:c>
      <x:c r="HP21" s="1242">
        <x:v>6.75</x:v>
      </x:c>
      <x:c r="HQ21" s="1242">
        <x:v>0</x:v>
      </x:c>
      <x:c r="HR21" s="1242">
        <x:v>4</x:v>
      </x:c>
      <x:c r="HS21" s="1242">
        <x:v>0</x:v>
      </x:c>
      <x:c r="HT21" s="1242">
        <x:v>6.25</x:v>
      </x:c>
      <x:c r="HU21" s="1242">
        <x:v>0</x:v>
      </x:c>
      <x:c r="HV21" s="1242">
        <x:v>4.625</x:v>
      </x:c>
      <x:c r="HW21" s="1242">
        <x:v>5</x:v>
      </x:c>
      <x:c r="HX21" s="1242" t="s">
        <x:v>116</x:v>
      </x:c>
      <x:c r="HY21" s="1246" t="s">
        <x:v>116</x:v>
      </x:c>
      <x:c r="HZ21" s="1246" t="s">
        <x:v>1639</x:v>
      </x:c>
      <x:c r="IA21" s="1246" t="s">
        <x:v>116</x:v>
      </x:c>
      <x:c r="IB21" s="1246"/>
      <x:c r="IC21" s="1246"/>
      <x:c r="ID21" s="1261"/>
      <x:c r="IE21" s="1241" t="s">
        <x:v>1424</x:v>
      </x:c>
      <x:c r="IF21" s="1242" t="s">
        <x:v>35</x:v>
      </x:c>
      <x:c r="IG21" s="1243">
        <x:v>6</x:v>
      </x:c>
      <x:c r="IH21" s="1244">
        <x:v>0.375</x:v>
      </x:c>
      <x:c r="II21" s="1242">
        <x:v>7</x:v>
      </x:c>
      <x:c r="IJ21" s="1243">
        <x:v>6</x:v>
      </x:c>
      <x:c r="IK21" s="1244">
        <x:v>2.75</x:v>
      </x:c>
      <x:c r="IL21" s="1242">
        <x:v>5</x:v>
      </x:c>
      <x:c r="IM21" s="1242">
        <x:v>6.375</x:v>
      </x:c>
      <x:c r="IN21" s="1242" t="s">
        <x:v>116</x:v>
      </x:c>
      <x:c r="IO21" s="1242" t="s">
        <x:v>35</x:v>
      </x:c>
      <x:c r="IP21" s="1242">
        <x:v>5</x:v>
      </x:c>
      <x:c r="IQ21" s="1242">
        <x:v>13</x:v>
      </x:c>
      <x:c r="IR21" s="1242">
        <x:v>4</x:v>
      </x:c>
      <x:c r="IS21" s="1243">
        <x:v>1.75</x:v>
      </x:c>
      <x:c r="IT21" s="1244" t="s">
        <x:v>116</x:v>
      </x:c>
      <x:c r="IU21" s="1242">
        <x:v>54</x:v>
      </x:c>
      <x:c r="IV21" s="1242">
        <x:v>8</x:v>
      </x:c>
      <x:c r="IW21" s="1243">
        <x:v>16.3</x:v>
      </x:c>
      <x:c r="IX21" s="1244" t="s">
        <x:v>35</x:v>
      </x:c>
      <x:c r="IY21" s="1242" t="s">
        <x:v>116</x:v>
      </x:c>
      <x:c r="IZ21" s="1242" t="s">
        <x:v>116</x:v>
      </x:c>
      <x:c r="JA21" s="1243" t="s">
        <x:v>116</x:v>
      </x:c>
      <x:c r="JB21" s="1244" t="s">
        <x:v>116</x:v>
      </x:c>
      <x:c r="JC21" s="1242" t="s">
        <x:v>116</x:v>
      </x:c>
      <x:c r="JD21" s="1242" t="s">
        <x:v>116</x:v>
      </x:c>
      <x:c r="JE21" s="1243" t="s">
        <x:v>116</x:v>
      </x:c>
      <x:c r="JF21" s="1244" t="s">
        <x:v>116</x:v>
      </x:c>
      <x:c r="JG21" s="1242" t="s">
        <x:v>116</x:v>
      </x:c>
      <x:c r="JH21" s="1242" t="s">
        <x:v>116</x:v>
      </x:c>
      <x:c r="JI21" s="1242" t="s">
        <x:v>116</x:v>
      </x:c>
      <x:c r="JJ21" s="1245" t="s">
        <x:v>116</x:v>
      </x:c>
      <x:c r="JK21" s="1242">
        <x:v>1</x:v>
      </x:c>
      <x:c r="JL21" s="1171">
        <x:f t="shared" ca="1" si="61"/>
        <x:v>1</x:v>
      </x:c>
    </x:row>
    <x:row r="22" spans="1:272" ht="12.6" customHeight="1" x14ac:dyDescent="0.25">
      <x:c r="A22" s="2764" t="s">
        <x:v>1425</x:v>
      </x:c>
      <x:c r="B22" s="2765">
        <x:v>1</x:v>
      </x:c>
      <x:c r="C22" s="2766" t="s">
        <x:v>1585</x:v>
      </x:c>
      <x:c r="D22" s="2767">
        <x:v>55</x:v>
      </x:c>
      <x:c r="E22" s="2768">
        <x:v>10.875</x:v>
      </x:c>
      <x:c r="F22" s="2769">
        <x:v>11.125</x:v>
      </x:c>
      <x:c r="G22" s="2770">
        <x:v>0</x:v>
      </x:c>
      <x:c r="H22" s="2771">
        <x:v>1.75</x:v>
      </x:c>
      <x:c r="I22" s="2772" t="s">
        <x:v>113</x:v>
      </x:c>
      <x:c r="J22" s="2767" t="str">
        <x:f t="shared" si="62"/>
        <x:v/>
      </x:c>
      <x:c r="K22" s="2771" t="str">
        <x:f t="shared" si="63"/>
        <x:v/>
      </x:c>
      <x:c r="L22" s="2773" t="str">
        <x:f t="shared" si="64"/>
        <x:v/>
      </x:c>
      <x:c r="M22" s="2774">
        <x:v>7.5</x:v>
      </x:c>
      <x:c r="N22" s="2775">
        <x:v>10</x:v>
      </x:c>
      <x:c r="O22" s="2770">
        <x:v>0</x:v>
      </x:c>
      <x:c r="P22" s="2771">
        <x:v>6.75</x:v>
      </x:c>
      <x:c r="Q22" s="2767">
        <x:v>0</x:v>
      </x:c>
      <x:c r="R22" s="2768">
        <x:v>7.125</x:v>
      </x:c>
      <x:c r="S22" s="2776">
        <x:v>0</x:v>
      </x:c>
      <x:c r="T22" s="2771">
        <x:v>6.25</x:v>
      </x:c>
      <x:c r="U22" s="2767">
        <x:v>0</x:v>
      </x:c>
      <x:c r="V22" s="2771">
        <x:v>2.125</x:v>
      </x:c>
      <x:c r="W22" s="2775">
        <x:v>5</x:v>
      </x:c>
      <x:c r="X22" s="2777" t="str">
        <x:f t="shared" si="0"/>
        <x:v/>
      </x:c>
      <x:c r="Y22" s="2778" t="str">
        <x:f t="shared" si="1"/>
        <x:v/>
      </x:c>
      <x:c r="Z22" s="2779" t="s">
        <x:v>1640</x:v>
      </x:c>
      <x:c r="AA22" s="2839" t="str">
        <x:f t="shared" si="2"/>
        <x:v/>
      </x:c>
      <x:c r="AB22" s="2764" t="s">
        <x:v>1425</x:v>
      </x:c>
      <x:c r="AC22" s="2772" t="s">
        <x:v>35</x:v>
      </x:c>
      <x:c r="AD22" s="2767">
        <x:v>6</x:v>
      </x:c>
      <x:c r="AE22" s="2771">
        <x:v>0.375</x:v>
      </x:c>
      <x:c r="AF22" s="2772">
        <x:v>7</x:v>
      </x:c>
      <x:c r="AG22" s="2767">
        <x:v>6</x:v>
      </x:c>
      <x:c r="AH22" s="2771">
        <x:v>2.75</x:v>
      </x:c>
      <x:c r="AI22" s="2767">
        <x:v>6</x:v>
      </x:c>
      <x:c r="AJ22" s="2771">
        <x:v>1.5</x:v>
      </x:c>
      <x:c r="AK22" s="2813" t="str">
        <x:f t="shared" si="3"/>
        <x:v/>
      </x:c>
      <x:c r="AL22" s="2814" t="s">
        <x:v>35</x:v>
      </x:c>
      <x:c r="AM22" s="2815">
        <x:v>5</x:v>
      </x:c>
      <x:c r="AN22" s="2772">
        <x:v>13</x:v>
      </x:c>
      <x:c r="AO22" s="2775">
        <x:v>4</x:v>
      </x:c>
      <x:c r="AP22" s="2774">
        <x:v>1.75</x:v>
      </x:c>
      <x:c r="AQ22" s="2817" t="str">
        <x:f t="shared" si="4"/>
        <x:v/>
      </x:c>
      <x:c r="AR22" s="2770" t="str">
        <x:f t="shared" si="5"/>
        <x:v/>
      </x:c>
      <x:c r="AS22" s="2771" t="str">
        <x:f t="shared" si="6"/>
        <x:v/>
      </x:c>
      <x:c r="AT22" s="2818" t="str">
        <x:f t="shared" si="7"/>
        <x:v/>
      </x:c>
      <x:c r="AU22" s="2819" t="str">
        <x:f t="shared" si="8"/>
        <x:v/>
      </x:c>
      <x:c r="AV22" s="2776" t="str">
        <x:f t="shared" si="9"/>
        <x:v/>
      </x:c>
      <x:c r="AW22" s="2771" t="str">
        <x:f t="shared" si="10"/>
        <x:v/>
      </x:c>
      <x:c r="AX22" s="2818" t="str">
        <x:f t="shared" si="11"/>
        <x:v/>
      </x:c>
      <x:c r="AY22" s="2819" t="str">
        <x:f t="shared" si="12"/>
        <x:v/>
      </x:c>
      <x:c r="AZ22" s="2776" t="str">
        <x:f t="shared" si="13"/>
        <x:v/>
      </x:c>
      <x:c r="BA22" s="2771" t="str">
        <x:f t="shared" si="14"/>
        <x:v/>
      </x:c>
      <x:c r="BB22" s="2818" t="str">
        <x:f t="shared" si="15"/>
        <x:v/>
      </x:c>
      <x:c r="BC22" s="2819" t="str">
        <x:f t="shared" si="16"/>
        <x:v/>
      </x:c>
      <x:c r="BD22" s="2776" t="str">
        <x:f t="shared" si="17"/>
        <x:v/>
      </x:c>
      <x:c r="BE22" s="2771" t="str">
        <x:f t="shared" si="18"/>
        <x:v/>
      </x:c>
      <x:c r="BF22" s="2818" t="str">
        <x:f t="shared" si="19"/>
        <x:v/>
      </x:c>
      <x:c r="BG22" s="2819" t="str">
        <x:f t="shared" si="20"/>
        <x:v/>
      </x:c>
      <x:c r="BH22" s="1416"/>
      <x:c r="BJ22" s="995" t="str">
        <x:f t="shared" si="59"/>
        <x:v>G25</x:v>
      </x:c>
      <x:c r="BK22" s="993" t="b">
        <x:f t="shared" si="21"/>
        <x:v>0</x:v>
      </x:c>
      <x:c r="BL22" s="1800" t="b">
        <x:v>0</x:v>
      </x:c>
      <x:c r="BM22" s="989">
        <x:f t="shared" si="22"/>
        <x:v>52</x:v>
      </x:c>
      <x:c r="BN22" s="989" t="str">
        <x:f t="shared" si="23"/>
        <x:v>VG</x:v>
      </x:c>
      <x:c r="BO22" s="989">
        <x:f t="shared" si="24"/>
        <x:v>9</x:v>
      </x:c>
      <x:c r="BP22" s="989">
        <x:f t="shared" si="25"/>
        <x:v>15.3</x:v>
      </x:c>
      <x:c r="BQ22" s="989">
        <x:f t="shared" si="26"/>
        <x:v>0</x:v>
      </x:c>
      <x:c r="BR22" s="989" t="b">
        <x:f t="shared" si="27"/>
        <x:v>1</x:v>
      </x:c>
      <x:c r="BS22" s="1302">
        <x:f t="shared" si="28"/>
        <x:v>7.75</x:v>
      </x:c>
      <x:c r="BT22" s="990" t="str">
        <x:f t="shared" si="29"/>
        <x:v>Yes</x:v>
      </x:c>
      <x:c r="BU22" s="1302">
        <x:f t="shared" si="30"/>
        <x:v>6</x:v>
      </x:c>
      <x:c r="BV22" s="990" t="str">
        <x:f t="shared" si="31"/>
        <x:v>Yes</x:v>
      </x:c>
      <x:c r="BW22" s="991">
        <x:f t="shared" si="32"/>
        <x:v>14</x:v>
      </x:c>
      <x:c r="BX22" s="991" t="str">
        <x:f t="shared" si="33"/>
        <x:v>G25</x:v>
      </x:c>
      <x:c r="BY22" s="991" t="b">
        <x:f t="shared" si="34"/>
        <x:v>0</x:v>
      </x:c>
      <x:c r="BZ22" s="991" t="b">
        <x:f t="shared" si="52"/>
        <x:v>0</x:v>
      </x:c>
      <x:c r="CB22" s="672"/>
      <x:c r="CC22" s="1684"/>
      <x:c r="CD22" s="699"/>
      <x:c r="CE22" s="700"/>
      <x:c r="CF22" s="701"/>
      <x:c r="CG22" s="672"/>
      <x:c r="CH22" s="713"/>
      <x:c r="CI22" s="714"/>
      <x:c r="CJ22" s="713"/>
      <x:c r="CK22" s="714"/>
      <x:c r="CL22" s="715"/>
      <x:c r="CM22" s="743"/>
      <x:c r="CN22" s="738"/>
      <x:c r="CO22" s="1551"/>
      <x:c r="CP22" s="910"/>
      <x:c r="CQ22" s="672"/>
      <x:c r="CR22" s="713"/>
      <x:c r="CS22" s="714"/>
      <x:c r="CT22" s="713"/>
      <x:c r="CU22" s="714"/>
      <x:c r="CV22" s="715"/>
      <x:c r="CW22" s="743"/>
      <x:c r="CX22" s="738"/>
      <x:c r="CY22" s="1551"/>
      <x:c r="CZ22" s="910"/>
      <x:c r="DA22" s="717"/>
      <x:c r="DB22" s="702"/>
      <x:c r="DC22" s="703"/>
      <x:c r="DD22" s="725"/>
      <x:c r="DE22" s="726"/>
      <x:c r="DF22" s="141"/>
      <x:c r="DG22" s="141"/>
      <x:c r="DH22" s="672"/>
      <x:c r="DI22" s="673"/>
      <x:c r="DJ22" s="692"/>
      <x:c r="DK22" s="1331"/>
      <x:c r="DL22" s="674"/>
      <x:c r="DM22" s="693"/>
      <x:c r="DN22" s="1334"/>
      <x:c r="DO22" s="675"/>
      <x:c r="DP22" s="676"/>
      <x:c r="DQ22" s="1419"/>
      <x:c r="DR22" s="677"/>
      <x:c r="DS22" s="1419"/>
      <x:c r="DT22" s="1421"/>
      <x:c r="DU22" s="1422"/>
      <x:c r="DV22" s="678"/>
      <x:c r="DW22" s="1336"/>
      <x:c r="DX22" s="679"/>
      <x:c r="DY22" s="674"/>
      <x:c r="DZ22" s="678"/>
      <x:c r="EA22" s="1336"/>
      <x:c r="EB22" s="679"/>
      <x:c r="EC22" s="674"/>
      <x:c r="ED22" s="678"/>
      <x:c r="EE22" s="1336"/>
      <x:c r="EF22" s="679"/>
      <x:c r="EG22" s="674"/>
      <x:c r="EH22" s="678"/>
      <x:c r="EI22" s="1336"/>
      <x:c r="EJ22" s="679"/>
      <x:c r="EK22" s="680"/>
      <x:c r="EL22" s="241"/>
      <x:c r="EM22" s="1631" t="str">
        <x:f t="shared" si="35"/>
        <x:v/>
      </x:c>
      <x:c r="EN22" s="1428" t="str">
        <x:f t="shared" si="36"/>
        <x:v/>
      </x:c>
      <x:c r="EO22" s="1429" t="str">
        <x:f t="shared" si="37"/>
        <x:v/>
      </x:c>
      <x:c r="EP22" s="1430" t="str">
        <x:f t="shared" si="38"/>
        <x:v/>
      </x:c>
      <x:c r="EQ22" s="1434" t="str">
        <x:f t="shared" si="39"/>
        <x:v/>
      </x:c>
      <x:c r="ER22" s="1440" t="str">
        <x:f t="shared" si="40"/>
        <x:v/>
      </x:c>
      <x:c r="ES22" s="1441" t="str">
        <x:f t="shared" si="41"/>
        <x:v/>
      </x:c>
      <x:c r="ET22" s="1442" t="str">
        <x:f t="shared" si="42"/>
        <x:v/>
      </x:c>
      <x:c r="EU22" s="1443" t="str">
        <x:f t="shared" si="53"/>
        <x:v/>
      </x:c>
      <x:c r="EX22" s="503" t="str">
        <x:f t="shared" si="54"/>
        <x:v>G25B</x:v>
      </x:c>
      <x:c r="EY22" s="940" t="b">
        <x:f t="shared" ca="1" si="43"/>
        <x:v>1</x:v>
      </x:c>
      <x:c r="EZ22" s="940">
        <x:f t="shared" si="55"/>
        <x:v>5</x:v>
      </x:c>
      <x:c r="FA22" s="958" t="b">
        <x:f t="shared" si="60"/>
        <x:v>1</x:v>
      </x:c>
      <x:c r="FB22" s="134">
        <x:f t="shared" si="56"/>
        <x:v>669.125</x:v>
      </x:c>
      <x:c r="FC22" s="134">
        <x:f t="shared" si="44"/>
        <x:v>72.375</x:v>
      </x:c>
      <x:c r="FD22" s="134">
        <x:f t="shared" si="45"/>
        <x:v>523.25</x:v>
      </x:c>
      <x:c r="FE22" s="134">
        <x:f t="shared" si="46"/>
        <x:v>73.5</x:v>
      </x:c>
      <x:c r="FF22" s="134">
        <x:f t="shared" si="57"/>
        <x:v>669.125</x:v>
      </x:c>
      <x:c r="FN22" s="754" t="b">
        <x:v>0</x:v>
      </x:c>
      <x:c r="FO22" s="754" t="b">
        <x:f t="shared" si="47"/>
        <x:v>1</x:v>
      </x:c>
      <x:c r="FP22" s="754" t="b">
        <x:v>0</x:v>
      </x:c>
      <x:c r="FQ22" s="754" t="b">
        <x:f t="shared" si="58"/>
        <x:v>1</x:v>
      </x:c>
      <x:c r="FW22" s="23"/>
      <x:c r="FX22" s="23"/>
      <x:c r="FZ22" s="23"/>
      <x:c r="GA22" s="1761">
        <x:v>56</x:v>
      </x:c>
      <x:c r="GB22" s="1762">
        <x:v>0</x:v>
      </x:c>
      <x:c r="GC22" s="1763">
        <x:v>-0.25</x:v>
      </x:c>
      <x:c r="GD22" s="1764">
        <x:v>-0.875</x:v>
      </x:c>
      <x:c r="GE22" s="1765">
        <x:f t="shared" si="48"/>
        <x:v>0</x:v>
      </x:c>
      <x:c r="GF22" s="582" t="str">
        <x:f t="shared" si="49"/>
        <x:v>G25</x:v>
      </x:c>
      <x:c r="GG22" s="692">
        <x:v>0</x:v>
      </x:c>
      <x:c r="GH22" s="1135">
        <x:v>0</x:v>
      </x:c>
      <x:c r="GI22" s="692"/>
      <x:c r="GJ22" s="1135"/>
      <x:c r="GK22" s="1640">
        <x:f t="shared" si="50"/>
        <x:v>670.875</x:v>
      </x:c>
      <x:c r="GL22" s="1640">
        <x:f t="shared" si="51"/>
        <x:v>670.875</x:v>
      </x:c>
      <x:c r="GM22" s="1641">
        <x:f>IF(ABS(GK22-GL22)&gt;='Job Info.'!$L$22,ABS(GK22-GL22),0)</x:f>
        <x:v>0</x:v>
      </x:c>
      <x:c r="HA22" s="1241" t="s">
        <x:v>1425</x:v>
      </x:c>
      <x:c r="HB22" s="1242">
        <x:v>1</x:v>
      </x:c>
      <x:c r="HC22" s="1242" t="s">
        <x:v>1585</x:v>
      </x:c>
      <x:c r="HD22" s="1243">
        <x:v>55</x:v>
      </x:c>
      <x:c r="HE22" s="1244">
        <x:v>10.875</x:v>
      </x:c>
      <x:c r="HF22" s="1242">
        <x:v>11.125</x:v>
      </x:c>
      <x:c r="HG22" s="1242">
        <x:v>0</x:v>
      </x:c>
      <x:c r="HH22" s="1242">
        <x:v>1.75</x:v>
      </x:c>
      <x:c r="HI22" s="1242" t="s">
        <x:v>113</x:v>
      </x:c>
      <x:c r="HJ22" s="1242" t="s">
        <x:v>116</x:v>
      </x:c>
      <x:c r="HK22" s="1242" t="s">
        <x:v>116</x:v>
      </x:c>
      <x:c r="HL22" s="1242" t="s">
        <x:v>116</x:v>
      </x:c>
      <x:c r="HM22" s="1242">
        <x:v>7.5</x:v>
      </x:c>
      <x:c r="HN22" s="1242">
        <x:v>10</x:v>
      </x:c>
      <x:c r="HO22" s="1242">
        <x:v>0</x:v>
      </x:c>
      <x:c r="HP22" s="1242">
        <x:v>6.75</x:v>
      </x:c>
      <x:c r="HQ22" s="1242">
        <x:v>0</x:v>
      </x:c>
      <x:c r="HR22" s="1242">
        <x:v>7.125</x:v>
      </x:c>
      <x:c r="HS22" s="1242">
        <x:v>0</x:v>
      </x:c>
      <x:c r="HT22" s="1242">
        <x:v>6.25</x:v>
      </x:c>
      <x:c r="HU22" s="1242">
        <x:v>0</x:v>
      </x:c>
      <x:c r="HV22" s="1242">
        <x:v>2.125</x:v>
      </x:c>
      <x:c r="HW22" s="1242">
        <x:v>5</x:v>
      </x:c>
      <x:c r="HX22" s="1242" t="s">
        <x:v>116</x:v>
      </x:c>
      <x:c r="HY22" s="1246" t="s">
        <x:v>116</x:v>
      </x:c>
      <x:c r="HZ22" s="1246" t="s">
        <x:v>1640</x:v>
      </x:c>
      <x:c r="IA22" s="1246" t="s">
        <x:v>116</x:v>
      </x:c>
      <x:c r="IB22" s="1246"/>
      <x:c r="IC22" s="1246"/>
      <x:c r="ID22" s="1261"/>
      <x:c r="IE22" s="1241" t="s">
        <x:v>1425</x:v>
      </x:c>
      <x:c r="IF22" s="1242" t="s">
        <x:v>35</x:v>
      </x:c>
      <x:c r="IG22" s="1243">
        <x:v>6</x:v>
      </x:c>
      <x:c r="IH22" s="1244">
        <x:v>0.375</x:v>
      </x:c>
      <x:c r="II22" s="1242">
        <x:v>7</x:v>
      </x:c>
      <x:c r="IJ22" s="1243">
        <x:v>6</x:v>
      </x:c>
      <x:c r="IK22" s="1244">
        <x:v>2.75</x:v>
      </x:c>
      <x:c r="IL22" s="1242">
        <x:v>6</x:v>
      </x:c>
      <x:c r="IM22" s="1242">
        <x:v>1.5</x:v>
      </x:c>
      <x:c r="IN22" s="1242" t="s">
        <x:v>116</x:v>
      </x:c>
      <x:c r="IO22" s="1242" t="s">
        <x:v>35</x:v>
      </x:c>
      <x:c r="IP22" s="1242">
        <x:v>5</x:v>
      </x:c>
      <x:c r="IQ22" s="1242">
        <x:v>13</x:v>
      </x:c>
      <x:c r="IR22" s="1242">
        <x:v>4</x:v>
      </x:c>
      <x:c r="IS22" s="1243">
        <x:v>1.75</x:v>
      </x:c>
      <x:c r="IT22" s="1244" t="s">
        <x:v>116</x:v>
      </x:c>
      <x:c r="IU22" s="1242" t="s">
        <x:v>116</x:v>
      </x:c>
      <x:c r="IV22" s="1242" t="s">
        <x:v>116</x:v>
      </x:c>
      <x:c r="IW22" s="1243" t="s">
        <x:v>116</x:v>
      </x:c>
      <x:c r="IX22" s="1244" t="s">
        <x:v>116</x:v>
      </x:c>
      <x:c r="IY22" s="1242" t="s">
        <x:v>116</x:v>
      </x:c>
      <x:c r="IZ22" s="1242" t="s">
        <x:v>116</x:v>
      </x:c>
      <x:c r="JA22" s="1243" t="s">
        <x:v>116</x:v>
      </x:c>
      <x:c r="JB22" s="1244" t="s">
        <x:v>116</x:v>
      </x:c>
      <x:c r="JC22" s="1242" t="s">
        <x:v>116</x:v>
      </x:c>
      <x:c r="JD22" s="1242" t="s">
        <x:v>116</x:v>
      </x:c>
      <x:c r="JE22" s="1243" t="s">
        <x:v>116</x:v>
      </x:c>
      <x:c r="JF22" s="1244" t="s">
        <x:v>116</x:v>
      </x:c>
      <x:c r="JG22" s="1242" t="s">
        <x:v>116</x:v>
      </x:c>
      <x:c r="JH22" s="1242" t="s">
        <x:v>116</x:v>
      </x:c>
      <x:c r="JI22" s="1242" t="s">
        <x:v>116</x:v>
      </x:c>
      <x:c r="JJ22" s="1245" t="s">
        <x:v>116</x:v>
      </x:c>
      <x:c r="JK22" s="1242">
        <x:v>1</x:v>
      </x:c>
      <x:c r="JL22" s="1171">
        <x:f t="shared" ca="1" si="61"/>
        <x:v>1</x:v>
      </x:c>
    </x:row>
    <x:row r="23" spans="1:272" ht="12.6" customHeight="1" x14ac:dyDescent="0.25">
      <x:c r="A23" s="2764" t="s">
        <x:v>1426</x:v>
      </x:c>
      <x:c r="B23" s="2765">
        <x:v>1</x:v>
      </x:c>
      <x:c r="C23" s="2766" t="s">
        <x:v>1585</x:v>
      </x:c>
      <x:c r="D23" s="2767">
        <x:v>55</x:v>
      </x:c>
      <x:c r="E23" s="2768">
        <x:v>8.375</x:v>
      </x:c>
      <x:c r="F23" s="2769">
        <x:v>11.125</x:v>
      </x:c>
      <x:c r="G23" s="2770">
        <x:v>0</x:v>
      </x:c>
      <x:c r="H23" s="2771">
        <x:v>1.75</x:v>
      </x:c>
      <x:c r="I23" s="2772" t="s">
        <x:v>113</x:v>
      </x:c>
      <x:c r="J23" s="2767">
        <x:v>0</x:v>
      </x:c>
      <x:c r="K23" s="2771">
        <x:v>5</x:v>
      </x:c>
      <x:c r="L23" s="2773" t="s">
        <x:v>158</x:v>
      </x:c>
      <x:c r="M23" s="2774">
        <x:v>7.5</x:v>
      </x:c>
      <x:c r="N23" s="2775">
        <x:v>10</x:v>
      </x:c>
      <x:c r="O23" s="2770">
        <x:v>0</x:v>
      </x:c>
      <x:c r="P23" s="2771">
        <x:v>6.75</x:v>
      </x:c>
      <x:c r="Q23" s="2767">
        <x:v>0</x:v>
      </x:c>
      <x:c r="R23" s="2768">
        <x:v>4.625</x:v>
      </x:c>
      <x:c r="S23" s="2776">
        <x:v>0</x:v>
      </x:c>
      <x:c r="T23" s="2771">
        <x:v>6.25</x:v>
      </x:c>
      <x:c r="U23" s="2767">
        <x:v>0</x:v>
      </x:c>
      <x:c r="V23" s="2771">
        <x:v>4.25</x:v>
      </x:c>
      <x:c r="W23" s="2775">
        <x:v>5</x:v>
      </x:c>
      <x:c r="X23" s="2777" t="str">
        <x:f t="shared" si="0"/>
        <x:v/>
      </x:c>
      <x:c r="Y23" s="2778" t="str">
        <x:f t="shared" si="1"/>
        <x:v/>
      </x:c>
      <x:c r="Z23" s="2781" t="s">
        <x:v>1711</x:v>
      </x:c>
      <x:c r="AA23" s="2839" t="str">
        <x:f t="shared" si="2"/>
        <x:v/>
      </x:c>
      <x:c r="AB23" s="2764" t="s">
        <x:v>1426</x:v>
      </x:c>
      <x:c r="AC23" s="2772" t="s">
        <x:v>35</x:v>
      </x:c>
      <x:c r="AD23" s="2767">
        <x:v>6</x:v>
      </x:c>
      <x:c r="AE23" s="2771">
        <x:v>0.375</x:v>
      </x:c>
      <x:c r="AF23" s="2772">
        <x:v>7</x:v>
      </x:c>
      <x:c r="AG23" s="2767">
        <x:v>6</x:v>
      </x:c>
      <x:c r="AH23" s="2771">
        <x:v>2.75</x:v>
      </x:c>
      <x:c r="AI23" s="2767">
        <x:v>5</x:v>
      </x:c>
      <x:c r="AJ23" s="2771">
        <x:v>6</x:v>
      </x:c>
      <x:c r="AK23" s="2813" t="str">
        <x:f t="shared" si="3"/>
        <x:v/>
      </x:c>
      <x:c r="AL23" s="2814" t="s">
        <x:v>35</x:v>
      </x:c>
      <x:c r="AM23" s="2815">
        <x:v>5</x:v>
      </x:c>
      <x:c r="AN23" s="2772">
        <x:v>13</x:v>
      </x:c>
      <x:c r="AO23" s="2775">
        <x:v>4</x:v>
      </x:c>
      <x:c r="AP23" s="2774">
        <x:v>1.75</x:v>
      </x:c>
      <x:c r="AQ23" s="2817" t="str">
        <x:f t="shared" si="4"/>
        <x:v/>
      </x:c>
      <x:c r="AR23" s="2770">
        <x:v>54</x:v>
      </x:c>
      <x:c r="AS23" s="2771">
        <x:v>8</x:v>
      </x:c>
      <x:c r="AT23" s="2818">
        <x:v>15.3</x:v>
      </x:c>
      <x:c r="AU23" s="2819" t="s">
        <x:v>35</x:v>
      </x:c>
      <x:c r="AV23" s="2776" t="str">
        <x:f t="shared" si="9"/>
        <x:v/>
      </x:c>
      <x:c r="AW23" s="2771" t="str">
        <x:f t="shared" si="10"/>
        <x:v/>
      </x:c>
      <x:c r="AX23" s="2818" t="str">
        <x:f t="shared" si="11"/>
        <x:v/>
      </x:c>
      <x:c r="AY23" s="2819" t="str">
        <x:f t="shared" si="12"/>
        <x:v/>
      </x:c>
      <x:c r="AZ23" s="2776" t="str">
        <x:f t="shared" si="13"/>
        <x:v/>
      </x:c>
      <x:c r="BA23" s="2771" t="str">
        <x:f t="shared" si="14"/>
        <x:v/>
      </x:c>
      <x:c r="BB23" s="2818" t="str">
        <x:f t="shared" si="15"/>
        <x:v/>
      </x:c>
      <x:c r="BC23" s="2819" t="str">
        <x:f t="shared" si="16"/>
        <x:v/>
      </x:c>
      <x:c r="BD23" s="2776" t="str">
        <x:f t="shared" si="17"/>
        <x:v/>
      </x:c>
      <x:c r="BE23" s="2771" t="str">
        <x:f t="shared" si="18"/>
        <x:v/>
      </x:c>
      <x:c r="BF23" s="2818" t="str">
        <x:f t="shared" si="19"/>
        <x:v/>
      </x:c>
      <x:c r="BG23" s="2819" t="str">
        <x:f t="shared" si="20"/>
        <x:v/>
      </x:c>
      <x:c r="BH23" s="1416"/>
      <x:c r="BJ23" s="995" t="str">
        <x:f t="shared" si="59"/>
        <x:v>G26</x:v>
      </x:c>
      <x:c r="BK23" s="993" t="b">
        <x:f t="shared" si="21"/>
        <x:v>0</x:v>
      </x:c>
      <x:c r="BL23" s="1800" t="b">
        <x:v>0</x:v>
      </x:c>
      <x:c r="BM23" s="989">
        <x:f t="shared" si="22"/>
        <x:v>52</x:v>
      </x:c>
      <x:c r="BN23" s="989" t="str">
        <x:f t="shared" si="23"/>
        <x:v>VG</x:v>
      </x:c>
      <x:c r="BO23" s="989">
        <x:f t="shared" si="24"/>
        <x:v>9</x:v>
      </x:c>
      <x:c r="BP23" s="989">
        <x:f t="shared" si="25"/>
        <x:v>15.3</x:v>
      </x:c>
      <x:c r="BQ23" s="989">
        <x:f t="shared" si="26"/>
        <x:v>0</x:v>
      </x:c>
      <x:c r="BR23" s="989" t="b">
        <x:f t="shared" si="27"/>
        <x:v>1</x:v>
      </x:c>
      <x:c r="BS23" s="1302">
        <x:f t="shared" si="28"/>
        <x:v>7.75</x:v>
      </x:c>
      <x:c r="BT23" s="990" t="str">
        <x:f t="shared" si="29"/>
        <x:v>Yes</x:v>
      </x:c>
      <x:c r="BU23" s="1302">
        <x:f t="shared" si="30"/>
        <x:v>6</x:v>
      </x:c>
      <x:c r="BV23" s="990" t="str">
        <x:f t="shared" si="31"/>
        <x:v>Yes</x:v>
      </x:c>
      <x:c r="BW23" s="991">
        <x:f t="shared" si="32"/>
        <x:v>18</x:v>
      </x:c>
      <x:c r="BX23" s="991" t="str">
        <x:f t="shared" si="33"/>
        <x:v>G26</x:v>
      </x:c>
      <x:c r="BY23" s="991" t="b">
        <x:f t="shared" si="34"/>
        <x:v>0</x:v>
      </x:c>
      <x:c r="BZ23" s="991" t="b">
        <x:f t="shared" si="52"/>
        <x:v>0</x:v>
      </x:c>
      <x:c r="CB23" s="672"/>
      <x:c r="CC23" s="1684"/>
      <x:c r="CD23" s="699"/>
      <x:c r="CE23" s="700"/>
      <x:c r="CF23" s="701"/>
      <x:c r="CG23" s="672"/>
      <x:c r="CH23" s="713"/>
      <x:c r="CI23" s="714"/>
      <x:c r="CJ23" s="713"/>
      <x:c r="CK23" s="714"/>
      <x:c r="CL23" s="715"/>
      <x:c r="CM23" s="743"/>
      <x:c r="CN23" s="738"/>
      <x:c r="CO23" s="1551"/>
      <x:c r="CP23" s="910"/>
      <x:c r="CQ23" s="672"/>
      <x:c r="CR23" s="713"/>
      <x:c r="CS23" s="714"/>
      <x:c r="CT23" s="713"/>
      <x:c r="CU23" s="714"/>
      <x:c r="CV23" s="715"/>
      <x:c r="CW23" s="743"/>
      <x:c r="CX23" s="738"/>
      <x:c r="CY23" s="1551"/>
      <x:c r="CZ23" s="910"/>
      <x:c r="DA23" s="717"/>
      <x:c r="DB23" s="702"/>
      <x:c r="DC23" s="703"/>
      <x:c r="DD23" s="725"/>
      <x:c r="DE23" s="726"/>
      <x:c r="DF23" s="141"/>
      <x:c r="DG23" s="141"/>
      <x:c r="DH23" s="672"/>
      <x:c r="DI23" s="673"/>
      <x:c r="DJ23" s="692"/>
      <x:c r="DK23" s="1331"/>
      <x:c r="DL23" s="674"/>
      <x:c r="DM23" s="693"/>
      <x:c r="DN23" s="1334"/>
      <x:c r="DO23" s="675"/>
      <x:c r="DP23" s="676"/>
      <x:c r="DQ23" s="1419"/>
      <x:c r="DR23" s="677"/>
      <x:c r="DS23" s="1419"/>
      <x:c r="DT23" s="1421"/>
      <x:c r="DU23" s="1422"/>
      <x:c r="DV23" s="678"/>
      <x:c r="DW23" s="1336"/>
      <x:c r="DX23" s="679"/>
      <x:c r="DY23" s="674"/>
      <x:c r="DZ23" s="678"/>
      <x:c r="EA23" s="1336"/>
      <x:c r="EB23" s="679"/>
      <x:c r="EC23" s="674"/>
      <x:c r="ED23" s="678"/>
      <x:c r="EE23" s="1336"/>
      <x:c r="EF23" s="679"/>
      <x:c r="EG23" s="674"/>
      <x:c r="EH23" s="678"/>
      <x:c r="EI23" s="1336"/>
      <x:c r="EJ23" s="679"/>
      <x:c r="EK23" s="680"/>
      <x:c r="EL23" s="241"/>
      <x:c r="EM23" s="1631" t="str">
        <x:f t="shared" si="35"/>
        <x:v/>
      </x:c>
      <x:c r="EN23" s="1428" t="str">
        <x:f t="shared" si="36"/>
        <x:v/>
      </x:c>
      <x:c r="EO23" s="1429" t="str">
        <x:f t="shared" si="37"/>
        <x:v/>
      </x:c>
      <x:c r="EP23" s="1430" t="str">
        <x:f t="shared" si="38"/>
        <x:v/>
      </x:c>
      <x:c r="EQ23" s="1434" t="str">
        <x:f t="shared" si="39"/>
        <x:v/>
      </x:c>
      <x:c r="ER23" s="1440" t="str">
        <x:f t="shared" si="40"/>
        <x:v/>
      </x:c>
      <x:c r="ES23" s="1441" t="str">
        <x:f t="shared" si="41"/>
        <x:v/>
      </x:c>
      <x:c r="ET23" s="1442" t="str">
        <x:f t="shared" si="42"/>
        <x:v/>
      </x:c>
      <x:c r="EU23" s="1443" t="str">
        <x:f t="shared" si="53"/>
        <x:v/>
      </x:c>
      <x:c r="EX23" s="503" t="str">
        <x:f t="shared" si="54"/>
        <x:v>G26B</x:v>
      </x:c>
      <x:c r="EY23" s="940" t="b">
        <x:f t="shared" ca="1" si="43"/>
        <x:v>1</x:v>
      </x:c>
      <x:c r="EZ23" s="940">
        <x:f t="shared" si="55"/>
        <x:v>5</x:v>
      </x:c>
      <x:c r="FA23" s="958" t="b">
        <x:f t="shared" si="60"/>
        <x:v>1</x:v>
      </x:c>
      <x:c r="FB23" s="134">
        <x:f t="shared" si="56"/>
        <x:v>661.625</x:v>
      </x:c>
      <x:c r="FC23" s="134">
        <x:f t="shared" si="44"/>
        <x:v>72.375</x:v>
      </x:c>
      <x:c r="FD23" s="134">
        <x:f t="shared" si="45"/>
        <x:v>523.25</x:v>
      </x:c>
      <x:c r="FE23" s="134">
        <x:f t="shared" si="46"/>
        <x:v>66</x:v>
      </x:c>
      <x:c r="FF23" s="134">
        <x:f t="shared" si="57"/>
        <x:v>661.625</x:v>
      </x:c>
      <x:c r="FN23" s="754" t="b">
        <x:v>0</x:v>
      </x:c>
      <x:c r="FO23" s="754" t="b">
        <x:f t="shared" si="47"/>
        <x:v>1</x:v>
      </x:c>
      <x:c r="FP23" s="754" t="b">
        <x:v>0</x:v>
      </x:c>
      <x:c r="FQ23" s="754" t="b">
        <x:f t="shared" si="58"/>
        <x:v>1</x:v>
      </x:c>
      <x:c r="FW23" s="2"/>
      <x:c r="FX23" s="2"/>
      <x:c r="FZ23" s="2"/>
      <x:c r="GA23" s="1761">
        <x:v>56</x:v>
      </x:c>
      <x:c r="GB23" s="1762">
        <x:v>0</x:v>
      </x:c>
      <x:c r="GC23" s="1763">
        <x:v>-0.25</x:v>
      </x:c>
      <x:c r="GD23" s="1764">
        <x:v>-3.375</x:v>
      </x:c>
      <x:c r="GE23" s="1765">
        <x:f t="shared" si="48"/>
        <x:v>0</x:v>
      </x:c>
      <x:c r="GF23" s="582" t="str">
        <x:f t="shared" si="49"/>
        <x:v>G26</x:v>
      </x:c>
      <x:c r="GG23" s="692">
        <x:v>0</x:v>
      </x:c>
      <x:c r="GH23" s="1135">
        <x:v>0</x:v>
      </x:c>
      <x:c r="GI23" s="692"/>
      <x:c r="GJ23" s="1135"/>
      <x:c r="GK23" s="1640">
        <x:f t="shared" si="50"/>
        <x:v>668.375</x:v>
      </x:c>
      <x:c r="GL23" s="1640">
        <x:f t="shared" si="51"/>
        <x:v>668.375</x:v>
      </x:c>
      <x:c r="GM23" s="1641">
        <x:f>IF(ABS(GK23-GL23)&gt;='Job Info.'!$L$22,ABS(GK23-GL23),0)</x:f>
        <x:v>0</x:v>
      </x:c>
      <x:c r="HA23" s="1241" t="s">
        <x:v>1426</x:v>
      </x:c>
      <x:c r="HB23" s="1242">
        <x:v>1</x:v>
      </x:c>
      <x:c r="HC23" s="1242" t="s">
        <x:v>1585</x:v>
      </x:c>
      <x:c r="HD23" s="1243">
        <x:v>55</x:v>
      </x:c>
      <x:c r="HE23" s="1244">
        <x:v>8.375</x:v>
      </x:c>
      <x:c r="HF23" s="1242">
        <x:v>11.125</x:v>
      </x:c>
      <x:c r="HG23" s="1242">
        <x:v>0</x:v>
      </x:c>
      <x:c r="HH23" s="1242">
        <x:v>1.75</x:v>
      </x:c>
      <x:c r="HI23" s="1242" t="s">
        <x:v>113</x:v>
      </x:c>
      <x:c r="HJ23" s="1242">
        <x:v>0</x:v>
      </x:c>
      <x:c r="HK23" s="1242">
        <x:v>5</x:v>
      </x:c>
      <x:c r="HL23" s="1242" t="s">
        <x:v>158</x:v>
      </x:c>
      <x:c r="HM23" s="1242">
        <x:v>7.5</x:v>
      </x:c>
      <x:c r="HN23" s="1242">
        <x:v>10</x:v>
      </x:c>
      <x:c r="HO23" s="1242">
        <x:v>0</x:v>
      </x:c>
      <x:c r="HP23" s="1242">
        <x:v>6.75</x:v>
      </x:c>
      <x:c r="HQ23" s="1242">
        <x:v>0</x:v>
      </x:c>
      <x:c r="HR23" s="1242">
        <x:v>4.625</x:v>
      </x:c>
      <x:c r="HS23" s="1242">
        <x:v>0</x:v>
      </x:c>
      <x:c r="HT23" s="1242">
        <x:v>6.25</x:v>
      </x:c>
      <x:c r="HU23" s="1242">
        <x:v>0</x:v>
      </x:c>
      <x:c r="HV23" s="1242">
        <x:v>4.25</x:v>
      </x:c>
      <x:c r="HW23" s="1242">
        <x:v>5</x:v>
      </x:c>
      <x:c r="HX23" s="1242" t="s">
        <x:v>116</x:v>
      </x:c>
      <x:c r="HY23" s="1246" t="s">
        <x:v>116</x:v>
      </x:c>
      <x:c r="HZ23" s="1246" t="s">
        <x:v>1641</x:v>
      </x:c>
      <x:c r="IA23" s="1246" t="s">
        <x:v>116</x:v>
      </x:c>
      <x:c r="IB23" s="1246"/>
      <x:c r="IC23" s="1246"/>
      <x:c r="ID23" s="1261"/>
      <x:c r="IE23" s="1241" t="s">
        <x:v>1426</x:v>
      </x:c>
      <x:c r="IF23" s="1242" t="s">
        <x:v>35</x:v>
      </x:c>
      <x:c r="IG23" s="1243">
        <x:v>6</x:v>
      </x:c>
      <x:c r="IH23" s="1244">
        <x:v>0.375</x:v>
      </x:c>
      <x:c r="II23" s="1242">
        <x:v>7</x:v>
      </x:c>
      <x:c r="IJ23" s="1243">
        <x:v>6</x:v>
      </x:c>
      <x:c r="IK23" s="1244">
        <x:v>2.75</x:v>
      </x:c>
      <x:c r="IL23" s="1242">
        <x:v>5</x:v>
      </x:c>
      <x:c r="IM23" s="1242">
        <x:v>6</x:v>
      </x:c>
      <x:c r="IN23" s="1242" t="s">
        <x:v>116</x:v>
      </x:c>
      <x:c r="IO23" s="1242" t="s">
        <x:v>35</x:v>
      </x:c>
      <x:c r="IP23" s="1242">
        <x:v>5</x:v>
      </x:c>
      <x:c r="IQ23" s="1242">
        <x:v>13</x:v>
      </x:c>
      <x:c r="IR23" s="1242">
        <x:v>4</x:v>
      </x:c>
      <x:c r="IS23" s="1243">
        <x:v>1.75</x:v>
      </x:c>
      <x:c r="IT23" s="1244" t="s">
        <x:v>116</x:v>
      </x:c>
      <x:c r="IU23" s="1242">
        <x:v>54</x:v>
      </x:c>
      <x:c r="IV23" s="1242">
        <x:v>8</x:v>
      </x:c>
      <x:c r="IW23" s="1243">
        <x:v>15.3</x:v>
      </x:c>
      <x:c r="IX23" s="1244" t="s">
        <x:v>35</x:v>
      </x:c>
      <x:c r="IY23" s="1242" t="s">
        <x:v>116</x:v>
      </x:c>
      <x:c r="IZ23" s="1242" t="s">
        <x:v>116</x:v>
      </x:c>
      <x:c r="JA23" s="1243" t="s">
        <x:v>116</x:v>
      </x:c>
      <x:c r="JB23" s="1244" t="s">
        <x:v>116</x:v>
      </x:c>
      <x:c r="JC23" s="1242" t="s">
        <x:v>116</x:v>
      </x:c>
      <x:c r="JD23" s="1242" t="s">
        <x:v>116</x:v>
      </x:c>
      <x:c r="JE23" s="1243" t="s">
        <x:v>116</x:v>
      </x:c>
      <x:c r="JF23" s="1244" t="s">
        <x:v>116</x:v>
      </x:c>
      <x:c r="JG23" s="1242" t="s">
        <x:v>116</x:v>
      </x:c>
      <x:c r="JH23" s="1242" t="s">
        <x:v>116</x:v>
      </x:c>
      <x:c r="JI23" s="1242" t="s">
        <x:v>116</x:v>
      </x:c>
      <x:c r="JJ23" s="1245" t="s">
        <x:v>116</x:v>
      </x:c>
      <x:c r="JK23" s="1242">
        <x:v>1</x:v>
      </x:c>
      <x:c r="JL23" s="1171">
        <x:f t="shared" ca="1" si="61"/>
        <x:v>1</x:v>
      </x:c>
    </x:row>
    <x:row r="24" spans="1:272" ht="12.6" customHeight="1" x14ac:dyDescent="0.25">
      <x:c r="A24" s="2764" t="s">
        <x:v>1427</x:v>
      </x:c>
      <x:c r="B24" s="2765">
        <x:v>1</x:v>
      </x:c>
      <x:c r="C24" s="2766" t="s">
        <x:v>1586</x:v>
      </x:c>
      <x:c r="D24" s="2767">
        <x:v>55</x:v>
      </x:c>
      <x:c r="E24" s="2768">
        <x:v>8.375</x:v>
      </x:c>
      <x:c r="F24" s="2769">
        <x:v>11.125</x:v>
      </x:c>
      <x:c r="G24" s="2770">
        <x:v>0</x:v>
      </x:c>
      <x:c r="H24" s="2771">
        <x:v>1.75</x:v>
      </x:c>
      <x:c r="I24" s="2772" t="s">
        <x:v>113</x:v>
      </x:c>
      <x:c r="J24" s="2767">
        <x:v>0</x:v>
      </x:c>
      <x:c r="K24" s="2771">
        <x:v>5</x:v>
      </x:c>
      <x:c r="L24" s="2773" t="s">
        <x:v>158</x:v>
      </x:c>
      <x:c r="M24" s="2774">
        <x:v>7.5</x:v>
      </x:c>
      <x:c r="N24" s="2775">
        <x:v>10</x:v>
      </x:c>
      <x:c r="O24" s="2770">
        <x:v>0</x:v>
      </x:c>
      <x:c r="P24" s="2771">
        <x:v>6.75</x:v>
      </x:c>
      <x:c r="Q24" s="2767">
        <x:v>0</x:v>
      </x:c>
      <x:c r="R24" s="2768">
        <x:v>4.625</x:v>
      </x:c>
      <x:c r="S24" s="2776">
        <x:v>0</x:v>
      </x:c>
      <x:c r="T24" s="2771">
        <x:v>6.25</x:v>
      </x:c>
      <x:c r="U24" s="2767">
        <x:v>0</x:v>
      </x:c>
      <x:c r="V24" s="2771">
        <x:v>4.25</x:v>
      </x:c>
      <x:c r="W24" s="2775">
        <x:v>5</x:v>
      </x:c>
      <x:c r="X24" s="2777" t="str">
        <x:f t="shared" si="0"/>
        <x:v/>
      </x:c>
      <x:c r="Y24" s="2778" t="str">
        <x:f t="shared" si="1"/>
        <x:v/>
      </x:c>
      <x:c r="Z24" s="2781" t="s">
        <x:v>1710</x:v>
      </x:c>
      <x:c r="AA24" s="2839" t="str">
        <x:f t="shared" si="2"/>
        <x:v/>
      </x:c>
      <x:c r="AB24" s="2764" t="s">
        <x:v>1427</x:v>
      </x:c>
      <x:c r="AC24" s="2772" t="s">
        <x:v>35</x:v>
      </x:c>
      <x:c r="AD24" s="2767">
        <x:v>6</x:v>
      </x:c>
      <x:c r="AE24" s="2771">
        <x:v>0.375</x:v>
      </x:c>
      <x:c r="AF24" s="2772">
        <x:v>7</x:v>
      </x:c>
      <x:c r="AG24" s="2767">
        <x:v>6</x:v>
      </x:c>
      <x:c r="AH24" s="2771">
        <x:v>2.75</x:v>
      </x:c>
      <x:c r="AI24" s="2767">
        <x:v>5</x:v>
      </x:c>
      <x:c r="AJ24" s="2771">
        <x:v>6</x:v>
      </x:c>
      <x:c r="AK24" s="2813" t="str">
        <x:f t="shared" si="3"/>
        <x:v/>
      </x:c>
      <x:c r="AL24" s="2814" t="s">
        <x:v>35</x:v>
      </x:c>
      <x:c r="AM24" s="2815">
        <x:v>5</x:v>
      </x:c>
      <x:c r="AN24" s="2772">
        <x:v>13</x:v>
      </x:c>
      <x:c r="AO24" s="2775">
        <x:v>4</x:v>
      </x:c>
      <x:c r="AP24" s="2774">
        <x:v>1.75</x:v>
      </x:c>
      <x:c r="AQ24" s="2817" t="str">
        <x:f t="shared" si="4"/>
        <x:v/>
      </x:c>
      <x:c r="AR24" s="2770">
        <x:v>54</x:v>
      </x:c>
      <x:c r="AS24" s="2771">
        <x:v>8</x:v>
      </x:c>
      <x:c r="AT24" s="2818">
        <x:v>13.8</x:v>
      </x:c>
      <x:c r="AU24" s="2819" t="s">
        <x:v>35</x:v>
      </x:c>
      <x:c r="AV24" s="2776" t="str">
        <x:f t="shared" si="9"/>
        <x:v/>
      </x:c>
      <x:c r="AW24" s="2771" t="str">
        <x:f t="shared" si="10"/>
        <x:v/>
      </x:c>
      <x:c r="AX24" s="2818" t="str">
        <x:f t="shared" si="11"/>
        <x:v/>
      </x:c>
      <x:c r="AY24" s="2819" t="str">
        <x:f t="shared" si="12"/>
        <x:v/>
      </x:c>
      <x:c r="AZ24" s="2776" t="str">
        <x:f t="shared" si="13"/>
        <x:v/>
      </x:c>
      <x:c r="BA24" s="2771" t="str">
        <x:f t="shared" si="14"/>
        <x:v/>
      </x:c>
      <x:c r="BB24" s="2818" t="str">
        <x:f t="shared" si="15"/>
        <x:v/>
      </x:c>
      <x:c r="BC24" s="2819" t="str">
        <x:f t="shared" si="16"/>
        <x:v/>
      </x:c>
      <x:c r="BD24" s="2776" t="str">
        <x:f t="shared" si="17"/>
        <x:v/>
      </x:c>
      <x:c r="BE24" s="2771" t="str">
        <x:f t="shared" si="18"/>
        <x:v/>
      </x:c>
      <x:c r="BF24" s="2818" t="str">
        <x:f t="shared" si="19"/>
        <x:v/>
      </x:c>
      <x:c r="BG24" s="2819" t="str">
        <x:f t="shared" si="20"/>
        <x:v/>
      </x:c>
      <x:c r="BH24" s="1416"/>
      <x:c r="BJ24" s="995" t="str">
        <x:f t="shared" si="59"/>
        <x:v>G27</x:v>
      </x:c>
      <x:c r="BK24" s="993" t="b">
        <x:f t="shared" si="21"/>
        <x:v>0</x:v>
      </x:c>
      <x:c r="BL24" s="1800" t="b">
        <x:v>0</x:v>
      </x:c>
      <x:c r="BM24" s="989">
        <x:f t="shared" si="22"/>
        <x:v>48</x:v>
      </x:c>
      <x:c r="BN24" s="989" t="str">
        <x:f t="shared" si="23"/>
        <x:v>VG</x:v>
      </x:c>
      <x:c r="BO24" s="989">
        <x:f t="shared" si="24"/>
        <x:v>9</x:v>
      </x:c>
      <x:c r="BP24" s="989">
        <x:f t="shared" si="25"/>
        <x:v>13.8</x:v>
      </x:c>
      <x:c r="BQ24" s="989">
        <x:f t="shared" si="26"/>
        <x:v>0</x:v>
      </x:c>
      <x:c r="BR24" s="989" t="b">
        <x:f t="shared" si="27"/>
        <x:v>1</x:v>
      </x:c>
      <x:c r="BS24" s="1302">
        <x:f t="shared" si="28"/>
        <x:v>7.75</x:v>
      </x:c>
      <x:c r="BT24" s="990" t="str">
        <x:f t="shared" si="29"/>
        <x:v>Yes</x:v>
      </x:c>
      <x:c r="BU24" s="1302">
        <x:f t="shared" si="30"/>
        <x:v>6</x:v>
      </x:c>
      <x:c r="BV24" s="990" t="str">
        <x:f t="shared" si="31"/>
        <x:v>Yes</x:v>
      </x:c>
      <x:c r="BW24" s="991">
        <x:f t="shared" si="32"/>
        <x:v>18</x:v>
      </x:c>
      <x:c r="BX24" s="991" t="str">
        <x:f t="shared" si="33"/>
        <x:v>G27</x:v>
      </x:c>
      <x:c r="BY24" s="991" t="b">
        <x:f t="shared" si="34"/>
        <x:v>0</x:v>
      </x:c>
      <x:c r="BZ24" s="991" t="b">
        <x:f t="shared" si="52"/>
        <x:v>0</x:v>
      </x:c>
      <x:c r="CB24" s="672"/>
      <x:c r="CC24" s="1684"/>
      <x:c r="CD24" s="699"/>
      <x:c r="CE24" s="700"/>
      <x:c r="CF24" s="701"/>
      <x:c r="CG24" s="672"/>
      <x:c r="CH24" s="713"/>
      <x:c r="CI24" s="714"/>
      <x:c r="CJ24" s="713"/>
      <x:c r="CK24" s="714"/>
      <x:c r="CL24" s="715"/>
      <x:c r="CM24" s="743"/>
      <x:c r="CN24" s="738"/>
      <x:c r="CO24" s="1551"/>
      <x:c r="CP24" s="910"/>
      <x:c r="CQ24" s="672"/>
      <x:c r="CR24" s="713"/>
      <x:c r="CS24" s="714"/>
      <x:c r="CT24" s="713"/>
      <x:c r="CU24" s="714"/>
      <x:c r="CV24" s="715"/>
      <x:c r="CW24" s="743"/>
      <x:c r="CX24" s="738"/>
      <x:c r="CY24" s="1551"/>
      <x:c r="CZ24" s="910"/>
      <x:c r="DA24" s="717"/>
      <x:c r="DB24" s="702"/>
      <x:c r="DC24" s="703"/>
      <x:c r="DD24" s="725"/>
      <x:c r="DE24" s="726"/>
      <x:c r="DF24" s="141"/>
      <x:c r="DG24" s="141"/>
      <x:c r="DH24" s="672"/>
      <x:c r="DI24" s="673"/>
      <x:c r="DJ24" s="692"/>
      <x:c r="DK24" s="1331"/>
      <x:c r="DL24" s="674"/>
      <x:c r="DM24" s="693"/>
      <x:c r="DN24" s="1334"/>
      <x:c r="DO24" s="675"/>
      <x:c r="DP24" s="676"/>
      <x:c r="DQ24" s="1419"/>
      <x:c r="DR24" s="677"/>
      <x:c r="DS24" s="1419"/>
      <x:c r="DT24" s="1421"/>
      <x:c r="DU24" s="1422"/>
      <x:c r="DV24" s="678"/>
      <x:c r="DW24" s="1336"/>
      <x:c r="DX24" s="679"/>
      <x:c r="DY24" s="674"/>
      <x:c r="DZ24" s="678"/>
      <x:c r="EA24" s="1336"/>
      <x:c r="EB24" s="679"/>
      <x:c r="EC24" s="674"/>
      <x:c r="ED24" s="678"/>
      <x:c r="EE24" s="1336"/>
      <x:c r="EF24" s="679"/>
      <x:c r="EG24" s="674"/>
      <x:c r="EH24" s="678"/>
      <x:c r="EI24" s="1336"/>
      <x:c r="EJ24" s="679"/>
      <x:c r="EK24" s="680"/>
      <x:c r="EL24" s="241"/>
      <x:c r="EM24" s="1631" t="str">
        <x:f t="shared" si="35"/>
        <x:v/>
      </x:c>
      <x:c r="EN24" s="1428" t="str">
        <x:f t="shared" si="36"/>
        <x:v/>
      </x:c>
      <x:c r="EO24" s="1429" t="str">
        <x:f t="shared" si="37"/>
        <x:v/>
      </x:c>
      <x:c r="EP24" s="1430" t="str">
        <x:f t="shared" si="38"/>
        <x:v/>
      </x:c>
      <x:c r="EQ24" s="1434" t="str">
        <x:f t="shared" si="39"/>
        <x:v/>
      </x:c>
      <x:c r="ER24" s="1440" t="str">
        <x:f t="shared" si="40"/>
        <x:v/>
      </x:c>
      <x:c r="ES24" s="1441" t="str">
        <x:f t="shared" si="41"/>
        <x:v/>
      </x:c>
      <x:c r="ET24" s="1442" t="str">
        <x:f t="shared" si="42"/>
        <x:v/>
      </x:c>
      <x:c r="EU24" s="1443" t="str">
        <x:f t="shared" si="53"/>
        <x:v/>
      </x:c>
      <x:c r="EX24" s="503" t="str">
        <x:f t="shared" si="54"/>
        <x:v>G27B</x:v>
      </x:c>
      <x:c r="EY24" s="940" t="b">
        <x:f t="shared" ca="1" si="43"/>
        <x:v>1</x:v>
      </x:c>
      <x:c r="EZ24" s="940">
        <x:f t="shared" si="55"/>
        <x:v>5</x:v>
      </x:c>
      <x:c r="FA24" s="958" t="b">
        <x:f t="shared" si="60"/>
        <x:v>1</x:v>
      </x:c>
      <x:c r="FB24" s="134">
        <x:f t="shared" si="56"/>
        <x:v>661.625</x:v>
      </x:c>
      <x:c r="FC24" s="134">
        <x:f t="shared" si="44"/>
        <x:v>72.375</x:v>
      </x:c>
      <x:c r="FD24" s="134">
        <x:f t="shared" si="45"/>
        <x:v>523.25</x:v>
      </x:c>
      <x:c r="FE24" s="134">
        <x:f t="shared" si="46"/>
        <x:v>66</x:v>
      </x:c>
      <x:c r="FF24" s="134">
        <x:f t="shared" si="57"/>
        <x:v>661.625</x:v>
      </x:c>
      <x:c r="FN24" s="754" t="b">
        <x:v>0</x:v>
      </x:c>
      <x:c r="FO24" s="754" t="b">
        <x:f t="shared" si="47"/>
        <x:v>1</x:v>
      </x:c>
      <x:c r="FP24" s="754" t="b">
        <x:v>0</x:v>
      </x:c>
      <x:c r="FQ24" s="754" t="b">
        <x:f t="shared" si="58"/>
        <x:v>1</x:v>
      </x:c>
      <x:c r="FW24" s="2"/>
      <x:c r="FX24" s="2"/>
      <x:c r="FZ24" s="2"/>
      <x:c r="GA24" s="1761">
        <x:v>56</x:v>
      </x:c>
      <x:c r="GB24" s="1762">
        <x:v>0</x:v>
      </x:c>
      <x:c r="GC24" s="1763">
        <x:v>-0.25</x:v>
      </x:c>
      <x:c r="GD24" s="1764">
        <x:v>-3.375</x:v>
      </x:c>
      <x:c r="GE24" s="1765">
        <x:f t="shared" si="48"/>
        <x:v>0</x:v>
      </x:c>
      <x:c r="GF24" s="582" t="str">
        <x:f t="shared" si="49"/>
        <x:v>G27</x:v>
      </x:c>
      <x:c r="GG24" s="692">
        <x:v>0</x:v>
      </x:c>
      <x:c r="GH24" s="1135">
        <x:v>0</x:v>
      </x:c>
      <x:c r="GI24" s="692"/>
      <x:c r="GJ24" s="1135"/>
      <x:c r="GK24" s="1640">
        <x:f t="shared" si="50"/>
        <x:v>668.375</x:v>
      </x:c>
      <x:c r="GL24" s="1640">
        <x:f t="shared" si="51"/>
        <x:v>668.375</x:v>
      </x:c>
      <x:c r="GM24" s="1641">
        <x:f>IF(ABS(GK24-GL24)&gt;='Job Info.'!$L$22,ABS(GK24-GL24),0)</x:f>
        <x:v>0</x:v>
      </x:c>
      <x:c r="HA24" s="1241" t="s">
        <x:v>1427</x:v>
      </x:c>
      <x:c r="HB24" s="1242">
        <x:v>1</x:v>
      </x:c>
      <x:c r="HC24" s="1242" t="s">
        <x:v>1586</x:v>
      </x:c>
      <x:c r="HD24" s="1243">
        <x:v>55</x:v>
      </x:c>
      <x:c r="HE24" s="1244">
        <x:v>8.375</x:v>
      </x:c>
      <x:c r="HF24" s="1242">
        <x:v>11.125</x:v>
      </x:c>
      <x:c r="HG24" s="1242">
        <x:v>0</x:v>
      </x:c>
      <x:c r="HH24" s="1242">
        <x:v>1.75</x:v>
      </x:c>
      <x:c r="HI24" s="1242" t="s">
        <x:v>113</x:v>
      </x:c>
      <x:c r="HJ24" s="1242">
        <x:v>0</x:v>
      </x:c>
      <x:c r="HK24" s="1242">
        <x:v>5</x:v>
      </x:c>
      <x:c r="HL24" s="1242" t="s">
        <x:v>158</x:v>
      </x:c>
      <x:c r="HM24" s="1242">
        <x:v>7.5</x:v>
      </x:c>
      <x:c r="HN24" s="1242">
        <x:v>10</x:v>
      </x:c>
      <x:c r="HO24" s="1242">
        <x:v>0</x:v>
      </x:c>
      <x:c r="HP24" s="1242">
        <x:v>6.75</x:v>
      </x:c>
      <x:c r="HQ24" s="1242">
        <x:v>0</x:v>
      </x:c>
      <x:c r="HR24" s="1242">
        <x:v>4.625</x:v>
      </x:c>
      <x:c r="HS24" s="1242">
        <x:v>0</x:v>
      </x:c>
      <x:c r="HT24" s="1242">
        <x:v>6.25</x:v>
      </x:c>
      <x:c r="HU24" s="1242">
        <x:v>0</x:v>
      </x:c>
      <x:c r="HV24" s="1242">
        <x:v>4.25</x:v>
      </x:c>
      <x:c r="HW24" s="1242">
        <x:v>5</x:v>
      </x:c>
      <x:c r="HX24" s="1242" t="s">
        <x:v>116</x:v>
      </x:c>
      <x:c r="HY24" s="1246" t="s">
        <x:v>116</x:v>
      </x:c>
      <x:c r="HZ24" s="1246" t="s">
        <x:v>1642</x:v>
      </x:c>
      <x:c r="IA24" s="1246" t="s">
        <x:v>116</x:v>
      </x:c>
      <x:c r="IB24" s="1246"/>
      <x:c r="IC24" s="1246"/>
      <x:c r="ID24" s="1261"/>
      <x:c r="IE24" s="1241" t="s">
        <x:v>1427</x:v>
      </x:c>
      <x:c r="IF24" s="1242" t="s">
        <x:v>35</x:v>
      </x:c>
      <x:c r="IG24" s="1243">
        <x:v>6</x:v>
      </x:c>
      <x:c r="IH24" s="1244">
        <x:v>0.375</x:v>
      </x:c>
      <x:c r="II24" s="1242">
        <x:v>7</x:v>
      </x:c>
      <x:c r="IJ24" s="1243">
        <x:v>6</x:v>
      </x:c>
      <x:c r="IK24" s="1244">
        <x:v>2.75</x:v>
      </x:c>
      <x:c r="IL24" s="1242">
        <x:v>5</x:v>
      </x:c>
      <x:c r="IM24" s="1242">
        <x:v>6</x:v>
      </x:c>
      <x:c r="IN24" s="1242" t="s">
        <x:v>116</x:v>
      </x:c>
      <x:c r="IO24" s="1242" t="s">
        <x:v>35</x:v>
      </x:c>
      <x:c r="IP24" s="1242">
        <x:v>5</x:v>
      </x:c>
      <x:c r="IQ24" s="1242">
        <x:v>13</x:v>
      </x:c>
      <x:c r="IR24" s="1242">
        <x:v>4</x:v>
      </x:c>
      <x:c r="IS24" s="1243">
        <x:v>1.75</x:v>
      </x:c>
      <x:c r="IT24" s="1244" t="s">
        <x:v>116</x:v>
      </x:c>
      <x:c r="IU24" s="1242">
        <x:v>54</x:v>
      </x:c>
      <x:c r="IV24" s="1242">
        <x:v>8</x:v>
      </x:c>
      <x:c r="IW24" s="1243">
        <x:v>13.8</x:v>
      </x:c>
      <x:c r="IX24" s="1244" t="s">
        <x:v>35</x:v>
      </x:c>
      <x:c r="IY24" s="1242" t="s">
        <x:v>116</x:v>
      </x:c>
      <x:c r="IZ24" s="1242" t="s">
        <x:v>116</x:v>
      </x:c>
      <x:c r="JA24" s="1243" t="s">
        <x:v>116</x:v>
      </x:c>
      <x:c r="JB24" s="1244" t="s">
        <x:v>116</x:v>
      </x:c>
      <x:c r="JC24" s="1242" t="s">
        <x:v>116</x:v>
      </x:c>
      <x:c r="JD24" s="1242" t="s">
        <x:v>116</x:v>
      </x:c>
      <x:c r="JE24" s="1243" t="s">
        <x:v>116</x:v>
      </x:c>
      <x:c r="JF24" s="1244" t="s">
        <x:v>116</x:v>
      </x:c>
      <x:c r="JG24" s="1242" t="s">
        <x:v>116</x:v>
      </x:c>
      <x:c r="JH24" s="1242" t="s">
        <x:v>116</x:v>
      </x:c>
      <x:c r="JI24" s="1242" t="s">
        <x:v>116</x:v>
      </x:c>
      <x:c r="JJ24" s="1245" t="s">
        <x:v>116</x:v>
      </x:c>
      <x:c r="JK24" s="1242">
        <x:v>1</x:v>
      </x:c>
      <x:c r="JL24" s="1171">
        <x:f t="shared" ca="1" si="61"/>
        <x:v>1</x:v>
      </x:c>
    </x:row>
    <x:row r="25" spans="1:272" ht="12.6" customHeight="1" x14ac:dyDescent="0.25">
      <x:c r="A25" s="2764" t="s">
        <x:v>1428</x:v>
      </x:c>
      <x:c r="B25" s="2765">
        <x:v>1</x:v>
      </x:c>
      <x:c r="C25" s="2766" t="s">
        <x:v>1587</x:v>
      </x:c>
      <x:c r="D25" s="2767">
        <x:v>55</x:v>
      </x:c>
      <x:c r="E25" s="2768">
        <x:v>11.5</x:v>
      </x:c>
      <x:c r="F25" s="2769">
        <x:v>11.125</x:v>
      </x:c>
      <x:c r="G25" s="2770">
        <x:v>0</x:v>
      </x:c>
      <x:c r="H25" s="2771">
        <x:v>1.75</x:v>
      </x:c>
      <x:c r="I25" s="2772" t="s">
        <x:v>113</x:v>
      </x:c>
      <x:c r="J25" s="2767">
        <x:v>0</x:v>
      </x:c>
      <x:c r="K25" s="2771">
        <x:v>1.75</x:v>
      </x:c>
      <x:c r="L25" s="2773" t="s">
        <x:v>113</x:v>
      </x:c>
      <x:c r="M25" s="2774">
        <x:v>7.5</x:v>
      </x:c>
      <x:c r="N25" s="2775">
        <x:v>7.5</x:v>
      </x:c>
      <x:c r="O25" s="2770">
        <x:v>0</x:v>
      </x:c>
      <x:c r="P25" s="2771">
        <x:v>6.75</x:v>
      </x:c>
      <x:c r="Q25" s="2767">
        <x:v>0</x:v>
      </x:c>
      <x:c r="R25" s="2768">
        <x:v>6.75</x:v>
      </x:c>
      <x:c r="S25" s="2776">
        <x:v>0</x:v>
      </x:c>
      <x:c r="T25" s="2771">
        <x:v>6.25</x:v>
      </x:c>
      <x:c r="U25" s="2767">
        <x:v>0</x:v>
      </x:c>
      <x:c r="V25" s="2771">
        <x:v>6.25</x:v>
      </x:c>
      <x:c r="W25" s="2775">
        <x:v>5</x:v>
      </x:c>
      <x:c r="X25" s="2777" t="str">
        <x:f t="shared" si="0"/>
        <x:v/>
      </x:c>
      <x:c r="Y25" s="2778" t="str">
        <x:f t="shared" si="1"/>
        <x:v/>
      </x:c>
      <x:c r="Z25" s="2779" t="s">
        <x:v>1643</x:v>
      </x:c>
      <x:c r="AA25" s="2839" t="str">
        <x:f t="shared" si="2"/>
        <x:v/>
      </x:c>
      <x:c r="AB25" s="2764" t="s">
        <x:v>1428</x:v>
      </x:c>
      <x:c r="AC25" s="2772" t="s">
        <x:v>35</x:v>
      </x:c>
      <x:c r="AD25" s="2767">
        <x:v>6</x:v>
      </x:c>
      <x:c r="AE25" s="2771">
        <x:v>0.375</x:v>
      </x:c>
      <x:c r="AF25" s="2772">
        <x:v>7</x:v>
      </x:c>
      <x:c r="AG25" s="2767">
        <x:v>6</x:v>
      </x:c>
      <x:c r="AH25" s="2771">
        <x:v>2.75</x:v>
      </x:c>
      <x:c r="AI25" s="2767">
        <x:v>6</x:v>
      </x:c>
      <x:c r="AJ25" s="2771">
        <x:v>0.375</x:v>
      </x:c>
      <x:c r="AK25" s="2813" t="str">
        <x:f t="shared" si="3"/>
        <x:v/>
      </x:c>
      <x:c r="AL25" s="2814" t="s">
        <x:v>35</x:v>
      </x:c>
      <x:c r="AM25" s="2815">
        <x:v>5</x:v>
      </x:c>
      <x:c r="AN25" s="2772">
        <x:v>13</x:v>
      </x:c>
      <x:c r="AO25" s="2775">
        <x:v>4</x:v>
      </x:c>
      <x:c r="AP25" s="2774">
        <x:v>1.75</x:v>
      </x:c>
      <x:c r="AQ25" s="2817">
        <x:v>1.75</x:v>
      </x:c>
      <x:c r="AR25" s="2770" t="str">
        <x:f t="shared" si="5"/>
        <x:v/>
      </x:c>
      <x:c r="AS25" s="2771" t="str">
        <x:f t="shared" si="6"/>
        <x:v/>
      </x:c>
      <x:c r="AT25" s="2818" t="str">
        <x:f t="shared" si="7"/>
        <x:v/>
      </x:c>
      <x:c r="AU25" s="2819" t="str">
        <x:f t="shared" si="8"/>
        <x:v/>
      </x:c>
      <x:c r="AV25" s="2776" t="str">
        <x:f t="shared" si="9"/>
        <x:v/>
      </x:c>
      <x:c r="AW25" s="2771" t="str">
        <x:f t="shared" si="10"/>
        <x:v/>
      </x:c>
      <x:c r="AX25" s="2818" t="str">
        <x:f t="shared" si="11"/>
        <x:v/>
      </x:c>
      <x:c r="AY25" s="2819" t="str">
        <x:f t="shared" si="12"/>
        <x:v/>
      </x:c>
      <x:c r="AZ25" s="2776" t="str">
        <x:f t="shared" si="13"/>
        <x:v/>
      </x:c>
      <x:c r="BA25" s="2771" t="str">
        <x:f t="shared" si="14"/>
        <x:v/>
      </x:c>
      <x:c r="BB25" s="2818" t="str">
        <x:f t="shared" si="15"/>
        <x:v/>
      </x:c>
      <x:c r="BC25" s="2819" t="str">
        <x:f t="shared" si="16"/>
        <x:v/>
      </x:c>
      <x:c r="BD25" s="2776" t="str">
        <x:f t="shared" si="17"/>
        <x:v/>
      </x:c>
      <x:c r="BE25" s="2771" t="str">
        <x:f t="shared" si="18"/>
        <x:v/>
      </x:c>
      <x:c r="BF25" s="2818" t="str">
        <x:f t="shared" si="19"/>
        <x:v/>
      </x:c>
      <x:c r="BG25" s="2819" t="str">
        <x:f t="shared" si="20"/>
        <x:v/>
      </x:c>
      <x:c r="BH25" s="1416"/>
      <x:c r="BJ25" s="995" t="str">
        <x:f t="shared" si="59"/>
        <x:v>G28</x:v>
      </x:c>
      <x:c r="BK25" s="993" t="b">
        <x:f t="shared" si="21"/>
        <x:v>0</x:v>
      </x:c>
      <x:c r="BL25" s="1800" t="b">
        <x:v>0</x:v>
      </x:c>
      <x:c r="BM25" s="989">
        <x:f t="shared" si="22"/>
        <x:v>52</x:v>
      </x:c>
      <x:c r="BN25" s="989" t="str">
        <x:f t="shared" si="23"/>
        <x:v>VG</x:v>
      </x:c>
      <x:c r="BO25" s="989">
        <x:f t="shared" si="24"/>
        <x:v>9</x:v>
      </x:c>
      <x:c r="BP25" s="989">
        <x:f t="shared" si="25"/>
        <x:v>18.3</x:v>
      </x:c>
      <x:c r="BQ25" s="989">
        <x:f t="shared" si="26"/>
        <x:v>0</x:v>
      </x:c>
      <x:c r="BR25" s="989" t="b">
        <x:f t="shared" si="27"/>
        <x:v>1</x:v>
      </x:c>
      <x:c r="BS25" s="1302">
        <x:f t="shared" si="28"/>
        <x:v>7.75</x:v>
      </x:c>
      <x:c r="BT25" s="990" t="str">
        <x:f t="shared" si="29"/>
        <x:v>Yes</x:v>
      </x:c>
      <x:c r="BU25" s="1302">
        <x:f t="shared" si="30"/>
        <x:v>7.75</x:v>
      </x:c>
      <x:c r="BV25" s="990" t="str">
        <x:f t="shared" si="31"/>
        <x:v>Yes</x:v>
      </x:c>
      <x:c r="BW25" s="991">
        <x:f t="shared" si="32"/>
        <x:v>15</x:v>
      </x:c>
      <x:c r="BX25" s="991" t="str">
        <x:f t="shared" si="33"/>
        <x:v>G28</x:v>
      </x:c>
      <x:c r="BY25" s="991" t="b">
        <x:f t="shared" si="34"/>
        <x:v>0</x:v>
      </x:c>
      <x:c r="BZ25" s="991" t="b">
        <x:f t="shared" si="52"/>
        <x:v>0</x:v>
      </x:c>
      <x:c r="CB25" s="672"/>
      <x:c r="CC25" s="1684"/>
      <x:c r="CD25" s="699"/>
      <x:c r="CE25" s="700"/>
      <x:c r="CF25" s="701"/>
      <x:c r="CG25" s="672"/>
      <x:c r="CH25" s="713"/>
      <x:c r="CI25" s="714"/>
      <x:c r="CJ25" s="713"/>
      <x:c r="CK25" s="714"/>
      <x:c r="CL25" s="715"/>
      <x:c r="CM25" s="743"/>
      <x:c r="CN25" s="738"/>
      <x:c r="CO25" s="1551"/>
      <x:c r="CP25" s="910"/>
      <x:c r="CQ25" s="672"/>
      <x:c r="CR25" s="713"/>
      <x:c r="CS25" s="714"/>
      <x:c r="CT25" s="713"/>
      <x:c r="CU25" s="714"/>
      <x:c r="CV25" s="715"/>
      <x:c r="CW25" s="743"/>
      <x:c r="CX25" s="738"/>
      <x:c r="CY25" s="1551"/>
      <x:c r="CZ25" s="910"/>
      <x:c r="DA25" s="717"/>
      <x:c r="DB25" s="702"/>
      <x:c r="DC25" s="703"/>
      <x:c r="DD25" s="725"/>
      <x:c r="DE25" s="726"/>
      <x:c r="DF25" s="141"/>
      <x:c r="DG25" s="141"/>
      <x:c r="DH25" s="672"/>
      <x:c r="DI25" s="673"/>
      <x:c r="DJ25" s="692"/>
      <x:c r="DK25" s="1331"/>
      <x:c r="DL25" s="674"/>
      <x:c r="DM25" s="693"/>
      <x:c r="DN25" s="1334"/>
      <x:c r="DO25" s="675"/>
      <x:c r="DP25" s="676"/>
      <x:c r="DQ25" s="1419"/>
      <x:c r="DR25" s="677"/>
      <x:c r="DS25" s="1419"/>
      <x:c r="DT25" s="1421"/>
      <x:c r="DU25" s="1422"/>
      <x:c r="DV25" s="678"/>
      <x:c r="DW25" s="1336"/>
      <x:c r="DX25" s="679"/>
      <x:c r="DY25" s="674"/>
      <x:c r="DZ25" s="678"/>
      <x:c r="EA25" s="1336"/>
      <x:c r="EB25" s="679"/>
      <x:c r="EC25" s="674"/>
      <x:c r="ED25" s="678"/>
      <x:c r="EE25" s="1336"/>
      <x:c r="EF25" s="679"/>
      <x:c r="EG25" s="674"/>
      <x:c r="EH25" s="678"/>
      <x:c r="EI25" s="1336"/>
      <x:c r="EJ25" s="679"/>
      <x:c r="EK25" s="680"/>
      <x:c r="EL25" s="241"/>
      <x:c r="EM25" s="1631" t="str">
        <x:f t="shared" si="35"/>
        <x:v/>
      </x:c>
      <x:c r="EN25" s="1428" t="str">
        <x:f t="shared" si="36"/>
        <x:v/>
      </x:c>
      <x:c r="EO25" s="1429" t="str">
        <x:f t="shared" si="37"/>
        <x:v/>
      </x:c>
      <x:c r="EP25" s="1430" t="str">
        <x:f t="shared" si="38"/>
        <x:v/>
      </x:c>
      <x:c r="EQ25" s="1434" t="str">
        <x:f t="shared" si="39"/>
        <x:v/>
      </x:c>
      <x:c r="ER25" s="1440" t="str">
        <x:f t="shared" si="40"/>
        <x:v/>
      </x:c>
      <x:c r="ES25" s="1441" t="str">
        <x:f t="shared" si="41"/>
        <x:v/>
      </x:c>
      <x:c r="ET25" s="1442" t="str">
        <x:f t="shared" si="42"/>
        <x:v/>
      </x:c>
      <x:c r="EU25" s="1443" t="str">
        <x:f t="shared" si="53"/>
        <x:v/>
      </x:c>
      <x:c r="EX25" s="503" t="str">
        <x:f t="shared" si="54"/>
        <x:v>G28B</x:v>
      </x:c>
      <x:c r="EY25" s="940" t="b">
        <x:f t="shared" ca="1" si="43"/>
        <x:v>1</x:v>
      </x:c>
      <x:c r="EZ25" s="940">
        <x:f t="shared" si="55"/>
        <x:v>5</x:v>
      </x:c>
      <x:c r="FA25" s="958" t="b">
        <x:f t="shared" si="60"/>
        <x:v>1</x:v>
      </x:c>
      <x:c r="FB25" s="134">
        <x:f t="shared" si="56"/>
        <x:v>668</x:v>
      </x:c>
      <x:c r="FC25" s="134">
        <x:f t="shared" si="44"/>
        <x:v>72.375</x:v>
      </x:c>
      <x:c r="FD25" s="134">
        <x:f t="shared" si="45"/>
        <x:v>523.25</x:v>
      </x:c>
      <x:c r="FE25" s="134">
        <x:f t="shared" si="46"/>
        <x:v>72.375</x:v>
      </x:c>
      <x:c r="FF25" s="134">
        <x:f t="shared" si="57"/>
        <x:v>668</x:v>
      </x:c>
      <x:c r="FN25" s="754" t="b">
        <x:v>0</x:v>
      </x:c>
      <x:c r="FO25" s="754" t="b">
        <x:f t="shared" si="47"/>
        <x:v>1</x:v>
      </x:c>
      <x:c r="FP25" s="754" t="b">
        <x:v>0</x:v>
      </x:c>
      <x:c r="FQ25" s="754" t="b">
        <x:f t="shared" si="58"/>
        <x:v>1</x:v>
      </x:c>
      <x:c r="FW25" s="2"/>
      <x:c r="FX25" s="2"/>
      <x:c r="FZ25" s="2"/>
      <x:c r="GA25" s="1761">
        <x:v>56</x:v>
      </x:c>
      <x:c r="GB25" s="1762">
        <x:v>0</x:v>
      </x:c>
      <x:c r="GC25" s="1763">
        <x:v>-0.25</x:v>
      </x:c>
      <x:c r="GD25" s="1764">
        <x:v>-0.25</x:v>
      </x:c>
      <x:c r="GE25" s="1765">
        <x:f t="shared" si="48"/>
        <x:v>0</x:v>
      </x:c>
      <x:c r="GF25" s="582" t="str">
        <x:f t="shared" si="49"/>
        <x:v>G28</x:v>
      </x:c>
      <x:c r="GG25" s="692">
        <x:v>0</x:v>
      </x:c>
      <x:c r="GH25" s="1135">
        <x:v>0</x:v>
      </x:c>
      <x:c r="GI25" s="692"/>
      <x:c r="GJ25" s="1135"/>
      <x:c r="GK25" s="1640">
        <x:f t="shared" si="50"/>
        <x:v>671.5</x:v>
      </x:c>
      <x:c r="GL25" s="1640">
        <x:f t="shared" si="51"/>
        <x:v>671.5</x:v>
      </x:c>
      <x:c r="GM25" s="1641">
        <x:f>IF(ABS(GK25-GL25)&gt;='Job Info.'!$L$22,ABS(GK25-GL25),0)</x:f>
        <x:v>0</x:v>
      </x:c>
      <x:c r="HA25" s="1241" t="s">
        <x:v>1428</x:v>
      </x:c>
      <x:c r="HB25" s="1242">
        <x:v>1</x:v>
      </x:c>
      <x:c r="HC25" s="1242" t="s">
        <x:v>1587</x:v>
      </x:c>
      <x:c r="HD25" s="1243">
        <x:v>55</x:v>
      </x:c>
      <x:c r="HE25" s="1244">
        <x:v>11.5</x:v>
      </x:c>
      <x:c r="HF25" s="1242">
        <x:v>11.125</x:v>
      </x:c>
      <x:c r="HG25" s="1242">
        <x:v>0</x:v>
      </x:c>
      <x:c r="HH25" s="1242">
        <x:v>1.75</x:v>
      </x:c>
      <x:c r="HI25" s="1242" t="s">
        <x:v>113</x:v>
      </x:c>
      <x:c r="HJ25" s="1242">
        <x:v>0</x:v>
      </x:c>
      <x:c r="HK25" s="1242">
        <x:v>1.75</x:v>
      </x:c>
      <x:c r="HL25" s="1242" t="s">
        <x:v>113</x:v>
      </x:c>
      <x:c r="HM25" s="1242">
        <x:v>7.5</x:v>
      </x:c>
      <x:c r="HN25" s="1242">
        <x:v>7.5</x:v>
      </x:c>
      <x:c r="HO25" s="1242">
        <x:v>0</x:v>
      </x:c>
      <x:c r="HP25" s="1242">
        <x:v>6.75</x:v>
      </x:c>
      <x:c r="HQ25" s="1242">
        <x:v>0</x:v>
      </x:c>
      <x:c r="HR25" s="1242">
        <x:v>6.75</x:v>
      </x:c>
      <x:c r="HS25" s="1242">
        <x:v>0</x:v>
      </x:c>
      <x:c r="HT25" s="1242">
        <x:v>6.25</x:v>
      </x:c>
      <x:c r="HU25" s="1242">
        <x:v>0</x:v>
      </x:c>
      <x:c r="HV25" s="1242">
        <x:v>6.25</x:v>
      </x:c>
      <x:c r="HW25" s="1242">
        <x:v>5</x:v>
      </x:c>
      <x:c r="HX25" s="1242" t="s">
        <x:v>116</x:v>
      </x:c>
      <x:c r="HY25" s="1246" t="s">
        <x:v>116</x:v>
      </x:c>
      <x:c r="HZ25" s="1246" t="s">
        <x:v>1643</x:v>
      </x:c>
      <x:c r="IA25" s="1246" t="s">
        <x:v>116</x:v>
      </x:c>
      <x:c r="IB25" s="1246"/>
      <x:c r="IC25" s="1246"/>
      <x:c r="ID25" s="1261"/>
      <x:c r="IE25" s="1241" t="s">
        <x:v>1428</x:v>
      </x:c>
      <x:c r="IF25" s="1242" t="s">
        <x:v>35</x:v>
      </x:c>
      <x:c r="IG25" s="1243">
        <x:v>6</x:v>
      </x:c>
      <x:c r="IH25" s="1244">
        <x:v>0.375</x:v>
      </x:c>
      <x:c r="II25" s="1242">
        <x:v>7</x:v>
      </x:c>
      <x:c r="IJ25" s="1243">
        <x:v>6</x:v>
      </x:c>
      <x:c r="IK25" s="1244">
        <x:v>2.75</x:v>
      </x:c>
      <x:c r="IL25" s="1242">
        <x:v>6</x:v>
      </x:c>
      <x:c r="IM25" s="1242">
        <x:v>0.375</x:v>
      </x:c>
      <x:c r="IN25" s="1242" t="s">
        <x:v>116</x:v>
      </x:c>
      <x:c r="IO25" s="1242" t="s">
        <x:v>35</x:v>
      </x:c>
      <x:c r="IP25" s="1242">
        <x:v>5</x:v>
      </x:c>
      <x:c r="IQ25" s="1242">
        <x:v>13</x:v>
      </x:c>
      <x:c r="IR25" s="1242">
        <x:v>4</x:v>
      </x:c>
      <x:c r="IS25" s="1243">
        <x:v>1.75</x:v>
      </x:c>
      <x:c r="IT25" s="1244">
        <x:v>1.75</x:v>
      </x:c>
      <x:c r="IU25" s="1242" t="s">
        <x:v>116</x:v>
      </x:c>
      <x:c r="IV25" s="1242" t="s">
        <x:v>116</x:v>
      </x:c>
      <x:c r="IW25" s="1243" t="s">
        <x:v>116</x:v>
      </x:c>
      <x:c r="IX25" s="1244" t="s">
        <x:v>116</x:v>
      </x:c>
      <x:c r="IY25" s="1242" t="s">
        <x:v>116</x:v>
      </x:c>
      <x:c r="IZ25" s="1242" t="s">
        <x:v>116</x:v>
      </x:c>
      <x:c r="JA25" s="1243" t="s">
        <x:v>116</x:v>
      </x:c>
      <x:c r="JB25" s="1244" t="s">
        <x:v>116</x:v>
      </x:c>
      <x:c r="JC25" s="1242" t="s">
        <x:v>116</x:v>
      </x:c>
      <x:c r="JD25" s="1242" t="s">
        <x:v>116</x:v>
      </x:c>
      <x:c r="JE25" s="1243" t="s">
        <x:v>116</x:v>
      </x:c>
      <x:c r="JF25" s="1244" t="s">
        <x:v>116</x:v>
      </x:c>
      <x:c r="JG25" s="1242" t="s">
        <x:v>116</x:v>
      </x:c>
      <x:c r="JH25" s="1242" t="s">
        <x:v>116</x:v>
      </x:c>
      <x:c r="JI25" s="1242" t="s">
        <x:v>116</x:v>
      </x:c>
      <x:c r="JJ25" s="1245" t="s">
        <x:v>116</x:v>
      </x:c>
      <x:c r="JK25" s="1242">
        <x:v>1</x:v>
      </x:c>
      <x:c r="JL25" s="1171">
        <x:f t="shared" ca="1" si="61"/>
        <x:v>1</x:v>
      </x:c>
    </x:row>
    <x:row r="26" spans="1:272" ht="12.6" customHeight="1" x14ac:dyDescent="0.25">
      <x:c r="A26" s="2764" t="s">
        <x:v>1429</x:v>
      </x:c>
      <x:c r="B26" s="2765">
        <x:v>1</x:v>
      </x:c>
      <x:c r="C26" s="2766" t="s">
        <x:v>1587</x:v>
      </x:c>
      <x:c r="D26" s="2767">
        <x:v>55</x:v>
      </x:c>
      <x:c r="E26" s="2768">
        <x:v>8.75</x:v>
      </x:c>
      <x:c r="F26" s="2769">
        <x:v>11.125</x:v>
      </x:c>
      <x:c r="G26" s="2770">
        <x:v>0</x:v>
      </x:c>
      <x:c r="H26" s="2771">
        <x:v>1.75</x:v>
      </x:c>
      <x:c r="I26" s="2772" t="s">
        <x:v>113</x:v>
      </x:c>
      <x:c r="J26" s="2767">
        <x:v>0</x:v>
      </x:c>
      <x:c r="K26" s="2771">
        <x:v>5</x:v>
      </x:c>
      <x:c r="L26" s="2773" t="s">
        <x:v>113</x:v>
      </x:c>
      <x:c r="M26" s="2774">
        <x:v>7.5</x:v>
      </x:c>
      <x:c r="N26" s="2775">
        <x:v>10</x:v>
      </x:c>
      <x:c r="O26" s="2770">
        <x:v>0</x:v>
      </x:c>
      <x:c r="P26" s="2771">
        <x:v>6.75</x:v>
      </x:c>
      <x:c r="Q26" s="2767">
        <x:v>0</x:v>
      </x:c>
      <x:c r="R26" s="2768">
        <x:v>4</x:v>
      </x:c>
      <x:c r="S26" s="2776">
        <x:v>0</x:v>
      </x:c>
      <x:c r="T26" s="2771">
        <x:v>6.25</x:v>
      </x:c>
      <x:c r="U26" s="2767">
        <x:v>0</x:v>
      </x:c>
      <x:c r="V26" s="2771">
        <x:v>4.625</x:v>
      </x:c>
      <x:c r="W26" s="2775">
        <x:v>5</x:v>
      </x:c>
      <x:c r="X26" s="2777" t="str">
        <x:f t="shared" si="0"/>
        <x:v/>
      </x:c>
      <x:c r="Y26" s="2778" t="str">
        <x:f t="shared" si="1"/>
        <x:v/>
      </x:c>
      <x:c r="Z26" s="2781" t="s">
        <x:v>1707</x:v>
      </x:c>
      <x:c r="AA26" s="2839" t="str">
        <x:f t="shared" si="2"/>
        <x:v/>
      </x:c>
      <x:c r="AB26" s="2764" t="s">
        <x:v>1429</x:v>
      </x:c>
      <x:c r="AC26" s="2772" t="s">
        <x:v>35</x:v>
      </x:c>
      <x:c r="AD26" s="2767">
        <x:v>6</x:v>
      </x:c>
      <x:c r="AE26" s="2771">
        <x:v>0.375</x:v>
      </x:c>
      <x:c r="AF26" s="2772">
        <x:v>7</x:v>
      </x:c>
      <x:c r="AG26" s="2767">
        <x:v>6</x:v>
      </x:c>
      <x:c r="AH26" s="2771">
        <x:v>2.75</x:v>
      </x:c>
      <x:c r="AI26" s="2767">
        <x:v>5</x:v>
      </x:c>
      <x:c r="AJ26" s="2771">
        <x:v>6.375</x:v>
      </x:c>
      <x:c r="AK26" s="2813" t="str">
        <x:f t="shared" si="3"/>
        <x:v/>
      </x:c>
      <x:c r="AL26" s="2814" t="s">
        <x:v>35</x:v>
      </x:c>
      <x:c r="AM26" s="2815">
        <x:v>5</x:v>
      </x:c>
      <x:c r="AN26" s="2772">
        <x:v>13</x:v>
      </x:c>
      <x:c r="AO26" s="2775">
        <x:v>4</x:v>
      </x:c>
      <x:c r="AP26" s="2774">
        <x:v>1.75</x:v>
      </x:c>
      <x:c r="AQ26" s="2817" t="str">
        <x:f t="shared" si="4"/>
        <x:v/>
      </x:c>
      <x:c r="AR26" s="2770">
        <x:v>54</x:v>
      </x:c>
      <x:c r="AS26" s="2771">
        <x:v>8</x:v>
      </x:c>
      <x:c r="AT26" s="2818">
        <x:v>18.3</x:v>
      </x:c>
      <x:c r="AU26" s="2819" t="s">
        <x:v>35</x:v>
      </x:c>
      <x:c r="AV26" s="2776" t="str">
        <x:f t="shared" si="9"/>
        <x:v/>
      </x:c>
      <x:c r="AW26" s="2771" t="str">
        <x:f t="shared" si="10"/>
        <x:v/>
      </x:c>
      <x:c r="AX26" s="2818" t="str">
        <x:f t="shared" si="11"/>
        <x:v/>
      </x:c>
      <x:c r="AY26" s="2819" t="str">
        <x:f t="shared" si="12"/>
        <x:v/>
      </x:c>
      <x:c r="AZ26" s="2776" t="str">
        <x:f t="shared" si="13"/>
        <x:v/>
      </x:c>
      <x:c r="BA26" s="2771" t="str">
        <x:f t="shared" si="14"/>
        <x:v/>
      </x:c>
      <x:c r="BB26" s="2818" t="str">
        <x:f t="shared" si="15"/>
        <x:v/>
      </x:c>
      <x:c r="BC26" s="2819" t="str">
        <x:f t="shared" si="16"/>
        <x:v/>
      </x:c>
      <x:c r="BD26" s="2776" t="str">
        <x:f t="shared" si="17"/>
        <x:v/>
      </x:c>
      <x:c r="BE26" s="2771" t="str">
        <x:f t="shared" si="18"/>
        <x:v/>
      </x:c>
      <x:c r="BF26" s="2818" t="str">
        <x:f t="shared" si="19"/>
        <x:v/>
      </x:c>
      <x:c r="BG26" s="2819" t="str">
        <x:f t="shared" si="20"/>
        <x:v/>
      </x:c>
      <x:c r="BH26" s="1416"/>
      <x:c r="BJ26" s="995" t="str">
        <x:f t="shared" si="59"/>
        <x:v>G29</x:v>
      </x:c>
      <x:c r="BK26" s="993" t="b">
        <x:f t="shared" si="21"/>
        <x:v>0</x:v>
      </x:c>
      <x:c r="BL26" s="1800" t="b">
        <x:v>0</x:v>
      </x:c>
      <x:c r="BM26" s="989">
        <x:f t="shared" si="22"/>
        <x:v>52</x:v>
      </x:c>
      <x:c r="BN26" s="989" t="str">
        <x:f t="shared" si="23"/>
        <x:v>VG</x:v>
      </x:c>
      <x:c r="BO26" s="989">
        <x:f t="shared" si="24"/>
        <x:v>9</x:v>
      </x:c>
      <x:c r="BP26" s="989">
        <x:f t="shared" si="25"/>
        <x:v>18.3</x:v>
      </x:c>
      <x:c r="BQ26" s="989">
        <x:f t="shared" si="26"/>
        <x:v>0</x:v>
      </x:c>
      <x:c r="BR26" s="989" t="b">
        <x:f t="shared" si="27"/>
        <x:v>1</x:v>
      </x:c>
      <x:c r="BS26" s="1302">
        <x:f t="shared" si="28"/>
        <x:v>7.75</x:v>
      </x:c>
      <x:c r="BT26" s="990" t="str">
        <x:f t="shared" si="29"/>
        <x:v>Yes</x:v>
      </x:c>
      <x:c r="BU26" s="1302">
        <x:f t="shared" si="30"/>
        <x:v>11</x:v>
      </x:c>
      <x:c r="BV26" s="990" t="str">
        <x:f t="shared" si="31"/>
        <x:v>Yes</x:v>
      </x:c>
      <x:c r="BW26" s="991">
        <x:f t="shared" si="32"/>
        <x:v>18</x:v>
      </x:c>
      <x:c r="BX26" s="991" t="str">
        <x:f t="shared" si="33"/>
        <x:v>G29</x:v>
      </x:c>
      <x:c r="BY26" s="991" t="b">
        <x:f t="shared" si="34"/>
        <x:v>0</x:v>
      </x:c>
      <x:c r="BZ26" s="991" t="b">
        <x:f t="shared" si="52"/>
        <x:v>0</x:v>
      </x:c>
      <x:c r="CB26" s="672"/>
      <x:c r="CC26" s="1684"/>
      <x:c r="CD26" s="699"/>
      <x:c r="CE26" s="700"/>
      <x:c r="CF26" s="701"/>
      <x:c r="CG26" s="672"/>
      <x:c r="CH26" s="713"/>
      <x:c r="CI26" s="714"/>
      <x:c r="CJ26" s="713"/>
      <x:c r="CK26" s="714"/>
      <x:c r="CL26" s="715"/>
      <x:c r="CM26" s="743"/>
      <x:c r="CN26" s="738"/>
      <x:c r="CO26" s="1551"/>
      <x:c r="CP26" s="910"/>
      <x:c r="CQ26" s="672"/>
      <x:c r="CR26" s="713"/>
      <x:c r="CS26" s="714"/>
      <x:c r="CT26" s="713"/>
      <x:c r="CU26" s="714"/>
      <x:c r="CV26" s="715"/>
      <x:c r="CW26" s="743"/>
      <x:c r="CX26" s="738"/>
      <x:c r="CY26" s="1551"/>
      <x:c r="CZ26" s="910"/>
      <x:c r="DA26" s="717"/>
      <x:c r="DB26" s="702"/>
      <x:c r="DC26" s="703"/>
      <x:c r="DD26" s="725"/>
      <x:c r="DE26" s="726"/>
      <x:c r="DF26" s="141"/>
      <x:c r="DG26" s="141"/>
      <x:c r="DH26" s="672"/>
      <x:c r="DI26" s="673"/>
      <x:c r="DJ26" s="692"/>
      <x:c r="DK26" s="1331"/>
      <x:c r="DL26" s="674"/>
      <x:c r="DM26" s="693"/>
      <x:c r="DN26" s="1334"/>
      <x:c r="DO26" s="675"/>
      <x:c r="DP26" s="676"/>
      <x:c r="DQ26" s="1419"/>
      <x:c r="DR26" s="677"/>
      <x:c r="DS26" s="1419"/>
      <x:c r="DT26" s="1421"/>
      <x:c r="DU26" s="1422"/>
      <x:c r="DV26" s="678"/>
      <x:c r="DW26" s="1336"/>
      <x:c r="DX26" s="679"/>
      <x:c r="DY26" s="674"/>
      <x:c r="DZ26" s="678"/>
      <x:c r="EA26" s="1336"/>
      <x:c r="EB26" s="679"/>
      <x:c r="EC26" s="674"/>
      <x:c r="ED26" s="678"/>
      <x:c r="EE26" s="1336"/>
      <x:c r="EF26" s="679"/>
      <x:c r="EG26" s="674"/>
      <x:c r="EH26" s="678"/>
      <x:c r="EI26" s="1336"/>
      <x:c r="EJ26" s="679"/>
      <x:c r="EK26" s="680"/>
      <x:c r="EL26" s="241"/>
      <x:c r="EM26" s="1631" t="str">
        <x:f t="shared" si="35"/>
        <x:v/>
      </x:c>
      <x:c r="EN26" s="1428" t="str">
        <x:f t="shared" si="36"/>
        <x:v/>
      </x:c>
      <x:c r="EO26" s="1429" t="str">
        <x:f t="shared" si="37"/>
        <x:v/>
      </x:c>
      <x:c r="EP26" s="1430" t="str">
        <x:f t="shared" si="38"/>
        <x:v/>
      </x:c>
      <x:c r="EQ26" s="1434" t="str">
        <x:f t="shared" si="39"/>
        <x:v/>
      </x:c>
      <x:c r="ER26" s="1440" t="str">
        <x:f t="shared" si="40"/>
        <x:v/>
      </x:c>
      <x:c r="ES26" s="1441" t="str">
        <x:f t="shared" si="41"/>
        <x:v/>
      </x:c>
      <x:c r="ET26" s="1442" t="str">
        <x:f t="shared" si="42"/>
        <x:v/>
      </x:c>
      <x:c r="EU26" s="1443" t="str">
        <x:f t="shared" si="53"/>
        <x:v/>
      </x:c>
      <x:c r="EX26" s="503" t="str">
        <x:f t="shared" si="54"/>
        <x:v>G29B</x:v>
      </x:c>
      <x:c r="EY26" s="940" t="b">
        <x:f t="shared" ca="1" si="43"/>
        <x:v>1</x:v>
      </x:c>
      <x:c r="EZ26" s="940">
        <x:f t="shared" si="55"/>
        <x:v>5</x:v>
      </x:c>
      <x:c r="FA26" s="958" t="b">
        <x:f t="shared" si="60"/>
        <x:v>1</x:v>
      </x:c>
      <x:c r="FB26" s="134">
        <x:f t="shared" si="56"/>
        <x:v>662</x:v>
      </x:c>
      <x:c r="FC26" s="134">
        <x:f t="shared" si="44"/>
        <x:v>72.375</x:v>
      </x:c>
      <x:c r="FD26" s="134">
        <x:f t="shared" si="45"/>
        <x:v>523.25</x:v>
      </x:c>
      <x:c r="FE26" s="134">
        <x:f t="shared" si="46"/>
        <x:v>66.375</x:v>
      </x:c>
      <x:c r="FF26" s="134">
        <x:f t="shared" si="57"/>
        <x:v>662</x:v>
      </x:c>
      <x:c r="FN26" s="754" t="b">
        <x:v>0</x:v>
      </x:c>
      <x:c r="FO26" s="754" t="b">
        <x:f t="shared" si="47"/>
        <x:v>1</x:v>
      </x:c>
      <x:c r="FP26" s="754" t="b">
        <x:v>0</x:v>
      </x:c>
      <x:c r="FQ26" s="754" t="b">
        <x:f t="shared" si="58"/>
        <x:v>1</x:v>
      </x:c>
      <x:c r="FW26" s="2"/>
      <x:c r="FX26" s="2"/>
      <x:c r="FZ26" s="2"/>
      <x:c r="GA26" s="1761">
        <x:v>56</x:v>
      </x:c>
      <x:c r="GB26" s="1762">
        <x:v>0</x:v>
      </x:c>
      <x:c r="GC26" s="1763">
        <x:v>-0.25</x:v>
      </x:c>
      <x:c r="GD26" s="1764">
        <x:v>-3</x:v>
      </x:c>
      <x:c r="GE26" s="1765">
        <x:f t="shared" si="48"/>
        <x:v>0</x:v>
      </x:c>
      <x:c r="GF26" s="582" t="str">
        <x:f t="shared" si="49"/>
        <x:v>G29</x:v>
      </x:c>
      <x:c r="GG26" s="692">
        <x:v>0</x:v>
      </x:c>
      <x:c r="GH26" s="1135">
        <x:v>0</x:v>
      </x:c>
      <x:c r="GI26" s="692"/>
      <x:c r="GJ26" s="1135"/>
      <x:c r="GK26" s="1640">
        <x:f t="shared" si="50"/>
        <x:v>668.75</x:v>
      </x:c>
      <x:c r="GL26" s="1640">
        <x:f t="shared" si="51"/>
        <x:v>668.75</x:v>
      </x:c>
      <x:c r="GM26" s="1641">
        <x:f>IF(ABS(GK26-GL26)&gt;='Job Info.'!$L$22,ABS(GK26-GL26),0)</x:f>
        <x:v>0</x:v>
      </x:c>
      <x:c r="GZ26" s="145"/>
      <x:c r="HA26" s="1241" t="s">
        <x:v>1429</x:v>
      </x:c>
      <x:c r="HB26" s="1242">
        <x:v>1</x:v>
      </x:c>
      <x:c r="HC26" s="1242" t="s">
        <x:v>1587</x:v>
      </x:c>
      <x:c r="HD26" s="1243">
        <x:v>55</x:v>
      </x:c>
      <x:c r="HE26" s="1244">
        <x:v>8.75</x:v>
      </x:c>
      <x:c r="HF26" s="1242">
        <x:v>11.125</x:v>
      </x:c>
      <x:c r="HG26" s="1242">
        <x:v>0</x:v>
      </x:c>
      <x:c r="HH26" s="1242">
        <x:v>1.75</x:v>
      </x:c>
      <x:c r="HI26" s="1242" t="s">
        <x:v>113</x:v>
      </x:c>
      <x:c r="HJ26" s="1242">
        <x:v>0</x:v>
      </x:c>
      <x:c r="HK26" s="1242">
        <x:v>5</x:v>
      </x:c>
      <x:c r="HL26" s="1242" t="s">
        <x:v>113</x:v>
      </x:c>
      <x:c r="HM26" s="1242">
        <x:v>7.5</x:v>
      </x:c>
      <x:c r="HN26" s="1242">
        <x:v>10</x:v>
      </x:c>
      <x:c r="HO26" s="1242">
        <x:v>0</x:v>
      </x:c>
      <x:c r="HP26" s="1242">
        <x:v>6.75</x:v>
      </x:c>
      <x:c r="HQ26" s="1242">
        <x:v>0</x:v>
      </x:c>
      <x:c r="HR26" s="1242">
        <x:v>4</x:v>
      </x:c>
      <x:c r="HS26" s="1242">
        <x:v>0</x:v>
      </x:c>
      <x:c r="HT26" s="1242">
        <x:v>6.25</x:v>
      </x:c>
      <x:c r="HU26" s="1242">
        <x:v>0</x:v>
      </x:c>
      <x:c r="HV26" s="1242">
        <x:v>4.625</x:v>
      </x:c>
      <x:c r="HW26" s="1242">
        <x:v>5</x:v>
      </x:c>
      <x:c r="HX26" s="1242" t="s">
        <x:v>116</x:v>
      </x:c>
      <x:c r="HY26" s="1246" t="s">
        <x:v>116</x:v>
      </x:c>
      <x:c r="HZ26" s="1246" t="s">
        <x:v>1644</x:v>
      </x:c>
      <x:c r="IA26" s="1246" t="s">
        <x:v>116</x:v>
      </x:c>
      <x:c r="IB26" s="1246"/>
      <x:c r="IC26" s="1246"/>
      <x:c r="ID26" s="1261"/>
      <x:c r="IE26" s="1241" t="s">
        <x:v>1429</x:v>
      </x:c>
      <x:c r="IF26" s="1242" t="s">
        <x:v>35</x:v>
      </x:c>
      <x:c r="IG26" s="1243">
        <x:v>6</x:v>
      </x:c>
      <x:c r="IH26" s="1244">
        <x:v>0.375</x:v>
      </x:c>
      <x:c r="II26" s="1242">
        <x:v>7</x:v>
      </x:c>
      <x:c r="IJ26" s="1243">
        <x:v>6</x:v>
      </x:c>
      <x:c r="IK26" s="1244">
        <x:v>2.75</x:v>
      </x:c>
      <x:c r="IL26" s="1242">
        <x:v>5</x:v>
      </x:c>
      <x:c r="IM26" s="1242">
        <x:v>6.375</x:v>
      </x:c>
      <x:c r="IN26" s="1242" t="s">
        <x:v>116</x:v>
      </x:c>
      <x:c r="IO26" s="1242" t="s">
        <x:v>35</x:v>
      </x:c>
      <x:c r="IP26" s="1242">
        <x:v>5</x:v>
      </x:c>
      <x:c r="IQ26" s="1242">
        <x:v>13</x:v>
      </x:c>
      <x:c r="IR26" s="1242">
        <x:v>4</x:v>
      </x:c>
      <x:c r="IS26" s="1243">
        <x:v>1.75</x:v>
      </x:c>
      <x:c r="IT26" s="1244" t="s">
        <x:v>116</x:v>
      </x:c>
      <x:c r="IU26" s="1242">
        <x:v>54</x:v>
      </x:c>
      <x:c r="IV26" s="1242">
        <x:v>8</x:v>
      </x:c>
      <x:c r="IW26" s="1243">
        <x:v>18.3</x:v>
      </x:c>
      <x:c r="IX26" s="1244" t="s">
        <x:v>35</x:v>
      </x:c>
      <x:c r="IY26" s="1242" t="s">
        <x:v>116</x:v>
      </x:c>
      <x:c r="IZ26" s="1242" t="s">
        <x:v>116</x:v>
      </x:c>
      <x:c r="JA26" s="1243" t="s">
        <x:v>116</x:v>
      </x:c>
      <x:c r="JB26" s="1244" t="s">
        <x:v>116</x:v>
      </x:c>
      <x:c r="JC26" s="1242" t="s">
        <x:v>116</x:v>
      </x:c>
      <x:c r="JD26" s="1242" t="s">
        <x:v>116</x:v>
      </x:c>
      <x:c r="JE26" s="1243" t="s">
        <x:v>116</x:v>
      </x:c>
      <x:c r="JF26" s="1244" t="s">
        <x:v>116</x:v>
      </x:c>
      <x:c r="JG26" s="1242" t="s">
        <x:v>116</x:v>
      </x:c>
      <x:c r="JH26" s="1242" t="s">
        <x:v>116</x:v>
      </x:c>
      <x:c r="JI26" s="1242" t="s">
        <x:v>116</x:v>
      </x:c>
      <x:c r="JJ26" s="1245" t="s">
        <x:v>116</x:v>
      </x:c>
      <x:c r="JK26" s="1242">
        <x:v>1</x:v>
      </x:c>
      <x:c r="JL26" s="1171">
        <x:f t="shared" ca="1" si="61"/>
        <x:v>1</x:v>
      </x:c>
    </x:row>
    <x:row r="27" spans="1:272" ht="12.6" customHeight="1" x14ac:dyDescent="0.25">
      <x:c r="A27" s="2764" t="str">
        <x:f t="shared" ref="A27:C45" si="65">IF(ISBLANK(CB27),"",CB27)</x:f>
        <x:v/>
      </x:c>
      <x:c r="B27" s="2765"/>
      <x:c r="C27" s="2766" t="str">
        <x:f t="shared" si="65"/>
        <x:v/>
      </x:c>
      <x:c r="D27" s="2767" t="str">
        <x:f t="shared" ref="D27:D45" si="66">IF(CV67="","",TRUNC(CV67/12))</x:f>
        <x:v/>
      </x:c>
      <x:c r="E27" s="2768" t="str">
        <x:f t="shared" ref="E27:E45" si="67">IF(CV67="","",CV67-(D27*12))</x:f>
        <x:v/>
      </x:c>
      <x:c r="F27" s="2769" t="str">
        <x:f t="shared" ref="F27:F45" si="68">IF(ISBLANK(DE27),"",DE27)</x:f>
        <x:v/>
      </x:c>
      <x:c r="G27" s="2770" t="str">
        <x:f t="shared" ref="G27:G45" si="69">IF(DD67=0,"",TRUNC(DD67/12))</x:f>
        <x:v/>
      </x:c>
      <x:c r="H27" s="2771" t="str">
        <x:f t="shared" ref="H27:H45" si="70">IF(DD67=0,"",DD67-(G27*12))</x:f>
        <x:v/>
      </x:c>
      <x:c r="I27" s="2772" t="str">
        <x:f t="shared" ref="I27:I45" si="71">IF(DD67=0,"",CE67)</x:f>
        <x:v/>
      </x:c>
      <x:c r="J27" s="2767" t="str">
        <x:f t="shared" si="62"/>
        <x:v/>
      </x:c>
      <x:c r="K27" s="2771" t="str">
        <x:f t="shared" si="63"/>
        <x:v/>
      </x:c>
      <x:c r="L27" s="2773" t="str">
        <x:f t="shared" si="64"/>
        <x:v/>
      </x:c>
      <x:c r="M27" s="2774" t="str">
        <x:f t="shared" ref="M27:N45" si="72">IF(CW67="","",CW67)</x:f>
        <x:v/>
      </x:c>
      <x:c r="N27" s="2775" t="str">
        <x:f t="shared" si="72"/>
        <x:v/>
      </x:c>
      <x:c r="O27" s="2770" t="str">
        <x:f t="shared" ref="O27:O45" si="73">IF(DZ67="","",IF(AND(DZ67&gt;-12,DZ67&lt;0),-0.000001,TRUNC(DZ67/12)))</x:f>
        <x:v/>
      </x:c>
      <x:c r="P27" s="2771" t="str">
        <x:f t="shared" ref="P27:P45" si="74">IF(DZ67="","",IF(AND(DZ67&lt;0,DZ67-(O27*12)=0),-0.00001,DZ67-(O27*12)))</x:f>
        <x:v/>
      </x:c>
      <x:c r="Q27" s="2767" t="str">
        <x:f t="shared" ref="Q27:Q45" si="75">IF(EA67="","",IF(AND(EA67&gt;-12,EA67&lt;0),-0.000001,TRUNC(EA67/12)))</x:f>
        <x:v/>
      </x:c>
      <x:c r="R27" s="2768" t="str">
        <x:f t="shared" ref="R27:R45" si="76">IF(EA67="","",IF(AND(EA67&lt;0,EA67-(Q27*12)=0),-0.00001,EA67-(Q27*12)))</x:f>
        <x:v/>
      </x:c>
      <x:c r="S27" s="2776" t="str">
        <x:f t="shared" ref="S27:S45" si="77">IF(DR67="","",IF(DR67="ERR",TRUNC(DQ67/12),TRUNC(DR67/12)))</x:f>
        <x:v/>
      </x:c>
      <x:c r="T27" s="2771" t="str">
        <x:f t="shared" ref="T27:T45" si="78">IF(DR67="","",IF(DR67="ERR",DQ67-(S27*12),DR67-(S27*12)))</x:f>
        <x:v/>
      </x:c>
      <x:c r="U27" s="2767" t="str">
        <x:f t="shared" ref="U27:U45" si="79">IF(DY67="","",IF(DY67="ERR",TRUNC(DX67/12),TRUNC(DY67/12)))</x:f>
        <x:v/>
      </x:c>
      <x:c r="V27" s="2771" t="str">
        <x:f t="shared" ref="V27:V45" si="80">IF(DY67="","",IF(DY67="ERR",DX67-(U27*12),DY67-(U27*12)))</x:f>
        <x:v/>
      </x:c>
      <x:c r="W27" s="2775">
        <x:f t="shared" ref="W27:W45" si="81">IF(EC67="",0,EC67)</x:f>
        <x:v>0</x:v>
      </x:c>
      <x:c r="X27" s="2777" t="str">
        <x:f t="shared" si="0"/>
        <x:v/>
      </x:c>
      <x:c r="Y27" s="2778" t="str">
        <x:f t="shared" si="1"/>
        <x:v/>
      </x:c>
      <x:c r="Z27" s="2779" t="s">
        <x:v>116</x:v>
      </x:c>
      <x:c r="AA27" s="2839" t="str">
        <x:f t="shared" si="2"/>
        <x:v/>
      </x:c>
      <x:c r="AB27" s="2764" t="str">
        <x:f t="shared" ref="AB27:AB45" si="82">IF(ISBLANK(DH27),"",DH27)</x:f>
        <x:v/>
      </x:c>
      <x:c r="AC27" s="2772" t="str">
        <x:f t="shared" ref="AC27:AC45" si="83">IF(ISBLANK(DI27),"",UPPER(DI27))</x:f>
        <x:v/>
      </x:c>
      <x:c r="AD27" s="2767" t="str">
        <x:f t="shared" ref="AD27:AD45" ca="1" si="84">IF(ISERROR(FV67),"",IF(FV67="","",TRUNC(FV67/12)))</x:f>
        <x:v/>
      </x:c>
      <x:c r="AE27" s="2771" t="str">
        <x:f t="shared" ref="AE27:AE45" ca="1" si="85">IF(ISERROR(FV67),"",IF(FV67="","",FV67-(AD27*12)))</x:f>
        <x:v/>
      </x:c>
      <x:c r="AF27" s="2772" t="str">
        <x:f t="shared" ref="AF27:AF45" ca="1" si="86">IF(ISERROR(FO67),"",IF(FO67="","",FO67))</x:f>
        <x:v/>
      </x:c>
      <x:c r="AG27" s="2767" t="str">
        <x:f t="shared" ref="AG27:AG45" ca="1" si="87">IF(ISERROR(FX67),"",IF(FX67="","",TRUNC(FX67/12)))</x:f>
        <x:v/>
      </x:c>
      <x:c r="AH27" s="2771" t="str">
        <x:f t="shared" ref="AH27:AH45" ca="1" si="88">IF(ISERROR(FX67),"",IF(FX67="","",FX67-(AG27*12)))</x:f>
        <x:v/>
      </x:c>
      <x:c r="AI27" s="2767" t="str">
        <x:f t="shared" ref="AI27:AI45" ca="1" si="89">IF(ISERROR(FZ67),"",IF(FZ67="","",TRUNC(FZ67/12)))</x:f>
        <x:v/>
      </x:c>
      <x:c r="AJ27" s="2771" t="str">
        <x:f t="shared" ref="AJ27:AJ45" ca="1" si="90">IF(ISERROR(FZ67),"",IF(FZ67="","",FZ67-(AI27*12)))</x:f>
        <x:v/>
      </x:c>
      <x:c r="AK27" s="2813" t="str">
        <x:f t="shared" si="3"/>
        <x:v/>
      </x:c>
      <x:c r="AL27" s="2814" t="str">
        <x:f t="shared" ref="AL27:AL45" si="91">IF(ISBLANK(DP27),"",UPPER(DP27))</x:f>
        <x:v/>
      </x:c>
      <x:c r="AM27" s="2815" t="str">
        <x:f t="shared" si="3"/>
        <x:v/>
      </x:c>
      <x:c r="AN27" s="2772" t="str">
        <x:f t="shared" si="3"/>
        <x:v/>
      </x:c>
      <x:c r="AO27" s="2775" t="str">
        <x:f t="shared" si="3"/>
        <x:v/>
      </x:c>
      <x:c r="AP27" s="2774" t="str">
        <x:f t="shared" si="4"/>
        <x:v/>
      </x:c>
      <x:c r="AQ27" s="2817" t="str">
        <x:f t="shared" si="4"/>
        <x:v/>
      </x:c>
      <x:c r="AR27" s="2770" t="str">
        <x:f t="shared" si="5"/>
        <x:v/>
      </x:c>
      <x:c r="AS27" s="2771" t="str">
        <x:f t="shared" si="6"/>
        <x:v/>
      </x:c>
      <x:c r="AT27" s="2818" t="str">
        <x:f t="shared" si="7"/>
        <x:v/>
      </x:c>
      <x:c r="AU27" s="2819" t="str">
        <x:f t="shared" si="8"/>
        <x:v/>
      </x:c>
      <x:c r="AV27" s="2776" t="str">
        <x:f t="shared" si="9"/>
        <x:v/>
      </x:c>
      <x:c r="AW27" s="2771" t="str">
        <x:f t="shared" si="10"/>
        <x:v/>
      </x:c>
      <x:c r="AX27" s="2818" t="str">
        <x:f t="shared" si="11"/>
        <x:v/>
      </x:c>
      <x:c r="AY27" s="2819" t="str">
        <x:f t="shared" si="12"/>
        <x:v/>
      </x:c>
      <x:c r="AZ27" s="2776" t="str">
        <x:f t="shared" si="13"/>
        <x:v/>
      </x:c>
      <x:c r="BA27" s="2771" t="str">
        <x:f t="shared" si="14"/>
        <x:v/>
      </x:c>
      <x:c r="BB27" s="2818" t="str">
        <x:f t="shared" si="15"/>
        <x:v/>
      </x:c>
      <x:c r="BC27" s="2819" t="str">
        <x:f t="shared" si="16"/>
        <x:v/>
      </x:c>
      <x:c r="BD27" s="2776" t="str">
        <x:f t="shared" si="17"/>
        <x:v/>
      </x:c>
      <x:c r="BE27" s="2771" t="str">
        <x:f t="shared" si="18"/>
        <x:v/>
      </x:c>
      <x:c r="BF27" s="2818" t="str">
        <x:f t="shared" si="19"/>
        <x:v/>
      </x:c>
      <x:c r="BG27" s="2819" t="str">
        <x:f t="shared" si="20"/>
        <x:v/>
      </x:c>
      <x:c r="BH27" s="1416"/>
      <x:c r="BJ27" s="995" t="str">
        <x:f t="shared" si="59"/>
        <x:v/>
      </x:c>
      <x:c r="BK27" s="993" t="b">
        <x:f t="shared" si="21"/>
        <x:v>0</x:v>
      </x:c>
      <x:c r="BL27" s="1800" t="b">
        <x:v>0</x:v>
      </x:c>
      <x:c r="BM27" s="989">
        <x:f t="shared" si="22"/>
        <x:v>0</x:v>
      </x:c>
      <x:c r="BN27" s="989">
        <x:f t="shared" si="23"/>
        <x:v>0</x:v>
      </x:c>
      <x:c r="BO27" s="989">
        <x:f t="shared" si="24"/>
        <x:v>0</x:v>
      </x:c>
      <x:c r="BP27" s="989">
        <x:f t="shared" si="25"/>
        <x:v>0</x:v>
      </x:c>
      <x:c r="BQ27" s="989">
        <x:f t="shared" si="26"/>
        <x:v>0</x:v>
      </x:c>
      <x:c r="BR27" s="989" t="b">
        <x:f t="shared" si="27"/>
        <x:v>1</x:v>
      </x:c>
      <x:c r="BS27" s="1302">
        <x:f t="shared" si="28"/>
        <x:v>6</x:v>
      </x:c>
      <x:c r="BT27" s="990" t="str">
        <x:f t="shared" si="29"/>
        <x:v>No</x:v>
      </x:c>
      <x:c r="BU27" s="1302">
        <x:f t="shared" si="30"/>
        <x:v>6</x:v>
      </x:c>
      <x:c r="BV27" s="990" t="str">
        <x:f t="shared" si="31"/>
        <x:v>No</x:v>
      </x:c>
      <x:c r="BW27" s="991">
        <x:f t="shared" ca="1" si="32"/>
        <x:v>0</x:v>
      </x:c>
      <x:c r="BX27" s="991" t="str">
        <x:f t="shared" ca="1" si="33"/>
        <x:v/>
      </x:c>
      <x:c r="BY27" s="991" t="b">
        <x:f t="shared" ca="1" si="34"/>
        <x:v>0</x:v>
      </x:c>
      <x:c r="BZ27" s="991" t="b">
        <x:f t="shared" si="52"/>
        <x:v>0</x:v>
      </x:c>
      <x:c r="CB27" s="672"/>
      <x:c r="CC27" s="1684"/>
      <x:c r="CD27" s="699"/>
      <x:c r="CE27" s="700"/>
      <x:c r="CF27" s="701"/>
      <x:c r="CG27" s="672"/>
      <x:c r="CH27" s="713"/>
      <x:c r="CI27" s="714"/>
      <x:c r="CJ27" s="713"/>
      <x:c r="CK27" s="714"/>
      <x:c r="CL27" s="715"/>
      <x:c r="CM27" s="743"/>
      <x:c r="CN27" s="738"/>
      <x:c r="CO27" s="1551"/>
      <x:c r="CP27" s="910"/>
      <x:c r="CQ27" s="672"/>
      <x:c r="CR27" s="713"/>
      <x:c r="CS27" s="714"/>
      <x:c r="CT27" s="713"/>
      <x:c r="CU27" s="714"/>
      <x:c r="CV27" s="715"/>
      <x:c r="CW27" s="743"/>
      <x:c r="CX27" s="738"/>
      <x:c r="CY27" s="1551"/>
      <x:c r="CZ27" s="910"/>
      <x:c r="DA27" s="717"/>
      <x:c r="DB27" s="702"/>
      <x:c r="DC27" s="703"/>
      <x:c r="DD27" s="725"/>
      <x:c r="DE27" s="726"/>
      <x:c r="DF27" s="141"/>
      <x:c r="DG27" s="141"/>
      <x:c r="DH27" s="672"/>
      <x:c r="DI27" s="673"/>
      <x:c r="DJ27" s="692"/>
      <x:c r="DK27" s="1331"/>
      <x:c r="DL27" s="674"/>
      <x:c r="DM27" s="693"/>
      <x:c r="DN27" s="1334"/>
      <x:c r="DO27" s="675"/>
      <x:c r="DP27" s="676"/>
      <x:c r="DQ27" s="1419"/>
      <x:c r="DR27" s="677"/>
      <x:c r="DS27" s="1419"/>
      <x:c r="DT27" s="1421"/>
      <x:c r="DU27" s="1422"/>
      <x:c r="DV27" s="678"/>
      <x:c r="DW27" s="1336"/>
      <x:c r="DX27" s="679"/>
      <x:c r="DY27" s="674"/>
      <x:c r="DZ27" s="678"/>
      <x:c r="EA27" s="1336"/>
      <x:c r="EB27" s="679"/>
      <x:c r="EC27" s="674"/>
      <x:c r="ED27" s="678"/>
      <x:c r="EE27" s="1336"/>
      <x:c r="EF27" s="679"/>
      <x:c r="EG27" s="674"/>
      <x:c r="EH27" s="678"/>
      <x:c r="EI27" s="1336"/>
      <x:c r="EJ27" s="679"/>
      <x:c r="EK27" s="680"/>
      <x:c r="EL27" s="241"/>
      <x:c r="EM27" s="1631" t="str">
        <x:f t="shared" si="35"/>
        <x:v/>
      </x:c>
      <x:c r="EN27" s="1428" t="str">
        <x:f t="shared" si="36"/>
        <x:v/>
      </x:c>
      <x:c r="EO27" s="1429" t="str">
        <x:f t="shared" si="37"/>
        <x:v/>
      </x:c>
      <x:c r="EP27" s="1430" t="str">
        <x:f t="shared" si="38"/>
        <x:v/>
      </x:c>
      <x:c r="EQ27" s="1434" t="str">
        <x:f t="shared" si="39"/>
        <x:v/>
      </x:c>
      <x:c r="ER27" s="1440" t="str">
        <x:f t="shared" si="40"/>
        <x:v/>
      </x:c>
      <x:c r="ES27" s="1441" t="str">
        <x:f t="shared" si="41"/>
        <x:v/>
      </x:c>
      <x:c r="ET27" s="1442" t="str">
        <x:f t="shared" si="42"/>
        <x:v/>
      </x:c>
      <x:c r="EU27" s="1443" t="str">
        <x:f t="shared" si="53"/>
        <x:v/>
      </x:c>
      <x:c r="EX27" s="503" t="str">
        <x:f t="shared" ca="1" si="54"/>
        <x:v/>
      </x:c>
      <x:c r="EY27" s="940" t="str">
        <x:f t="shared" si="43"/>
        <x:v/>
      </x:c>
      <x:c r="EZ27" s="940" t="str">
        <x:f t="shared" si="55"/>
        <x:v/>
      </x:c>
      <x:c r="FA27" s="958" t="str">
        <x:f t="shared" ca="1" si="60"/>
        <x:v/>
      </x:c>
      <x:c r="FB27" s="134" t="str">
        <x:f t="shared" ca="1" si="56"/>
        <x:v/>
      </x:c>
      <x:c r="FC27" s="134">
        <x:f t="shared" ca="1" si="44"/>
        <x:v>0</x:v>
      </x:c>
      <x:c r="FD27" s="134">
        <x:f t="shared" ca="1" si="45"/>
        <x:v>0</x:v>
      </x:c>
      <x:c r="FE27" s="134">
        <x:f t="shared" ca="1" si="46"/>
        <x:v>0</x:v>
      </x:c>
      <x:c r="FF27" s="134">
        <x:f t="shared" ca="1" si="57"/>
        <x:v>0</x:v>
      </x:c>
      <x:c r="FN27" s="754" t="b">
        <x:v>0</x:v>
      </x:c>
      <x:c r="FO27" s="754" t="b">
        <x:f t="shared" si="47"/>
        <x:v>1</x:v>
      </x:c>
      <x:c r="FP27" s="754" t="b">
        <x:v>0</x:v>
      </x:c>
      <x:c r="FQ27" s="754" t="b">
        <x:f t="shared" si="58"/>
        <x:v>1</x:v>
      </x:c>
      <x:c r="FW27" s="2"/>
      <x:c r="FX27" s="2"/>
      <x:c r="FZ27" s="2"/>
      <x:c r="GA27" s="1761" t="str">
        <x:f t="shared" ref="GA27:GA45" si="92">IF(GF27="","",CE27)</x:f>
        <x:v/>
      </x:c>
      <x:c r="GB27" s="1762" t="str">
        <x:f t="shared" ref="GB27:GB45" si="93">IF(GF27="","",CF27)</x:f>
        <x:v/>
      </x:c>
      <x:c r="GC27" s="1763" t="str">
        <x:f t="shared" ref="GC27:GC45" si="94">IF(GF27="","",IF(CD67="",0,CD67))</x:f>
        <x:v/>
      </x:c>
      <x:c r="GD27" s="1764" t="str">
        <x:f t="shared" ref="GD27:GD45" si="95">IF(GF27="","",IF(CM67="",0,CM67))</x:f>
        <x:v/>
      </x:c>
      <x:c r="GE27" s="1765" t="str">
        <x:f t="shared" si="48"/>
        <x:v/>
      </x:c>
      <x:c r="GF27" s="582" t="str">
        <x:f t="shared" si="49"/>
        <x:v/>
      </x:c>
      <x:c r="GG27" s="692"/>
      <x:c r="GH27" s="1135"/>
      <x:c r="GI27" s="692"/>
      <x:c r="GJ27" s="1135"/>
      <x:c r="GK27" s="1640">
        <x:f t="shared" si="50"/>
        <x:v>0</x:v>
      </x:c>
      <x:c r="GL27" s="1640" t="e">
        <x:f t="shared" si="51"/>
        <x:v>#VALUE!</x:v>
      </x:c>
      <x:c r="GM27" s="1641" t="e">
        <x:f>IF(ABS(GK27-GL27)&gt;='Job Info.'!$L$22,ABS(GK27-GL27),0)</x:f>
        <x:v>#VALUE!</x:v>
      </x:c>
      <x:c r="GZ27" s="145"/>
      <x:c r="HA27" s="1241"/>
      <x:c r="HB27" s="1242"/>
      <x:c r="HC27" s="1242"/>
      <x:c r="HD27" s="1243"/>
      <x:c r="HE27" s="1244"/>
      <x:c r="HF27" s="1242"/>
      <x:c r="HG27" s="1242"/>
      <x:c r="HH27" s="1242"/>
      <x:c r="HI27" s="1242"/>
      <x:c r="HJ27" s="1242"/>
      <x:c r="HK27" s="1242"/>
      <x:c r="HL27" s="1242"/>
      <x:c r="HM27" s="1242"/>
      <x:c r="HN27" s="1242"/>
      <x:c r="HO27" s="1242"/>
      <x:c r="HP27" s="1242"/>
      <x:c r="HQ27" s="1242"/>
      <x:c r="HR27" s="1242"/>
      <x:c r="HS27" s="1242"/>
      <x:c r="HT27" s="1242"/>
      <x:c r="HU27" s="1242"/>
      <x:c r="HV27" s="1242"/>
      <x:c r="HW27" s="1242"/>
      <x:c r="HX27" s="1242"/>
      <x:c r="HY27" s="1246"/>
      <x:c r="HZ27" s="1246"/>
      <x:c r="IA27" s="1246"/>
      <x:c r="IB27" s="1246"/>
      <x:c r="IC27" s="1246"/>
      <x:c r="ID27" s="1261"/>
      <x:c r="IE27" s="1241"/>
      <x:c r="IF27" s="1242"/>
      <x:c r="IG27" s="1243"/>
      <x:c r="IH27" s="1244"/>
      <x:c r="II27" s="1242"/>
      <x:c r="IJ27" s="1243"/>
      <x:c r="IK27" s="1244"/>
      <x:c r="IL27" s="1242"/>
      <x:c r="IM27" s="1242"/>
      <x:c r="IN27" s="1242"/>
      <x:c r="IO27" s="1242"/>
      <x:c r="IP27" s="1242"/>
      <x:c r="IQ27" s="1242"/>
      <x:c r="IR27" s="1242"/>
      <x:c r="IS27" s="1243"/>
      <x:c r="IT27" s="1244"/>
      <x:c r="IU27" s="1242"/>
      <x:c r="IV27" s="1242"/>
      <x:c r="IW27" s="1243"/>
      <x:c r="IX27" s="1244"/>
      <x:c r="IY27" s="1242"/>
      <x:c r="IZ27" s="1242"/>
      <x:c r="JA27" s="1243"/>
      <x:c r="JB27" s="1244"/>
      <x:c r="JC27" s="1242"/>
      <x:c r="JD27" s="1242"/>
      <x:c r="JE27" s="1243"/>
      <x:c r="JF27" s="1244"/>
      <x:c r="JG27" s="1242"/>
      <x:c r="JH27" s="1242"/>
      <x:c r="JI27" s="1242"/>
      <x:c r="JJ27" s="1245"/>
      <x:c r="JK27" s="1242"/>
      <x:c r="JL27" s="1171">
        <x:f t="shared" ca="1" si="61"/>
        <x:v>0</x:v>
      </x:c>
    </x:row>
    <x:row r="28" spans="1:272" ht="12.6" customHeight="1" x14ac:dyDescent="0.3">
      <x:c r="A28" s="2764" t="str">
        <x:f t="shared" si="65"/>
        <x:v/>
      </x:c>
      <x:c r="B28" s="2765"/>
      <x:c r="C28" s="2766" t="str">
        <x:f t="shared" si="65"/>
        <x:v/>
      </x:c>
      <x:c r="D28" s="2767" t="str">
        <x:f t="shared" si="66"/>
        <x:v/>
      </x:c>
      <x:c r="E28" s="2768" t="str">
        <x:f t="shared" si="67"/>
        <x:v/>
      </x:c>
      <x:c r="F28" s="2769" t="str">
        <x:f t="shared" si="68"/>
        <x:v/>
      </x:c>
      <x:c r="G28" s="2770" t="str">
        <x:f t="shared" si="69"/>
        <x:v/>
      </x:c>
      <x:c r="H28" s="2771" t="str">
        <x:f t="shared" si="70"/>
        <x:v/>
      </x:c>
      <x:c r="I28" s="2772" t="str">
        <x:f t="shared" si="71"/>
        <x:v/>
      </x:c>
      <x:c r="J28" s="2767" t="str">
        <x:f t="shared" si="62"/>
        <x:v/>
      </x:c>
      <x:c r="K28" s="2771" t="str">
        <x:f t="shared" si="63"/>
        <x:v/>
      </x:c>
      <x:c r="L28" s="2773" t="str">
        <x:f t="shared" si="64"/>
        <x:v/>
      </x:c>
      <x:c r="M28" s="2774" t="str">
        <x:f t="shared" si="72"/>
        <x:v/>
      </x:c>
      <x:c r="N28" s="2775" t="str">
        <x:f t="shared" si="72"/>
        <x:v/>
      </x:c>
      <x:c r="O28" s="2770" t="str">
        <x:f t="shared" si="73"/>
        <x:v/>
      </x:c>
      <x:c r="P28" s="2771" t="str">
        <x:f t="shared" si="74"/>
        <x:v/>
      </x:c>
      <x:c r="Q28" s="2767" t="str">
        <x:f t="shared" si="75"/>
        <x:v/>
      </x:c>
      <x:c r="R28" s="2768" t="str">
        <x:f t="shared" si="76"/>
        <x:v/>
      </x:c>
      <x:c r="S28" s="2776" t="str">
        <x:f t="shared" si="77"/>
        <x:v/>
      </x:c>
      <x:c r="T28" s="2771" t="str">
        <x:f t="shared" si="78"/>
        <x:v/>
      </x:c>
      <x:c r="U28" s="2767" t="str">
        <x:f t="shared" si="79"/>
        <x:v/>
      </x:c>
      <x:c r="V28" s="2771" t="str">
        <x:f t="shared" si="80"/>
        <x:v/>
      </x:c>
      <x:c r="W28" s="2775">
        <x:f t="shared" si="81"/>
        <x:v>0</x:v>
      </x:c>
      <x:c r="X28" s="2777" t="str">
        <x:f t="shared" si="0"/>
        <x:v/>
      </x:c>
      <x:c r="Y28" s="2778" t="str">
        <x:f t="shared" si="1"/>
        <x:v/>
      </x:c>
      <x:c r="Z28" s="2779" t="s">
        <x:v>116</x:v>
      </x:c>
      <x:c r="AA28" s="2839" t="str">
        <x:f t="shared" si="2"/>
        <x:v/>
      </x:c>
      <x:c r="AB28" s="2764" t="str">
        <x:f t="shared" si="82"/>
        <x:v/>
      </x:c>
      <x:c r="AC28" s="2772" t="str">
        <x:f t="shared" si="83"/>
        <x:v/>
      </x:c>
      <x:c r="AD28" s="2767" t="str">
        <x:f t="shared" ca="1" si="84"/>
        <x:v/>
      </x:c>
      <x:c r="AE28" s="2771" t="str">
        <x:f t="shared" ca="1" si="85"/>
        <x:v/>
      </x:c>
      <x:c r="AF28" s="2772" t="str">
        <x:f t="shared" ca="1" si="86"/>
        <x:v/>
      </x:c>
      <x:c r="AG28" s="2767" t="str">
        <x:f t="shared" ca="1" si="87"/>
        <x:v/>
      </x:c>
      <x:c r="AH28" s="2771" t="str">
        <x:f t="shared" ca="1" si="88"/>
        <x:v/>
      </x:c>
      <x:c r="AI28" s="2767" t="str">
        <x:f t="shared" ca="1" si="89"/>
        <x:v/>
      </x:c>
      <x:c r="AJ28" s="2771" t="str">
        <x:f t="shared" ca="1" si="90"/>
        <x:v/>
      </x:c>
      <x:c r="AK28" s="2813" t="str">
        <x:f t="shared" si="3"/>
        <x:v/>
      </x:c>
      <x:c r="AL28" s="2814" t="str">
        <x:f t="shared" si="91"/>
        <x:v/>
      </x:c>
      <x:c r="AM28" s="2815" t="str">
        <x:f t="shared" si="3"/>
        <x:v/>
      </x:c>
      <x:c r="AN28" s="2772" t="str">
        <x:f t="shared" si="3"/>
        <x:v/>
      </x:c>
      <x:c r="AO28" s="2775" t="str">
        <x:f t="shared" si="3"/>
        <x:v/>
      </x:c>
      <x:c r="AP28" s="2774" t="str">
        <x:f t="shared" si="4"/>
        <x:v/>
      </x:c>
      <x:c r="AQ28" s="2817" t="str">
        <x:f t="shared" si="4"/>
        <x:v/>
      </x:c>
      <x:c r="AR28" s="2770" t="str">
        <x:f t="shared" si="5"/>
        <x:v/>
      </x:c>
      <x:c r="AS28" s="2771" t="str">
        <x:f t="shared" si="6"/>
        <x:v/>
      </x:c>
      <x:c r="AT28" s="2818" t="str">
        <x:f t="shared" si="7"/>
        <x:v/>
      </x:c>
      <x:c r="AU28" s="2819" t="str">
        <x:f t="shared" si="8"/>
        <x:v/>
      </x:c>
      <x:c r="AV28" s="2776" t="str">
        <x:f t="shared" si="9"/>
        <x:v/>
      </x:c>
      <x:c r="AW28" s="2771" t="str">
        <x:f t="shared" si="10"/>
        <x:v/>
      </x:c>
      <x:c r="AX28" s="2818" t="str">
        <x:f t="shared" si="11"/>
        <x:v/>
      </x:c>
      <x:c r="AY28" s="2819" t="str">
        <x:f t="shared" si="12"/>
        <x:v/>
      </x:c>
      <x:c r="AZ28" s="2776" t="str">
        <x:f t="shared" si="13"/>
        <x:v/>
      </x:c>
      <x:c r="BA28" s="2771" t="str">
        <x:f t="shared" si="14"/>
        <x:v/>
      </x:c>
      <x:c r="BB28" s="2818" t="str">
        <x:f t="shared" si="15"/>
        <x:v/>
      </x:c>
      <x:c r="BC28" s="2819" t="str">
        <x:f t="shared" si="16"/>
        <x:v/>
      </x:c>
      <x:c r="BD28" s="2776" t="str">
        <x:f t="shared" si="17"/>
        <x:v/>
      </x:c>
      <x:c r="BE28" s="2771" t="str">
        <x:f t="shared" si="18"/>
        <x:v/>
      </x:c>
      <x:c r="BF28" s="2818" t="str">
        <x:f t="shared" si="19"/>
        <x:v/>
      </x:c>
      <x:c r="BG28" s="2819" t="str">
        <x:f t="shared" si="20"/>
        <x:v/>
      </x:c>
      <x:c r="BH28" s="1416"/>
      <x:c r="BJ28" s="995" t="str">
        <x:f t="shared" si="59"/>
        <x:v/>
      </x:c>
      <x:c r="BK28" s="993" t="b">
        <x:f t="shared" si="21"/>
        <x:v>0</x:v>
      </x:c>
      <x:c r="BL28" s="1800" t="b">
        <x:v>0</x:v>
      </x:c>
      <x:c r="BM28" s="989">
        <x:f t="shared" si="22"/>
        <x:v>0</x:v>
      </x:c>
      <x:c r="BN28" s="989">
        <x:f t="shared" si="23"/>
        <x:v>0</x:v>
      </x:c>
      <x:c r="BO28" s="989">
        <x:f t="shared" si="24"/>
        <x:v>0</x:v>
      </x:c>
      <x:c r="BP28" s="989">
        <x:f t="shared" si="25"/>
        <x:v>0</x:v>
      </x:c>
      <x:c r="BQ28" s="989">
        <x:f t="shared" si="26"/>
        <x:v>0</x:v>
      </x:c>
      <x:c r="BR28" s="989" t="b">
        <x:f t="shared" si="27"/>
        <x:v>1</x:v>
      </x:c>
      <x:c r="BS28" s="1302">
        <x:f t="shared" si="28"/>
        <x:v>6</x:v>
      </x:c>
      <x:c r="BT28" s="990" t="str">
        <x:f t="shared" si="29"/>
        <x:v>No</x:v>
      </x:c>
      <x:c r="BU28" s="1302">
        <x:f t="shared" si="30"/>
        <x:v>6</x:v>
      </x:c>
      <x:c r="BV28" s="990" t="str">
        <x:f t="shared" si="31"/>
        <x:v>No</x:v>
      </x:c>
      <x:c r="BW28" s="991">
        <x:f t="shared" ca="1" si="32"/>
        <x:v>0</x:v>
      </x:c>
      <x:c r="BX28" s="991" t="str">
        <x:f t="shared" ca="1" si="33"/>
        <x:v/>
      </x:c>
      <x:c r="BY28" s="991" t="b">
        <x:f t="shared" ca="1" si="34"/>
        <x:v>0</x:v>
      </x:c>
      <x:c r="BZ28" s="991" t="b">
        <x:f t="shared" si="52"/>
        <x:v>0</x:v>
      </x:c>
      <x:c r="CB28" s="672"/>
      <x:c r="CC28" s="1684"/>
      <x:c r="CD28" s="699"/>
      <x:c r="CE28" s="700"/>
      <x:c r="CF28" s="701"/>
      <x:c r="CG28" s="672"/>
      <x:c r="CH28" s="713"/>
      <x:c r="CI28" s="714"/>
      <x:c r="CJ28" s="713"/>
      <x:c r="CK28" s="714"/>
      <x:c r="CL28" s="715"/>
      <x:c r="CM28" s="743"/>
      <x:c r="CN28" s="738"/>
      <x:c r="CO28" s="1551"/>
      <x:c r="CP28" s="910"/>
      <x:c r="CQ28" s="672"/>
      <x:c r="CR28" s="713"/>
      <x:c r="CS28" s="714"/>
      <x:c r="CT28" s="713"/>
      <x:c r="CU28" s="714"/>
      <x:c r="CV28" s="715"/>
      <x:c r="CW28" s="743"/>
      <x:c r="CX28" s="738"/>
      <x:c r="CY28" s="1551"/>
      <x:c r="CZ28" s="910"/>
      <x:c r="DA28" s="717"/>
      <x:c r="DB28" s="702"/>
      <x:c r="DC28" s="703"/>
      <x:c r="DD28" s="725"/>
      <x:c r="DE28" s="726"/>
      <x:c r="DF28" s="141"/>
      <x:c r="DG28" s="141"/>
      <x:c r="DH28" s="672"/>
      <x:c r="DI28" s="673"/>
      <x:c r="DJ28" s="692"/>
      <x:c r="DK28" s="1331"/>
      <x:c r="DL28" s="674"/>
      <x:c r="DM28" s="693"/>
      <x:c r="DN28" s="1334"/>
      <x:c r="DO28" s="675"/>
      <x:c r="DP28" s="676"/>
      <x:c r="DQ28" s="1419"/>
      <x:c r="DR28" s="677"/>
      <x:c r="DS28" s="1419"/>
      <x:c r="DT28" s="1421"/>
      <x:c r="DU28" s="1422"/>
      <x:c r="DV28" s="678"/>
      <x:c r="DW28" s="1336"/>
      <x:c r="DX28" s="679"/>
      <x:c r="DY28" s="674"/>
      <x:c r="DZ28" s="678"/>
      <x:c r="EA28" s="1336"/>
      <x:c r="EB28" s="679"/>
      <x:c r="EC28" s="674"/>
      <x:c r="ED28" s="678"/>
      <x:c r="EE28" s="1336"/>
      <x:c r="EF28" s="679"/>
      <x:c r="EG28" s="674"/>
      <x:c r="EH28" s="678"/>
      <x:c r="EI28" s="1336"/>
      <x:c r="EJ28" s="679"/>
      <x:c r="EK28" s="680"/>
      <x:c r="EL28" s="241"/>
      <x:c r="EM28" s="1631" t="str">
        <x:f t="shared" si="35"/>
        <x:v/>
      </x:c>
      <x:c r="EN28" s="1428" t="str">
        <x:f t="shared" si="36"/>
        <x:v/>
      </x:c>
      <x:c r="EO28" s="1429" t="str">
        <x:f t="shared" si="37"/>
        <x:v/>
      </x:c>
      <x:c r="EP28" s="1430" t="str">
        <x:f t="shared" si="38"/>
        <x:v/>
      </x:c>
      <x:c r="EQ28" s="1434" t="str">
        <x:f t="shared" si="39"/>
        <x:v/>
      </x:c>
      <x:c r="ER28" s="1440" t="str">
        <x:f t="shared" si="40"/>
        <x:v/>
      </x:c>
      <x:c r="ES28" s="1441" t="str">
        <x:f t="shared" si="41"/>
        <x:v/>
      </x:c>
      <x:c r="ET28" s="1442" t="str">
        <x:f t="shared" si="42"/>
        <x:v/>
      </x:c>
      <x:c r="EU28" s="1443" t="str">
        <x:f t="shared" si="53"/>
        <x:v/>
      </x:c>
      <x:c r="EX28" s="503" t="str">
        <x:f t="shared" ca="1" si="54"/>
        <x:v/>
      </x:c>
      <x:c r="EY28" s="940" t="str">
        <x:f t="shared" si="43"/>
        <x:v/>
      </x:c>
      <x:c r="EZ28" s="940" t="str">
        <x:f t="shared" si="55"/>
        <x:v/>
      </x:c>
      <x:c r="FA28" s="958" t="str">
        <x:f t="shared" ca="1" si="60"/>
        <x:v/>
      </x:c>
      <x:c r="FB28" s="134" t="str">
        <x:f t="shared" ca="1" si="56"/>
        <x:v/>
      </x:c>
      <x:c r="FC28" s="134">
        <x:f t="shared" ca="1" si="44"/>
        <x:v>0</x:v>
      </x:c>
      <x:c r="FD28" s="134">
        <x:f t="shared" ca="1" si="45"/>
        <x:v>0</x:v>
      </x:c>
      <x:c r="FE28" s="134">
        <x:f t="shared" ca="1" si="46"/>
        <x:v>0</x:v>
      </x:c>
      <x:c r="FF28" s="134">
        <x:f t="shared" ca="1" si="57"/>
        <x:v>0</x:v>
      </x:c>
      <x:c r="FN28" s="754" t="b">
        <x:v>0</x:v>
      </x:c>
      <x:c r="FO28" s="754" t="b">
        <x:f t="shared" si="47"/>
        <x:v>1</x:v>
      </x:c>
      <x:c r="FP28" s="754" t="b">
        <x:v>0</x:v>
      </x:c>
      <x:c r="FQ28" s="754" t="b">
        <x:f t="shared" si="58"/>
        <x:v>1</x:v>
      </x:c>
      <x:c r="FW28" s="2"/>
      <x:c r="FX28" s="2"/>
      <x:c r="FZ28" s="2"/>
      <x:c r="GA28" s="1761" t="str">
        <x:f t="shared" si="92"/>
        <x:v/>
      </x:c>
      <x:c r="GB28" s="1762" t="str">
        <x:f t="shared" si="93"/>
        <x:v/>
      </x:c>
      <x:c r="GC28" s="1763" t="str">
        <x:f t="shared" si="94"/>
        <x:v/>
      </x:c>
      <x:c r="GD28" s="1764" t="str">
        <x:f t="shared" si="95"/>
        <x:v/>
      </x:c>
      <x:c r="GE28" s="1765" t="str">
        <x:f t="shared" si="48"/>
        <x:v/>
      </x:c>
      <x:c r="GF28" s="582" t="str">
        <x:f t="shared" si="49"/>
        <x:v/>
      </x:c>
      <x:c r="GG28" s="692"/>
      <x:c r="GH28" s="1135"/>
      <x:c r="GI28" s="692"/>
      <x:c r="GJ28" s="1135"/>
      <x:c r="GK28" s="1640">
        <x:f t="shared" si="50"/>
        <x:v>0</x:v>
      </x:c>
      <x:c r="GL28" s="1640" t="e">
        <x:f t="shared" si="51"/>
        <x:v>#VALUE!</x:v>
      </x:c>
      <x:c r="GM28" s="1641" t="e">
        <x:f>IF(ABS(GK28-GL28)&gt;='Job Info.'!$L$22,ABS(GK28-GL28),0)</x:f>
        <x:v>#VALUE!</x:v>
      </x:c>
      <x:c r="GZ28" s="144"/>
      <x:c r="HA28" s="1241"/>
      <x:c r="HB28" s="1242"/>
      <x:c r="HC28" s="1242"/>
      <x:c r="HD28" s="1243"/>
      <x:c r="HE28" s="1244"/>
      <x:c r="HF28" s="1242"/>
      <x:c r="HG28" s="1242"/>
      <x:c r="HH28" s="1242"/>
      <x:c r="HI28" s="1242"/>
      <x:c r="HJ28" s="1242"/>
      <x:c r="HK28" s="1242"/>
      <x:c r="HL28" s="1242"/>
      <x:c r="HM28" s="1242"/>
      <x:c r="HN28" s="1242"/>
      <x:c r="HO28" s="1242"/>
      <x:c r="HP28" s="1242"/>
      <x:c r="HQ28" s="1242"/>
      <x:c r="HR28" s="1242"/>
      <x:c r="HS28" s="1242"/>
      <x:c r="HT28" s="1242"/>
      <x:c r="HU28" s="1242"/>
      <x:c r="HV28" s="1242"/>
      <x:c r="HW28" s="1242"/>
      <x:c r="HX28" s="1242"/>
      <x:c r="HY28" s="1246"/>
      <x:c r="HZ28" s="1246"/>
      <x:c r="IA28" s="1246"/>
      <x:c r="IB28" s="1246"/>
      <x:c r="IC28" s="1246"/>
      <x:c r="ID28" s="1261"/>
      <x:c r="IE28" s="1241"/>
      <x:c r="IF28" s="1242"/>
      <x:c r="IG28" s="1243"/>
      <x:c r="IH28" s="1244"/>
      <x:c r="II28" s="1242"/>
      <x:c r="IJ28" s="1243"/>
      <x:c r="IK28" s="1244"/>
      <x:c r="IL28" s="1242"/>
      <x:c r="IM28" s="1242"/>
      <x:c r="IN28" s="1242"/>
      <x:c r="IO28" s="1242"/>
      <x:c r="IP28" s="1242"/>
      <x:c r="IQ28" s="1242"/>
      <x:c r="IR28" s="1242"/>
      <x:c r="IS28" s="1243"/>
      <x:c r="IT28" s="1244"/>
      <x:c r="IU28" s="1242"/>
      <x:c r="IV28" s="1242"/>
      <x:c r="IW28" s="1243"/>
      <x:c r="IX28" s="1244"/>
      <x:c r="IY28" s="1242"/>
      <x:c r="IZ28" s="1242"/>
      <x:c r="JA28" s="1243"/>
      <x:c r="JB28" s="1244"/>
      <x:c r="JC28" s="1242"/>
      <x:c r="JD28" s="1242"/>
      <x:c r="JE28" s="1243"/>
      <x:c r="JF28" s="1244"/>
      <x:c r="JG28" s="1242"/>
      <x:c r="JH28" s="1242"/>
      <x:c r="JI28" s="1242"/>
      <x:c r="JJ28" s="1245"/>
      <x:c r="JK28" s="1242"/>
      <x:c r="JL28" s="1171">
        <x:f t="shared" ca="1" si="61"/>
        <x:v>0</x:v>
      </x:c>
    </x:row>
    <x:row r="29" spans="1:272" ht="12.6" customHeight="1" x14ac:dyDescent="0.25">
      <x:c r="A29" s="2764" t="str">
        <x:f t="shared" si="65"/>
        <x:v/>
      </x:c>
      <x:c r="B29" s="2765"/>
      <x:c r="C29" s="2766" t="str">
        <x:f t="shared" si="65"/>
        <x:v/>
      </x:c>
      <x:c r="D29" s="2767" t="str">
        <x:f t="shared" si="66"/>
        <x:v/>
      </x:c>
      <x:c r="E29" s="2768" t="str">
        <x:f t="shared" si="67"/>
        <x:v/>
      </x:c>
      <x:c r="F29" s="2769" t="str">
        <x:f t="shared" si="68"/>
        <x:v/>
      </x:c>
      <x:c r="G29" s="2770" t="str">
        <x:f t="shared" si="69"/>
        <x:v/>
      </x:c>
      <x:c r="H29" s="2771" t="str">
        <x:f t="shared" si="70"/>
        <x:v/>
      </x:c>
      <x:c r="I29" s="2772" t="str">
        <x:f t="shared" si="71"/>
        <x:v/>
      </x:c>
      <x:c r="J29" s="2767" t="str">
        <x:f t="shared" si="62"/>
        <x:v/>
      </x:c>
      <x:c r="K29" s="2771" t="str">
        <x:f t="shared" si="63"/>
        <x:v/>
      </x:c>
      <x:c r="L29" s="2773" t="str">
        <x:f t="shared" si="64"/>
        <x:v/>
      </x:c>
      <x:c r="M29" s="2774" t="str">
        <x:f t="shared" si="72"/>
        <x:v/>
      </x:c>
      <x:c r="N29" s="2775" t="str">
        <x:f t="shared" si="72"/>
        <x:v/>
      </x:c>
      <x:c r="O29" s="2770" t="str">
        <x:f t="shared" si="73"/>
        <x:v/>
      </x:c>
      <x:c r="P29" s="2771" t="str">
        <x:f t="shared" si="74"/>
        <x:v/>
      </x:c>
      <x:c r="Q29" s="2767" t="str">
        <x:f t="shared" si="75"/>
        <x:v/>
      </x:c>
      <x:c r="R29" s="2768" t="str">
        <x:f t="shared" si="76"/>
        <x:v/>
      </x:c>
      <x:c r="S29" s="2776" t="str">
        <x:f t="shared" si="77"/>
        <x:v/>
      </x:c>
      <x:c r="T29" s="2771" t="str">
        <x:f t="shared" si="78"/>
        <x:v/>
      </x:c>
      <x:c r="U29" s="2767" t="str">
        <x:f t="shared" si="79"/>
        <x:v/>
      </x:c>
      <x:c r="V29" s="2771" t="str">
        <x:f t="shared" si="80"/>
        <x:v/>
      </x:c>
      <x:c r="W29" s="2775">
        <x:f t="shared" si="81"/>
        <x:v>0</x:v>
      </x:c>
      <x:c r="X29" s="2777" t="str">
        <x:f t="shared" si="0"/>
        <x:v/>
      </x:c>
      <x:c r="Y29" s="2778" t="str">
        <x:f t="shared" si="1"/>
        <x:v/>
      </x:c>
      <x:c r="Z29" s="2779" t="s">
        <x:v>116</x:v>
      </x:c>
      <x:c r="AA29" s="2839" t="str">
        <x:f t="shared" si="2"/>
        <x:v/>
      </x:c>
      <x:c r="AB29" s="2764" t="str">
        <x:f t="shared" si="82"/>
        <x:v/>
      </x:c>
      <x:c r="AC29" s="2772" t="str">
        <x:f t="shared" si="83"/>
        <x:v/>
      </x:c>
      <x:c r="AD29" s="2767" t="str">
        <x:f t="shared" ca="1" si="84"/>
        <x:v/>
      </x:c>
      <x:c r="AE29" s="2771" t="str">
        <x:f t="shared" ca="1" si="85"/>
        <x:v/>
      </x:c>
      <x:c r="AF29" s="2772" t="str">
        <x:f t="shared" ca="1" si="86"/>
        <x:v/>
      </x:c>
      <x:c r="AG29" s="2767" t="str">
        <x:f t="shared" ca="1" si="87"/>
        <x:v/>
      </x:c>
      <x:c r="AH29" s="2771" t="str">
        <x:f t="shared" ca="1" si="88"/>
        <x:v/>
      </x:c>
      <x:c r="AI29" s="2767" t="str">
        <x:f t="shared" ca="1" si="89"/>
        <x:v/>
      </x:c>
      <x:c r="AJ29" s="2771" t="str">
        <x:f t="shared" ca="1" si="90"/>
        <x:v/>
      </x:c>
      <x:c r="AK29" s="2813" t="str">
        <x:f t="shared" si="3"/>
        <x:v/>
      </x:c>
      <x:c r="AL29" s="2814" t="str">
        <x:f t="shared" si="91"/>
        <x:v/>
      </x:c>
      <x:c r="AM29" s="2815" t="str">
        <x:f t="shared" si="3"/>
        <x:v/>
      </x:c>
      <x:c r="AN29" s="2772" t="str">
        <x:f t="shared" si="3"/>
        <x:v/>
      </x:c>
      <x:c r="AO29" s="2775" t="str">
        <x:f t="shared" si="3"/>
        <x:v/>
      </x:c>
      <x:c r="AP29" s="2774" t="str">
        <x:f t="shared" si="4"/>
        <x:v/>
      </x:c>
      <x:c r="AQ29" s="2817" t="str">
        <x:f t="shared" si="4"/>
        <x:v/>
      </x:c>
      <x:c r="AR29" s="2770" t="str">
        <x:f t="shared" si="5"/>
        <x:v/>
      </x:c>
      <x:c r="AS29" s="2771" t="str">
        <x:f t="shared" si="6"/>
        <x:v/>
      </x:c>
      <x:c r="AT29" s="2818" t="str">
        <x:f t="shared" si="7"/>
        <x:v/>
      </x:c>
      <x:c r="AU29" s="2819" t="str">
        <x:f t="shared" si="8"/>
        <x:v/>
      </x:c>
      <x:c r="AV29" s="2776" t="str">
        <x:f t="shared" si="9"/>
        <x:v/>
      </x:c>
      <x:c r="AW29" s="2771" t="str">
        <x:f t="shared" si="10"/>
        <x:v/>
      </x:c>
      <x:c r="AX29" s="2818" t="str">
        <x:f t="shared" si="11"/>
        <x:v/>
      </x:c>
      <x:c r="AY29" s="2819" t="str">
        <x:f t="shared" si="12"/>
        <x:v/>
      </x:c>
      <x:c r="AZ29" s="2776" t="str">
        <x:f t="shared" si="13"/>
        <x:v/>
      </x:c>
      <x:c r="BA29" s="2771" t="str">
        <x:f t="shared" si="14"/>
        <x:v/>
      </x:c>
      <x:c r="BB29" s="2818" t="str">
        <x:f t="shared" si="15"/>
        <x:v/>
      </x:c>
      <x:c r="BC29" s="2819" t="str">
        <x:f t="shared" si="16"/>
        <x:v/>
      </x:c>
      <x:c r="BD29" s="2776" t="str">
        <x:f t="shared" si="17"/>
        <x:v/>
      </x:c>
      <x:c r="BE29" s="2771" t="str">
        <x:f t="shared" si="18"/>
        <x:v/>
      </x:c>
      <x:c r="BF29" s="2818" t="str">
        <x:f t="shared" si="19"/>
        <x:v/>
      </x:c>
      <x:c r="BG29" s="2819" t="str">
        <x:f t="shared" si="20"/>
        <x:v/>
      </x:c>
      <x:c r="BH29" s="1416"/>
      <x:c r="BJ29" s="995" t="str">
        <x:f t="shared" si="59"/>
        <x:v/>
      </x:c>
      <x:c r="BK29" s="993" t="b">
        <x:f t="shared" si="21"/>
        <x:v>0</x:v>
      </x:c>
      <x:c r="BL29" s="1800" t="b">
        <x:v>0</x:v>
      </x:c>
      <x:c r="BM29" s="989">
        <x:f t="shared" si="22"/>
        <x:v>0</x:v>
      </x:c>
      <x:c r="BN29" s="989">
        <x:f t="shared" si="23"/>
        <x:v>0</x:v>
      </x:c>
      <x:c r="BO29" s="989">
        <x:f t="shared" si="24"/>
        <x:v>0</x:v>
      </x:c>
      <x:c r="BP29" s="989">
        <x:f t="shared" si="25"/>
        <x:v>0</x:v>
      </x:c>
      <x:c r="BQ29" s="989">
        <x:f t="shared" si="26"/>
        <x:v>0</x:v>
      </x:c>
      <x:c r="BR29" s="989" t="b">
        <x:f t="shared" si="27"/>
        <x:v>1</x:v>
      </x:c>
      <x:c r="BS29" s="1302">
        <x:f t="shared" si="28"/>
        <x:v>6</x:v>
      </x:c>
      <x:c r="BT29" s="990" t="str">
        <x:f t="shared" si="29"/>
        <x:v>No</x:v>
      </x:c>
      <x:c r="BU29" s="1302">
        <x:f t="shared" si="30"/>
        <x:v>6</x:v>
      </x:c>
      <x:c r="BV29" s="990" t="str">
        <x:f t="shared" si="31"/>
        <x:v>No</x:v>
      </x:c>
      <x:c r="BW29" s="991">
        <x:f t="shared" ca="1" si="32"/>
        <x:v>0</x:v>
      </x:c>
      <x:c r="BX29" s="991" t="str">
        <x:f t="shared" ca="1" si="33"/>
        <x:v/>
      </x:c>
      <x:c r="BY29" s="991" t="b">
        <x:f t="shared" ca="1" si="34"/>
        <x:v>0</x:v>
      </x:c>
      <x:c r="BZ29" s="991" t="b">
        <x:f t="shared" si="52"/>
        <x:v>0</x:v>
      </x:c>
      <x:c r="CB29" s="672"/>
      <x:c r="CC29" s="1684"/>
      <x:c r="CD29" s="699"/>
      <x:c r="CE29" s="700"/>
      <x:c r="CF29" s="701"/>
      <x:c r="CG29" s="672"/>
      <x:c r="CH29" s="713"/>
      <x:c r="CI29" s="714"/>
      <x:c r="CJ29" s="713"/>
      <x:c r="CK29" s="714"/>
      <x:c r="CL29" s="715"/>
      <x:c r="CM29" s="743"/>
      <x:c r="CN29" s="738"/>
      <x:c r="CO29" s="1551"/>
      <x:c r="CP29" s="910"/>
      <x:c r="CQ29" s="672"/>
      <x:c r="CR29" s="713"/>
      <x:c r="CS29" s="714"/>
      <x:c r="CT29" s="713"/>
      <x:c r="CU29" s="714"/>
      <x:c r="CV29" s="715"/>
      <x:c r="CW29" s="743"/>
      <x:c r="CX29" s="738"/>
      <x:c r="CY29" s="1551"/>
      <x:c r="CZ29" s="910"/>
      <x:c r="DA29" s="717"/>
      <x:c r="DB29" s="702"/>
      <x:c r="DC29" s="703"/>
      <x:c r="DD29" s="725"/>
      <x:c r="DE29" s="726"/>
      <x:c r="DF29" s="141"/>
      <x:c r="DG29" s="141"/>
      <x:c r="DH29" s="672"/>
      <x:c r="DI29" s="673"/>
      <x:c r="DJ29" s="692"/>
      <x:c r="DK29" s="1331"/>
      <x:c r="DL29" s="674"/>
      <x:c r="DM29" s="693"/>
      <x:c r="DN29" s="1334"/>
      <x:c r="DO29" s="675"/>
      <x:c r="DP29" s="676"/>
      <x:c r="DQ29" s="1419"/>
      <x:c r="DR29" s="677"/>
      <x:c r="DS29" s="1419"/>
      <x:c r="DT29" s="1421"/>
      <x:c r="DU29" s="1422"/>
      <x:c r="DV29" s="678"/>
      <x:c r="DW29" s="1336"/>
      <x:c r="DX29" s="679"/>
      <x:c r="DY29" s="674"/>
      <x:c r="DZ29" s="678"/>
      <x:c r="EA29" s="1336"/>
      <x:c r="EB29" s="679"/>
      <x:c r="EC29" s="674"/>
      <x:c r="ED29" s="678"/>
      <x:c r="EE29" s="1336"/>
      <x:c r="EF29" s="679"/>
      <x:c r="EG29" s="674"/>
      <x:c r="EH29" s="678"/>
      <x:c r="EI29" s="1336"/>
      <x:c r="EJ29" s="679"/>
      <x:c r="EK29" s="680"/>
      <x:c r="EL29" s="241"/>
      <x:c r="EM29" s="1631" t="str">
        <x:f t="shared" si="35"/>
        <x:v/>
      </x:c>
      <x:c r="EN29" s="1428" t="str">
        <x:f t="shared" si="36"/>
        <x:v/>
      </x:c>
      <x:c r="EO29" s="1429" t="str">
        <x:f t="shared" si="37"/>
        <x:v/>
      </x:c>
      <x:c r="EP29" s="1430" t="str">
        <x:f t="shared" si="38"/>
        <x:v/>
      </x:c>
      <x:c r="EQ29" s="1434" t="str">
        <x:f t="shared" si="39"/>
        <x:v/>
      </x:c>
      <x:c r="ER29" s="1440" t="str">
        <x:f t="shared" si="40"/>
        <x:v/>
      </x:c>
      <x:c r="ES29" s="1441" t="str">
        <x:f t="shared" si="41"/>
        <x:v/>
      </x:c>
      <x:c r="ET29" s="1442" t="str">
        <x:f t="shared" si="42"/>
        <x:v/>
      </x:c>
      <x:c r="EU29" s="1443" t="str">
        <x:f t="shared" si="53"/>
        <x:v/>
      </x:c>
      <x:c r="EX29" s="503" t="str">
        <x:f t="shared" ca="1" si="54"/>
        <x:v/>
      </x:c>
      <x:c r="EY29" s="940" t="str">
        <x:f t="shared" si="43"/>
        <x:v/>
      </x:c>
      <x:c r="EZ29" s="940" t="str">
        <x:f t="shared" si="55"/>
        <x:v/>
      </x:c>
      <x:c r="FA29" s="958" t="str">
        <x:f t="shared" ca="1" si="60"/>
        <x:v/>
      </x:c>
      <x:c r="FB29" s="134" t="str">
        <x:f t="shared" ca="1" si="56"/>
        <x:v/>
      </x:c>
      <x:c r="FC29" s="134">
        <x:f t="shared" ca="1" si="44"/>
        <x:v>0</x:v>
      </x:c>
      <x:c r="FD29" s="134">
        <x:f t="shared" ca="1" si="45"/>
        <x:v>0</x:v>
      </x:c>
      <x:c r="FE29" s="134">
        <x:f t="shared" ca="1" si="46"/>
        <x:v>0</x:v>
      </x:c>
      <x:c r="FF29" s="134">
        <x:f t="shared" ca="1" si="57"/>
        <x:v>0</x:v>
      </x:c>
      <x:c r="FN29" s="754" t="b">
        <x:v>0</x:v>
      </x:c>
      <x:c r="FO29" s="754" t="b">
        <x:f t="shared" si="47"/>
        <x:v>1</x:v>
      </x:c>
      <x:c r="FP29" s="754" t="b">
        <x:v>0</x:v>
      </x:c>
      <x:c r="FQ29" s="754" t="b">
        <x:f t="shared" si="58"/>
        <x:v>1</x:v>
      </x:c>
      <x:c r="FW29" s="2"/>
      <x:c r="FX29" s="2"/>
      <x:c r="FZ29" s="2"/>
      <x:c r="GA29" s="1761" t="str">
        <x:f t="shared" si="92"/>
        <x:v/>
      </x:c>
      <x:c r="GB29" s="1762" t="str">
        <x:f t="shared" si="93"/>
        <x:v/>
      </x:c>
      <x:c r="GC29" s="1763" t="str">
        <x:f t="shared" si="94"/>
        <x:v/>
      </x:c>
      <x:c r="GD29" s="1764" t="str">
        <x:f t="shared" si="95"/>
        <x:v/>
      </x:c>
      <x:c r="GE29" s="1765" t="str">
        <x:f t="shared" si="48"/>
        <x:v/>
      </x:c>
      <x:c r="GF29" s="582" t="str">
        <x:f t="shared" si="49"/>
        <x:v/>
      </x:c>
      <x:c r="GG29" s="692"/>
      <x:c r="GH29" s="1135"/>
      <x:c r="GI29" s="692"/>
      <x:c r="GJ29" s="1135"/>
      <x:c r="GK29" s="1640">
        <x:f t="shared" si="50"/>
        <x:v>0</x:v>
      </x:c>
      <x:c r="GL29" s="1640" t="e">
        <x:f t="shared" si="51"/>
        <x:v>#VALUE!</x:v>
      </x:c>
      <x:c r="GM29" s="1641" t="e">
        <x:f>IF(ABS(GK29-GL29)&gt;='Job Info.'!$L$22,ABS(GK29-GL29),0)</x:f>
        <x:v>#VALUE!</x:v>
      </x:c>
      <x:c r="HA29" s="1241"/>
      <x:c r="HB29" s="1242"/>
      <x:c r="HC29" s="1242"/>
      <x:c r="HD29" s="1243"/>
      <x:c r="HE29" s="1244"/>
      <x:c r="HF29" s="1242"/>
      <x:c r="HG29" s="1242"/>
      <x:c r="HH29" s="1242"/>
      <x:c r="HI29" s="1242"/>
      <x:c r="HJ29" s="1242"/>
      <x:c r="HK29" s="1242"/>
      <x:c r="HL29" s="1242"/>
      <x:c r="HM29" s="1242"/>
      <x:c r="HN29" s="1242"/>
      <x:c r="HO29" s="1242"/>
      <x:c r="HP29" s="1242"/>
      <x:c r="HQ29" s="1242"/>
      <x:c r="HR29" s="1242"/>
      <x:c r="HS29" s="1242"/>
      <x:c r="HT29" s="1242"/>
      <x:c r="HU29" s="1242"/>
      <x:c r="HV29" s="1242"/>
      <x:c r="HW29" s="1242"/>
      <x:c r="HX29" s="1242"/>
      <x:c r="HY29" s="1246"/>
      <x:c r="HZ29" s="1246"/>
      <x:c r="IA29" s="1246"/>
      <x:c r="IB29" s="1246"/>
      <x:c r="IC29" s="1246"/>
      <x:c r="ID29" s="1261"/>
      <x:c r="IE29" s="1241"/>
      <x:c r="IF29" s="1242"/>
      <x:c r="IG29" s="1243"/>
      <x:c r="IH29" s="1244"/>
      <x:c r="II29" s="1242"/>
      <x:c r="IJ29" s="1243"/>
      <x:c r="IK29" s="1244"/>
      <x:c r="IL29" s="1242"/>
      <x:c r="IM29" s="1242"/>
      <x:c r="IN29" s="1242"/>
      <x:c r="IO29" s="1242"/>
      <x:c r="IP29" s="1242"/>
      <x:c r="IQ29" s="1242"/>
      <x:c r="IR29" s="1242"/>
      <x:c r="IS29" s="1243"/>
      <x:c r="IT29" s="1244"/>
      <x:c r="IU29" s="1242"/>
      <x:c r="IV29" s="1242"/>
      <x:c r="IW29" s="1243"/>
      <x:c r="IX29" s="1244"/>
      <x:c r="IY29" s="1242"/>
      <x:c r="IZ29" s="1242"/>
      <x:c r="JA29" s="1243"/>
      <x:c r="JB29" s="1244"/>
      <x:c r="JC29" s="1242"/>
      <x:c r="JD29" s="1242"/>
      <x:c r="JE29" s="1243"/>
      <x:c r="JF29" s="1244"/>
      <x:c r="JG29" s="1242"/>
      <x:c r="JH29" s="1242"/>
      <x:c r="JI29" s="1242"/>
      <x:c r="JJ29" s="1245"/>
      <x:c r="JK29" s="1242"/>
      <x:c r="JL29" s="1171">
        <x:f t="shared" ca="1" si="61"/>
        <x:v>0</x:v>
      </x:c>
    </x:row>
    <x:row r="30" spans="1:272" s="145" customFormat="1" ht="12.6" customHeight="1" x14ac:dyDescent="0.25">
      <x:c r="A30" s="2764" t="str">
        <x:f t="shared" si="65"/>
        <x:v/>
      </x:c>
      <x:c r="B30" s="2765"/>
      <x:c r="C30" s="2766" t="str">
        <x:f t="shared" si="65"/>
        <x:v/>
      </x:c>
      <x:c r="D30" s="2767" t="str">
        <x:f t="shared" si="66"/>
        <x:v/>
      </x:c>
      <x:c r="E30" s="2768" t="str">
        <x:f t="shared" si="67"/>
        <x:v/>
      </x:c>
      <x:c r="F30" s="2769" t="str">
        <x:f t="shared" si="68"/>
        <x:v/>
      </x:c>
      <x:c r="G30" s="2770" t="str">
        <x:f t="shared" si="69"/>
        <x:v/>
      </x:c>
      <x:c r="H30" s="2771" t="str">
        <x:f t="shared" si="70"/>
        <x:v/>
      </x:c>
      <x:c r="I30" s="2772" t="str">
        <x:f t="shared" si="71"/>
        <x:v/>
      </x:c>
      <x:c r="J30" s="2767" t="str">
        <x:f t="shared" si="62"/>
        <x:v/>
      </x:c>
      <x:c r="K30" s="2771" t="str">
        <x:f t="shared" si="63"/>
        <x:v/>
      </x:c>
      <x:c r="L30" s="2773" t="str">
        <x:f t="shared" si="64"/>
        <x:v/>
      </x:c>
      <x:c r="M30" s="2774" t="str">
        <x:f t="shared" si="72"/>
        <x:v/>
      </x:c>
      <x:c r="N30" s="2775" t="str">
        <x:f t="shared" si="72"/>
        <x:v/>
      </x:c>
      <x:c r="O30" s="2770" t="str">
        <x:f t="shared" si="73"/>
        <x:v/>
      </x:c>
      <x:c r="P30" s="2771" t="str">
        <x:f t="shared" si="74"/>
        <x:v/>
      </x:c>
      <x:c r="Q30" s="2767" t="str">
        <x:f t="shared" si="75"/>
        <x:v/>
      </x:c>
      <x:c r="R30" s="2768" t="str">
        <x:f t="shared" si="76"/>
        <x:v/>
      </x:c>
      <x:c r="S30" s="2776" t="str">
        <x:f t="shared" si="77"/>
        <x:v/>
      </x:c>
      <x:c r="T30" s="2771" t="str">
        <x:f t="shared" si="78"/>
        <x:v/>
      </x:c>
      <x:c r="U30" s="2767" t="str">
        <x:f t="shared" si="79"/>
        <x:v/>
      </x:c>
      <x:c r="V30" s="2771" t="str">
        <x:f t="shared" si="80"/>
        <x:v/>
      </x:c>
      <x:c r="W30" s="2775">
        <x:f t="shared" si="81"/>
        <x:v>0</x:v>
      </x:c>
      <x:c r="X30" s="2777" t="str">
        <x:f t="shared" si="0"/>
        <x:v/>
      </x:c>
      <x:c r="Y30" s="2778" t="str">
        <x:f t="shared" si="1"/>
        <x:v/>
      </x:c>
      <x:c r="Z30" s="2779" t="s">
        <x:v>116</x:v>
      </x:c>
      <x:c r="AA30" s="2839" t="str">
        <x:f t="shared" si="2"/>
        <x:v/>
      </x:c>
      <x:c r="AB30" s="2764" t="str">
        <x:f t="shared" si="82"/>
        <x:v/>
      </x:c>
      <x:c r="AC30" s="2772" t="str">
        <x:f t="shared" si="83"/>
        <x:v/>
      </x:c>
      <x:c r="AD30" s="2767" t="str">
        <x:f t="shared" ca="1" si="84"/>
        <x:v/>
      </x:c>
      <x:c r="AE30" s="2771" t="str">
        <x:f t="shared" ca="1" si="85"/>
        <x:v/>
      </x:c>
      <x:c r="AF30" s="2772" t="str">
        <x:f t="shared" ca="1" si="86"/>
        <x:v/>
      </x:c>
      <x:c r="AG30" s="2767" t="str">
        <x:f t="shared" ca="1" si="87"/>
        <x:v/>
      </x:c>
      <x:c r="AH30" s="2771" t="str">
        <x:f t="shared" ca="1" si="88"/>
        <x:v/>
      </x:c>
      <x:c r="AI30" s="2767" t="str">
        <x:f t="shared" ca="1" si="89"/>
        <x:v/>
      </x:c>
      <x:c r="AJ30" s="2771" t="str">
        <x:f t="shared" ca="1" si="90"/>
        <x:v/>
      </x:c>
      <x:c r="AK30" s="2813" t="str">
        <x:f t="shared" si="3"/>
        <x:v/>
      </x:c>
      <x:c r="AL30" s="2814" t="str">
        <x:f t="shared" si="91"/>
        <x:v/>
      </x:c>
      <x:c r="AM30" s="2815" t="str">
        <x:f t="shared" si="3"/>
        <x:v/>
      </x:c>
      <x:c r="AN30" s="2772" t="str">
        <x:f t="shared" si="3"/>
        <x:v/>
      </x:c>
      <x:c r="AO30" s="2775" t="str">
        <x:f t="shared" si="3"/>
        <x:v/>
      </x:c>
      <x:c r="AP30" s="2774" t="str">
        <x:f t="shared" si="4"/>
        <x:v/>
      </x:c>
      <x:c r="AQ30" s="2817" t="str">
        <x:f t="shared" si="4"/>
        <x:v/>
      </x:c>
      <x:c r="AR30" s="2770" t="str">
        <x:f t="shared" si="5"/>
        <x:v/>
      </x:c>
      <x:c r="AS30" s="2771" t="str">
        <x:f t="shared" si="6"/>
        <x:v/>
      </x:c>
      <x:c r="AT30" s="2818" t="str">
        <x:f t="shared" si="7"/>
        <x:v/>
      </x:c>
      <x:c r="AU30" s="2819" t="str">
        <x:f t="shared" si="8"/>
        <x:v/>
      </x:c>
      <x:c r="AV30" s="2776" t="str">
        <x:f t="shared" si="9"/>
        <x:v/>
      </x:c>
      <x:c r="AW30" s="2771" t="str">
        <x:f t="shared" si="10"/>
        <x:v/>
      </x:c>
      <x:c r="AX30" s="2818" t="str">
        <x:f t="shared" si="11"/>
        <x:v/>
      </x:c>
      <x:c r="AY30" s="2819" t="str">
        <x:f t="shared" si="12"/>
        <x:v/>
      </x:c>
      <x:c r="AZ30" s="2776" t="str">
        <x:f t="shared" si="13"/>
        <x:v/>
      </x:c>
      <x:c r="BA30" s="2771" t="str">
        <x:f t="shared" si="14"/>
        <x:v/>
      </x:c>
      <x:c r="BB30" s="2818" t="str">
        <x:f t="shared" si="15"/>
        <x:v/>
      </x:c>
      <x:c r="BC30" s="2819" t="str">
        <x:f t="shared" si="16"/>
        <x:v/>
      </x:c>
      <x:c r="BD30" s="2776" t="str">
        <x:f t="shared" si="17"/>
        <x:v/>
      </x:c>
      <x:c r="BE30" s="2771" t="str">
        <x:f t="shared" si="18"/>
        <x:v/>
      </x:c>
      <x:c r="BF30" s="2818" t="str">
        <x:f t="shared" si="19"/>
        <x:v/>
      </x:c>
      <x:c r="BG30" s="2819" t="str">
        <x:f t="shared" si="20"/>
        <x:v/>
      </x:c>
      <x:c r="BH30" s="1416"/>
      <x:c r="BJ30" s="995" t="str">
        <x:f t="shared" si="59"/>
        <x:v/>
      </x:c>
      <x:c r="BK30" s="993" t="b">
        <x:f t="shared" si="21"/>
        <x:v>0</x:v>
      </x:c>
      <x:c r="BL30" s="1800" t="b">
        <x:v>0</x:v>
      </x:c>
      <x:c r="BM30" s="989">
        <x:f t="shared" si="22"/>
        <x:v>0</x:v>
      </x:c>
      <x:c r="BN30" s="989">
        <x:f t="shared" si="23"/>
        <x:v>0</x:v>
      </x:c>
      <x:c r="BO30" s="989">
        <x:f t="shared" si="24"/>
        <x:v>0</x:v>
      </x:c>
      <x:c r="BP30" s="989">
        <x:f t="shared" si="25"/>
        <x:v>0</x:v>
      </x:c>
      <x:c r="BQ30" s="989">
        <x:f t="shared" si="26"/>
        <x:v>0</x:v>
      </x:c>
      <x:c r="BR30" s="989" t="b">
        <x:f t="shared" si="27"/>
        <x:v>1</x:v>
      </x:c>
      <x:c r="BS30" s="1302">
        <x:f t="shared" si="28"/>
        <x:v>6</x:v>
      </x:c>
      <x:c r="BT30" s="990" t="str">
        <x:f t="shared" si="29"/>
        <x:v>No</x:v>
      </x:c>
      <x:c r="BU30" s="1302">
        <x:f t="shared" si="30"/>
        <x:v>6</x:v>
      </x:c>
      <x:c r="BV30" s="990" t="str">
        <x:f t="shared" si="31"/>
        <x:v>No</x:v>
      </x:c>
      <x:c r="BW30" s="991">
        <x:f t="shared" ca="1" si="32"/>
        <x:v>0</x:v>
      </x:c>
      <x:c r="BX30" s="991" t="str">
        <x:f t="shared" ca="1" si="33"/>
        <x:v/>
      </x:c>
      <x:c r="BY30" s="991" t="b">
        <x:f t="shared" ca="1" si="34"/>
        <x:v>0</x:v>
      </x:c>
      <x:c r="BZ30" s="991" t="b">
        <x:f t="shared" si="52"/>
        <x:v>0</x:v>
      </x:c>
      <x:c r="CB30" s="672"/>
      <x:c r="CC30" s="1684"/>
      <x:c r="CD30" s="699"/>
      <x:c r="CE30" s="700"/>
      <x:c r="CF30" s="701"/>
      <x:c r="CG30" s="672"/>
      <x:c r="CH30" s="713"/>
      <x:c r="CI30" s="714"/>
      <x:c r="CJ30" s="713"/>
      <x:c r="CK30" s="714"/>
      <x:c r="CL30" s="715"/>
      <x:c r="CM30" s="743"/>
      <x:c r="CN30" s="738"/>
      <x:c r="CO30" s="1551"/>
      <x:c r="CP30" s="910"/>
      <x:c r="CQ30" s="672"/>
      <x:c r="CR30" s="713"/>
      <x:c r="CS30" s="714"/>
      <x:c r="CT30" s="713"/>
      <x:c r="CU30" s="714"/>
      <x:c r="CV30" s="715"/>
      <x:c r="CW30" s="743"/>
      <x:c r="CX30" s="738"/>
      <x:c r="CY30" s="1551"/>
      <x:c r="CZ30" s="910"/>
      <x:c r="DA30" s="717"/>
      <x:c r="DB30" s="702"/>
      <x:c r="DC30" s="703"/>
      <x:c r="DD30" s="725"/>
      <x:c r="DE30" s="726"/>
      <x:c r="DF30" s="141"/>
      <x:c r="DG30" s="141"/>
      <x:c r="DH30" s="672"/>
      <x:c r="DI30" s="673"/>
      <x:c r="DJ30" s="692"/>
      <x:c r="DK30" s="1331"/>
      <x:c r="DL30" s="674"/>
      <x:c r="DM30" s="693"/>
      <x:c r="DN30" s="1334"/>
      <x:c r="DO30" s="675"/>
      <x:c r="DP30" s="676"/>
      <x:c r="DQ30" s="1419"/>
      <x:c r="DR30" s="677"/>
      <x:c r="DS30" s="1419"/>
      <x:c r="DT30" s="1421"/>
      <x:c r="DU30" s="1422"/>
      <x:c r="DV30" s="678"/>
      <x:c r="DW30" s="1336"/>
      <x:c r="DX30" s="679"/>
      <x:c r="DY30" s="674"/>
      <x:c r="DZ30" s="678"/>
      <x:c r="EA30" s="1336"/>
      <x:c r="EB30" s="679"/>
      <x:c r="EC30" s="674"/>
      <x:c r="ED30" s="678"/>
      <x:c r="EE30" s="1336"/>
      <x:c r="EF30" s="679"/>
      <x:c r="EG30" s="674"/>
      <x:c r="EH30" s="678"/>
      <x:c r="EI30" s="1336"/>
      <x:c r="EJ30" s="679"/>
      <x:c r="EK30" s="680"/>
      <x:c r="EL30" s="241"/>
      <x:c r="EM30" s="1631" t="str">
        <x:f t="shared" si="35"/>
        <x:v/>
      </x:c>
      <x:c r="EN30" s="1428" t="str">
        <x:f t="shared" si="36"/>
        <x:v/>
      </x:c>
      <x:c r="EO30" s="1429" t="str">
        <x:f t="shared" si="37"/>
        <x:v/>
      </x:c>
      <x:c r="EP30" s="1430" t="str">
        <x:f t="shared" si="38"/>
        <x:v/>
      </x:c>
      <x:c r="EQ30" s="1434" t="str">
        <x:f t="shared" si="39"/>
        <x:v/>
      </x:c>
      <x:c r="ER30" s="1440" t="str">
        <x:f t="shared" si="40"/>
        <x:v/>
      </x:c>
      <x:c r="ES30" s="1441" t="str">
        <x:f t="shared" si="41"/>
        <x:v/>
      </x:c>
      <x:c r="ET30" s="1442" t="str">
        <x:f t="shared" si="42"/>
        <x:v/>
      </x:c>
      <x:c r="EU30" s="1443" t="str">
        <x:f t="shared" si="53"/>
        <x:v/>
      </x:c>
      <x:c r="EX30" s="503" t="str">
        <x:f t="shared" ca="1" si="54"/>
        <x:v/>
      </x:c>
      <x:c r="EY30" s="940" t="str">
        <x:f t="shared" si="43"/>
        <x:v/>
      </x:c>
      <x:c r="EZ30" s="940" t="str">
        <x:f t="shared" si="55"/>
        <x:v/>
      </x:c>
      <x:c r="FA30" s="958" t="str">
        <x:f t="shared" ca="1" si="60"/>
        <x:v/>
      </x:c>
      <x:c r="FB30" s="134" t="str">
        <x:f t="shared" ca="1" si="56"/>
        <x:v/>
      </x:c>
      <x:c r="FC30" s="134">
        <x:f t="shared" ca="1" si="44"/>
        <x:v>0</x:v>
      </x:c>
      <x:c r="FD30" s="134">
        <x:f t="shared" ca="1" si="45"/>
        <x:v>0</x:v>
      </x:c>
      <x:c r="FE30" s="134">
        <x:f t="shared" ca="1" si="46"/>
        <x:v>0</x:v>
      </x:c>
      <x:c r="FF30" s="134">
        <x:f t="shared" ca="1" si="57"/>
        <x:v>0</x:v>
      </x:c>
      <x:c r="FN30" s="754" t="b">
        <x:v>0</x:v>
      </x:c>
      <x:c r="FO30" s="755" t="b">
        <x:f t="shared" si="47"/>
        <x:v>1</x:v>
      </x:c>
      <x:c r="FP30" s="755" t="b">
        <x:v>0</x:v>
      </x:c>
      <x:c r="FQ30" s="755" t="b">
        <x:f t="shared" si="58"/>
        <x:v>1</x:v>
      </x:c>
      <x:c r="FW30" s="2"/>
      <x:c r="FX30" s="2"/>
      <x:c r="FZ30" s="2"/>
      <x:c r="GA30" s="1761" t="str">
        <x:f t="shared" si="92"/>
        <x:v/>
      </x:c>
      <x:c r="GB30" s="1762" t="str">
        <x:f t="shared" si="93"/>
        <x:v/>
      </x:c>
      <x:c r="GC30" s="1763" t="str">
        <x:f t="shared" si="94"/>
        <x:v/>
      </x:c>
      <x:c r="GD30" s="1764" t="str">
        <x:f t="shared" si="95"/>
        <x:v/>
      </x:c>
      <x:c r="GE30" s="1765" t="str">
        <x:f t="shared" si="48"/>
        <x:v/>
      </x:c>
      <x:c r="GF30" s="582" t="str">
        <x:f t="shared" si="49"/>
        <x:v/>
      </x:c>
      <x:c r="GG30" s="692"/>
      <x:c r="GH30" s="1135"/>
      <x:c r="GI30" s="692"/>
      <x:c r="GJ30" s="1135"/>
      <x:c r="GK30" s="1640">
        <x:f t="shared" si="50"/>
        <x:v>0</x:v>
      </x:c>
      <x:c r="GL30" s="1640" t="e">
        <x:f t="shared" si="51"/>
        <x:v>#VALUE!</x:v>
      </x:c>
      <x:c r="GM30" s="1641" t="e">
        <x:f>IF(ABS(GK30-GL30)&gt;='Job Info.'!$L$22,ABS(GK30-GL30),0)</x:f>
        <x:v>#VALUE!</x:v>
      </x:c>
      <x:c r="GZ30" s="130"/>
      <x:c r="HA30" s="1241"/>
      <x:c r="HB30" s="1242"/>
      <x:c r="HC30" s="1242"/>
      <x:c r="HD30" s="1243"/>
      <x:c r="HE30" s="1244"/>
      <x:c r="HF30" s="1242"/>
      <x:c r="HG30" s="1242"/>
      <x:c r="HH30" s="1242"/>
      <x:c r="HI30" s="1242"/>
      <x:c r="HJ30" s="1242"/>
      <x:c r="HK30" s="1242"/>
      <x:c r="HL30" s="1242"/>
      <x:c r="HM30" s="1242"/>
      <x:c r="HN30" s="1242"/>
      <x:c r="HO30" s="1242"/>
      <x:c r="HP30" s="1242"/>
      <x:c r="HQ30" s="1242"/>
      <x:c r="HR30" s="1242"/>
      <x:c r="HS30" s="1242"/>
      <x:c r="HT30" s="1242"/>
      <x:c r="HU30" s="1242"/>
      <x:c r="HV30" s="1242"/>
      <x:c r="HW30" s="1242"/>
      <x:c r="HX30" s="1242"/>
      <x:c r="HY30" s="1246"/>
      <x:c r="HZ30" s="1246"/>
      <x:c r="IA30" s="1246"/>
      <x:c r="IB30" s="1246"/>
      <x:c r="IC30" s="1246"/>
      <x:c r="ID30" s="1261"/>
      <x:c r="IE30" s="1241"/>
      <x:c r="IF30" s="1242"/>
      <x:c r="IG30" s="1243"/>
      <x:c r="IH30" s="1244"/>
      <x:c r="II30" s="1242"/>
      <x:c r="IJ30" s="1243"/>
      <x:c r="IK30" s="1244"/>
      <x:c r="IL30" s="1242"/>
      <x:c r="IM30" s="1242"/>
      <x:c r="IN30" s="1242"/>
      <x:c r="IO30" s="1242"/>
      <x:c r="IP30" s="1242"/>
      <x:c r="IQ30" s="1242"/>
      <x:c r="IR30" s="1242"/>
      <x:c r="IS30" s="1243"/>
      <x:c r="IT30" s="1244"/>
      <x:c r="IU30" s="1242"/>
      <x:c r="IV30" s="1242"/>
      <x:c r="IW30" s="1243"/>
      <x:c r="IX30" s="1244"/>
      <x:c r="IY30" s="1242"/>
      <x:c r="IZ30" s="1242"/>
      <x:c r="JA30" s="1243"/>
      <x:c r="JB30" s="1244"/>
      <x:c r="JC30" s="1242"/>
      <x:c r="JD30" s="1242"/>
      <x:c r="JE30" s="1243"/>
      <x:c r="JF30" s="1244"/>
      <x:c r="JG30" s="1242"/>
      <x:c r="JH30" s="1242"/>
      <x:c r="JI30" s="1242"/>
      <x:c r="JJ30" s="1248"/>
      <x:c r="JK30" s="1242"/>
      <x:c r="JL30" s="1171">
        <x:f t="shared" ca="1" si="61"/>
        <x:v>0</x:v>
      </x:c>
    </x:row>
    <x:row r="31" spans="1:272" s="145" customFormat="1" ht="12.6" customHeight="1" x14ac:dyDescent="0.25">
      <x:c r="A31" s="2764" t="str">
        <x:f t="shared" si="65"/>
        <x:v/>
      </x:c>
      <x:c r="B31" s="2765"/>
      <x:c r="C31" s="2766" t="str">
        <x:f t="shared" si="65"/>
        <x:v/>
      </x:c>
      <x:c r="D31" s="2767" t="str">
        <x:f t="shared" si="66"/>
        <x:v/>
      </x:c>
      <x:c r="E31" s="2768" t="str">
        <x:f t="shared" si="67"/>
        <x:v/>
      </x:c>
      <x:c r="F31" s="2769" t="str">
        <x:f t="shared" si="68"/>
        <x:v/>
      </x:c>
      <x:c r="G31" s="2770" t="str">
        <x:f t="shared" si="69"/>
        <x:v/>
      </x:c>
      <x:c r="H31" s="2771" t="str">
        <x:f t="shared" si="70"/>
        <x:v/>
      </x:c>
      <x:c r="I31" s="2772" t="str">
        <x:f t="shared" si="71"/>
        <x:v/>
      </x:c>
      <x:c r="J31" s="2767" t="str">
        <x:f t="shared" si="62"/>
        <x:v/>
      </x:c>
      <x:c r="K31" s="2771" t="str">
        <x:f t="shared" si="63"/>
        <x:v/>
      </x:c>
      <x:c r="L31" s="2773" t="str">
        <x:f t="shared" si="64"/>
        <x:v/>
      </x:c>
      <x:c r="M31" s="2774" t="str">
        <x:f t="shared" si="72"/>
        <x:v/>
      </x:c>
      <x:c r="N31" s="2775" t="str">
        <x:f t="shared" si="72"/>
        <x:v/>
      </x:c>
      <x:c r="O31" s="2770" t="str">
        <x:f t="shared" si="73"/>
        <x:v/>
      </x:c>
      <x:c r="P31" s="2771" t="str">
        <x:f t="shared" si="74"/>
        <x:v/>
      </x:c>
      <x:c r="Q31" s="2767" t="str">
        <x:f t="shared" si="75"/>
        <x:v/>
      </x:c>
      <x:c r="R31" s="2768" t="str">
        <x:f t="shared" si="76"/>
        <x:v/>
      </x:c>
      <x:c r="S31" s="2776" t="str">
        <x:f t="shared" si="77"/>
        <x:v/>
      </x:c>
      <x:c r="T31" s="2771" t="str">
        <x:f t="shared" si="78"/>
        <x:v/>
      </x:c>
      <x:c r="U31" s="2767" t="str">
        <x:f t="shared" si="79"/>
        <x:v/>
      </x:c>
      <x:c r="V31" s="2771" t="str">
        <x:f t="shared" si="80"/>
        <x:v/>
      </x:c>
      <x:c r="W31" s="2775">
        <x:f t="shared" si="81"/>
        <x:v>0</x:v>
      </x:c>
      <x:c r="X31" s="2777" t="str">
        <x:f t="shared" si="0"/>
        <x:v/>
      </x:c>
      <x:c r="Y31" s="2778" t="str">
        <x:f t="shared" si="1"/>
        <x:v/>
      </x:c>
      <x:c r="Z31" s="2779" t="s">
        <x:v>116</x:v>
      </x:c>
      <x:c r="AA31" s="2839" t="str">
        <x:f t="shared" si="2"/>
        <x:v/>
      </x:c>
      <x:c r="AB31" s="2764" t="str">
        <x:f t="shared" si="82"/>
        <x:v/>
      </x:c>
      <x:c r="AC31" s="2772" t="str">
        <x:f t="shared" si="83"/>
        <x:v/>
      </x:c>
      <x:c r="AD31" s="2767" t="str">
        <x:f t="shared" ca="1" si="84"/>
        <x:v/>
      </x:c>
      <x:c r="AE31" s="2771" t="str">
        <x:f t="shared" ca="1" si="85"/>
        <x:v/>
      </x:c>
      <x:c r="AF31" s="2772" t="str">
        <x:f t="shared" ca="1" si="86"/>
        <x:v/>
      </x:c>
      <x:c r="AG31" s="2767" t="str">
        <x:f t="shared" ca="1" si="87"/>
        <x:v/>
      </x:c>
      <x:c r="AH31" s="2771" t="str">
        <x:f t="shared" ca="1" si="88"/>
        <x:v/>
      </x:c>
      <x:c r="AI31" s="2767" t="str">
        <x:f t="shared" ca="1" si="89"/>
        <x:v/>
      </x:c>
      <x:c r="AJ31" s="2771" t="str">
        <x:f t="shared" ca="1" si="90"/>
        <x:v/>
      </x:c>
      <x:c r="AK31" s="2813" t="str">
        <x:f t="shared" si="3"/>
        <x:v/>
      </x:c>
      <x:c r="AL31" s="2814" t="str">
        <x:f t="shared" si="91"/>
        <x:v/>
      </x:c>
      <x:c r="AM31" s="2815" t="str">
        <x:f t="shared" si="3"/>
        <x:v/>
      </x:c>
      <x:c r="AN31" s="2772" t="str">
        <x:f t="shared" si="3"/>
        <x:v/>
      </x:c>
      <x:c r="AO31" s="2775" t="str">
        <x:f t="shared" si="3"/>
        <x:v/>
      </x:c>
      <x:c r="AP31" s="2774" t="str">
        <x:f t="shared" si="4"/>
        <x:v/>
      </x:c>
      <x:c r="AQ31" s="2817" t="str">
        <x:f t="shared" si="4"/>
        <x:v/>
      </x:c>
      <x:c r="AR31" s="2770" t="str">
        <x:f t="shared" si="5"/>
        <x:v/>
      </x:c>
      <x:c r="AS31" s="2771" t="str">
        <x:f t="shared" si="6"/>
        <x:v/>
      </x:c>
      <x:c r="AT31" s="2818" t="str">
        <x:f t="shared" si="7"/>
        <x:v/>
      </x:c>
      <x:c r="AU31" s="2819" t="str">
        <x:f t="shared" si="8"/>
        <x:v/>
      </x:c>
      <x:c r="AV31" s="2776" t="str">
        <x:f t="shared" si="9"/>
        <x:v/>
      </x:c>
      <x:c r="AW31" s="2771" t="str">
        <x:f t="shared" si="10"/>
        <x:v/>
      </x:c>
      <x:c r="AX31" s="2818" t="str">
        <x:f t="shared" si="11"/>
        <x:v/>
      </x:c>
      <x:c r="AY31" s="2819" t="str">
        <x:f t="shared" si="12"/>
        <x:v/>
      </x:c>
      <x:c r="AZ31" s="2776" t="str">
        <x:f t="shared" si="13"/>
        <x:v/>
      </x:c>
      <x:c r="BA31" s="2771" t="str">
        <x:f t="shared" si="14"/>
        <x:v/>
      </x:c>
      <x:c r="BB31" s="2818" t="str">
        <x:f t="shared" si="15"/>
        <x:v/>
      </x:c>
      <x:c r="BC31" s="2819" t="str">
        <x:f t="shared" si="16"/>
        <x:v/>
      </x:c>
      <x:c r="BD31" s="2776" t="str">
        <x:f t="shared" si="17"/>
        <x:v/>
      </x:c>
      <x:c r="BE31" s="2771" t="str">
        <x:f t="shared" si="18"/>
        <x:v/>
      </x:c>
      <x:c r="BF31" s="2818" t="str">
        <x:f t="shared" si="19"/>
        <x:v/>
      </x:c>
      <x:c r="BG31" s="2819" t="str">
        <x:f t="shared" si="20"/>
        <x:v/>
      </x:c>
      <x:c r="BH31" s="1416"/>
      <x:c r="BJ31" s="995" t="str">
        <x:f t="shared" si="59"/>
        <x:v/>
      </x:c>
      <x:c r="BK31" s="993" t="b">
        <x:f t="shared" si="21"/>
        <x:v>0</x:v>
      </x:c>
      <x:c r="BL31" s="1800" t="b">
        <x:v>0</x:v>
      </x:c>
      <x:c r="BM31" s="989">
        <x:f t="shared" si="22"/>
        <x:v>0</x:v>
      </x:c>
      <x:c r="BN31" s="989">
        <x:f t="shared" si="23"/>
        <x:v>0</x:v>
      </x:c>
      <x:c r="BO31" s="989">
        <x:f t="shared" si="24"/>
        <x:v>0</x:v>
      </x:c>
      <x:c r="BP31" s="989">
        <x:f t="shared" si="25"/>
        <x:v>0</x:v>
      </x:c>
      <x:c r="BQ31" s="989">
        <x:f t="shared" si="26"/>
        <x:v>0</x:v>
      </x:c>
      <x:c r="BR31" s="989" t="b">
        <x:f t="shared" si="27"/>
        <x:v>1</x:v>
      </x:c>
      <x:c r="BS31" s="1302">
        <x:f t="shared" si="28"/>
        <x:v>6</x:v>
      </x:c>
      <x:c r="BT31" s="990" t="str">
        <x:f t="shared" si="29"/>
        <x:v>No</x:v>
      </x:c>
      <x:c r="BU31" s="1302">
        <x:f t="shared" si="30"/>
        <x:v>6</x:v>
      </x:c>
      <x:c r="BV31" s="990" t="str">
        <x:f t="shared" si="31"/>
        <x:v>No</x:v>
      </x:c>
      <x:c r="BW31" s="991">
        <x:f t="shared" ca="1" si="32"/>
        <x:v>0</x:v>
      </x:c>
      <x:c r="BX31" s="991" t="str">
        <x:f t="shared" ca="1" si="33"/>
        <x:v/>
      </x:c>
      <x:c r="BY31" s="991" t="b">
        <x:f t="shared" ca="1" si="34"/>
        <x:v>0</x:v>
      </x:c>
      <x:c r="BZ31" s="991" t="b">
        <x:f t="shared" si="52"/>
        <x:v>0</x:v>
      </x:c>
      <x:c r="CB31" s="672"/>
      <x:c r="CC31" s="1684"/>
      <x:c r="CD31" s="699"/>
      <x:c r="CE31" s="700"/>
      <x:c r="CF31" s="701"/>
      <x:c r="CG31" s="672"/>
      <x:c r="CH31" s="713"/>
      <x:c r="CI31" s="714"/>
      <x:c r="CJ31" s="713"/>
      <x:c r="CK31" s="714"/>
      <x:c r="CL31" s="715"/>
      <x:c r="CM31" s="743"/>
      <x:c r="CN31" s="738"/>
      <x:c r="CO31" s="1551"/>
      <x:c r="CP31" s="910"/>
      <x:c r="CQ31" s="672"/>
      <x:c r="CR31" s="713"/>
      <x:c r="CS31" s="714"/>
      <x:c r="CT31" s="713"/>
      <x:c r="CU31" s="714"/>
      <x:c r="CV31" s="715"/>
      <x:c r="CW31" s="743"/>
      <x:c r="CX31" s="738"/>
      <x:c r="CY31" s="1551"/>
      <x:c r="CZ31" s="910"/>
      <x:c r="DA31" s="717"/>
      <x:c r="DB31" s="702"/>
      <x:c r="DC31" s="703"/>
      <x:c r="DD31" s="725"/>
      <x:c r="DE31" s="726"/>
      <x:c r="DF31" s="141"/>
      <x:c r="DG31" s="141"/>
      <x:c r="DH31" s="672"/>
      <x:c r="DI31" s="673"/>
      <x:c r="DJ31" s="692"/>
      <x:c r="DK31" s="1331"/>
      <x:c r="DL31" s="674"/>
      <x:c r="DM31" s="693"/>
      <x:c r="DN31" s="1334"/>
      <x:c r="DO31" s="675"/>
      <x:c r="DP31" s="676"/>
      <x:c r="DQ31" s="1419"/>
      <x:c r="DR31" s="677"/>
      <x:c r="DS31" s="1419"/>
      <x:c r="DT31" s="1421"/>
      <x:c r="DU31" s="1422"/>
      <x:c r="DV31" s="678"/>
      <x:c r="DW31" s="1336"/>
      <x:c r="DX31" s="679"/>
      <x:c r="DY31" s="674"/>
      <x:c r="DZ31" s="678"/>
      <x:c r="EA31" s="1336"/>
      <x:c r="EB31" s="679"/>
      <x:c r="EC31" s="674"/>
      <x:c r="ED31" s="678"/>
      <x:c r="EE31" s="1336"/>
      <x:c r="EF31" s="679"/>
      <x:c r="EG31" s="674"/>
      <x:c r="EH31" s="678"/>
      <x:c r="EI31" s="1336"/>
      <x:c r="EJ31" s="679"/>
      <x:c r="EK31" s="680"/>
      <x:c r="EL31" s="241"/>
      <x:c r="EM31" s="1631" t="str">
        <x:f t="shared" si="35"/>
        <x:v/>
      </x:c>
      <x:c r="EN31" s="1428" t="str">
        <x:f t="shared" si="36"/>
        <x:v/>
      </x:c>
      <x:c r="EO31" s="1429" t="str">
        <x:f t="shared" si="37"/>
        <x:v/>
      </x:c>
      <x:c r="EP31" s="1430" t="str">
        <x:f t="shared" si="38"/>
        <x:v/>
      </x:c>
      <x:c r="EQ31" s="1434" t="str">
        <x:f t="shared" si="39"/>
        <x:v/>
      </x:c>
      <x:c r="ER31" s="1440" t="str">
        <x:f t="shared" si="40"/>
        <x:v/>
      </x:c>
      <x:c r="ES31" s="1441" t="str">
        <x:f t="shared" si="41"/>
        <x:v/>
      </x:c>
      <x:c r="ET31" s="1442" t="str">
        <x:f t="shared" si="42"/>
        <x:v/>
      </x:c>
      <x:c r="EU31" s="1443" t="str">
        <x:f t="shared" si="53"/>
        <x:v/>
      </x:c>
      <x:c r="EX31" s="503" t="str">
        <x:f t="shared" ca="1" si="54"/>
        <x:v/>
      </x:c>
      <x:c r="EY31" s="940" t="str">
        <x:f t="shared" si="43"/>
        <x:v/>
      </x:c>
      <x:c r="EZ31" s="940" t="str">
        <x:f t="shared" si="55"/>
        <x:v/>
      </x:c>
      <x:c r="FA31" s="958" t="str">
        <x:f t="shared" ca="1" si="60"/>
        <x:v/>
      </x:c>
      <x:c r="FB31" s="134" t="str">
        <x:f t="shared" ca="1" si="56"/>
        <x:v/>
      </x:c>
      <x:c r="FC31" s="134">
        <x:f t="shared" ca="1" si="44"/>
        <x:v>0</x:v>
      </x:c>
      <x:c r="FD31" s="134">
        <x:f t="shared" ca="1" si="45"/>
        <x:v>0</x:v>
      </x:c>
      <x:c r="FE31" s="134">
        <x:f t="shared" ca="1" si="46"/>
        <x:v>0</x:v>
      </x:c>
      <x:c r="FF31" s="134">
        <x:f t="shared" ca="1" si="57"/>
        <x:v>0</x:v>
      </x:c>
      <x:c r="FN31" s="754" t="b">
        <x:v>0</x:v>
      </x:c>
      <x:c r="FO31" s="755" t="b">
        <x:f t="shared" si="47"/>
        <x:v>1</x:v>
      </x:c>
      <x:c r="FP31" s="755" t="b">
        <x:v>0</x:v>
      </x:c>
      <x:c r="FQ31" s="755" t="b">
        <x:f t="shared" si="58"/>
        <x:v>1</x:v>
      </x:c>
      <x:c r="FW31" s="2"/>
      <x:c r="FX31" s="2"/>
      <x:c r="FZ31" s="2"/>
      <x:c r="GA31" s="1761" t="str">
        <x:f t="shared" si="92"/>
        <x:v/>
      </x:c>
      <x:c r="GB31" s="1762" t="str">
        <x:f t="shared" si="93"/>
        <x:v/>
      </x:c>
      <x:c r="GC31" s="1763" t="str">
        <x:f t="shared" si="94"/>
        <x:v/>
      </x:c>
      <x:c r="GD31" s="1764" t="str">
        <x:f t="shared" si="95"/>
        <x:v/>
      </x:c>
      <x:c r="GE31" s="1765" t="str">
        <x:f t="shared" si="48"/>
        <x:v/>
      </x:c>
      <x:c r="GF31" s="582" t="str">
        <x:f t="shared" si="49"/>
        <x:v/>
      </x:c>
      <x:c r="GG31" s="692"/>
      <x:c r="GH31" s="1135"/>
      <x:c r="GI31" s="692"/>
      <x:c r="GJ31" s="1135"/>
      <x:c r="GK31" s="1640">
        <x:f t="shared" si="50"/>
        <x:v>0</x:v>
      </x:c>
      <x:c r="GL31" s="1640" t="e">
        <x:f t="shared" si="51"/>
        <x:v>#VALUE!</x:v>
      </x:c>
      <x:c r="GM31" s="1641" t="e">
        <x:f>IF(ABS(GK31-GL31)&gt;='Job Info.'!$L$22,ABS(GK31-GL31),0)</x:f>
        <x:v>#VALUE!</x:v>
      </x:c>
      <x:c r="GZ31" s="130"/>
      <x:c r="HA31" s="1241"/>
      <x:c r="HB31" s="1242"/>
      <x:c r="HC31" s="1242"/>
      <x:c r="HD31" s="1243"/>
      <x:c r="HE31" s="1244"/>
      <x:c r="HF31" s="1242"/>
      <x:c r="HG31" s="1242"/>
      <x:c r="HH31" s="1242"/>
      <x:c r="HI31" s="1242"/>
      <x:c r="HJ31" s="1242"/>
      <x:c r="HK31" s="1242"/>
      <x:c r="HL31" s="1242"/>
      <x:c r="HM31" s="1242"/>
      <x:c r="HN31" s="1242"/>
      <x:c r="HO31" s="1242"/>
      <x:c r="HP31" s="1242"/>
      <x:c r="HQ31" s="1242"/>
      <x:c r="HR31" s="1242"/>
      <x:c r="HS31" s="1242"/>
      <x:c r="HT31" s="1242"/>
      <x:c r="HU31" s="1242"/>
      <x:c r="HV31" s="1242"/>
      <x:c r="HW31" s="1242"/>
      <x:c r="HX31" s="1242"/>
      <x:c r="HY31" s="1246"/>
      <x:c r="HZ31" s="1246"/>
      <x:c r="IA31" s="1246"/>
      <x:c r="IB31" s="1246"/>
      <x:c r="IC31" s="1246"/>
      <x:c r="ID31" s="1261"/>
      <x:c r="IE31" s="1241"/>
      <x:c r="IF31" s="1242"/>
      <x:c r="IG31" s="1243"/>
      <x:c r="IH31" s="1244"/>
      <x:c r="II31" s="1242"/>
      <x:c r="IJ31" s="1243"/>
      <x:c r="IK31" s="1244"/>
      <x:c r="IL31" s="1242"/>
      <x:c r="IM31" s="1242"/>
      <x:c r="IN31" s="1242"/>
      <x:c r="IO31" s="1242"/>
      <x:c r="IP31" s="1242"/>
      <x:c r="IQ31" s="1242"/>
      <x:c r="IR31" s="1242"/>
      <x:c r="IS31" s="1243"/>
      <x:c r="IT31" s="1244"/>
      <x:c r="IU31" s="1242"/>
      <x:c r="IV31" s="1242"/>
      <x:c r="IW31" s="1243"/>
      <x:c r="IX31" s="1244"/>
      <x:c r="IY31" s="1242"/>
      <x:c r="IZ31" s="1242"/>
      <x:c r="JA31" s="1243"/>
      <x:c r="JB31" s="1244"/>
      <x:c r="JC31" s="1242"/>
      <x:c r="JD31" s="1242"/>
      <x:c r="JE31" s="1243"/>
      <x:c r="JF31" s="1244"/>
      <x:c r="JG31" s="1242"/>
      <x:c r="JH31" s="1242"/>
      <x:c r="JI31" s="1242"/>
      <x:c r="JJ31" s="1248"/>
      <x:c r="JK31" s="1242"/>
      <x:c r="JL31" s="1171">
        <x:f t="shared" ca="1" si="61"/>
        <x:v>0</x:v>
      </x:c>
    </x:row>
    <x:row r="32" spans="1:272" ht="12.6" customHeight="1" x14ac:dyDescent="0.25">
      <x:c r="A32" s="2764" t="str">
        <x:f t="shared" si="65"/>
        <x:v/>
      </x:c>
      <x:c r="B32" s="2765"/>
      <x:c r="C32" s="2766" t="str">
        <x:f t="shared" si="65"/>
        <x:v/>
      </x:c>
      <x:c r="D32" s="2767" t="str">
        <x:f t="shared" si="66"/>
        <x:v/>
      </x:c>
      <x:c r="E32" s="2768" t="str">
        <x:f t="shared" si="67"/>
        <x:v/>
      </x:c>
      <x:c r="F32" s="2769" t="str">
        <x:f t="shared" si="68"/>
        <x:v/>
      </x:c>
      <x:c r="G32" s="2770" t="str">
        <x:f t="shared" si="69"/>
        <x:v/>
      </x:c>
      <x:c r="H32" s="2771" t="str">
        <x:f t="shared" si="70"/>
        <x:v/>
      </x:c>
      <x:c r="I32" s="2772" t="str">
        <x:f t="shared" si="71"/>
        <x:v/>
      </x:c>
      <x:c r="J32" s="2767" t="str">
        <x:f t="shared" si="62"/>
        <x:v/>
      </x:c>
      <x:c r="K32" s="2771" t="str">
        <x:f t="shared" si="63"/>
        <x:v/>
      </x:c>
      <x:c r="L32" s="2773" t="str">
        <x:f t="shared" si="64"/>
        <x:v/>
      </x:c>
      <x:c r="M32" s="2774" t="str">
        <x:f t="shared" si="72"/>
        <x:v/>
      </x:c>
      <x:c r="N32" s="2775" t="str">
        <x:f t="shared" si="72"/>
        <x:v/>
      </x:c>
      <x:c r="O32" s="2770" t="str">
        <x:f t="shared" si="73"/>
        <x:v/>
      </x:c>
      <x:c r="P32" s="2771" t="str">
        <x:f t="shared" si="74"/>
        <x:v/>
      </x:c>
      <x:c r="Q32" s="2767" t="str">
        <x:f t="shared" si="75"/>
        <x:v/>
      </x:c>
      <x:c r="R32" s="2768" t="str">
        <x:f t="shared" si="76"/>
        <x:v/>
      </x:c>
      <x:c r="S32" s="2776" t="str">
        <x:f t="shared" si="77"/>
        <x:v/>
      </x:c>
      <x:c r="T32" s="2771" t="str">
        <x:f t="shared" si="78"/>
        <x:v/>
      </x:c>
      <x:c r="U32" s="2767" t="str">
        <x:f t="shared" si="79"/>
        <x:v/>
      </x:c>
      <x:c r="V32" s="2771" t="str">
        <x:f t="shared" si="80"/>
        <x:v/>
      </x:c>
      <x:c r="W32" s="2775">
        <x:f t="shared" si="81"/>
        <x:v>0</x:v>
      </x:c>
      <x:c r="X32" s="2777" t="str">
        <x:f t="shared" si="0"/>
        <x:v/>
      </x:c>
      <x:c r="Y32" s="2778" t="str">
        <x:f t="shared" si="1"/>
        <x:v/>
      </x:c>
      <x:c r="Z32" s="2779" t="s">
        <x:v>116</x:v>
      </x:c>
      <x:c r="AA32" s="2839" t="str">
        <x:f t="shared" si="2"/>
        <x:v/>
      </x:c>
      <x:c r="AB32" s="2764" t="str">
        <x:f t="shared" si="82"/>
        <x:v/>
      </x:c>
      <x:c r="AC32" s="2772" t="str">
        <x:f t="shared" si="83"/>
        <x:v/>
      </x:c>
      <x:c r="AD32" s="2767" t="str">
        <x:f t="shared" ca="1" si="84"/>
        <x:v/>
      </x:c>
      <x:c r="AE32" s="2771" t="str">
        <x:f t="shared" ca="1" si="85"/>
        <x:v/>
      </x:c>
      <x:c r="AF32" s="2772" t="str">
        <x:f t="shared" ca="1" si="86"/>
        <x:v/>
      </x:c>
      <x:c r="AG32" s="2767" t="str">
        <x:f t="shared" ca="1" si="87"/>
        <x:v/>
      </x:c>
      <x:c r="AH32" s="2771" t="str">
        <x:f t="shared" ca="1" si="88"/>
        <x:v/>
      </x:c>
      <x:c r="AI32" s="2767" t="str">
        <x:f t="shared" ca="1" si="89"/>
        <x:v/>
      </x:c>
      <x:c r="AJ32" s="2771" t="str">
        <x:f t="shared" ca="1" si="90"/>
        <x:v/>
      </x:c>
      <x:c r="AK32" s="2813" t="str">
        <x:f t="shared" si="3"/>
        <x:v/>
      </x:c>
      <x:c r="AL32" s="2814" t="str">
        <x:f t="shared" si="91"/>
        <x:v/>
      </x:c>
      <x:c r="AM32" s="2815" t="str">
        <x:f t="shared" si="3"/>
        <x:v/>
      </x:c>
      <x:c r="AN32" s="2772" t="str">
        <x:f t="shared" si="3"/>
        <x:v/>
      </x:c>
      <x:c r="AO32" s="2775" t="str">
        <x:f t="shared" si="3"/>
        <x:v/>
      </x:c>
      <x:c r="AP32" s="2774" t="str">
        <x:f t="shared" si="4"/>
        <x:v/>
      </x:c>
      <x:c r="AQ32" s="2817" t="str">
        <x:f t="shared" si="4"/>
        <x:v/>
      </x:c>
      <x:c r="AR32" s="2770" t="str">
        <x:f t="shared" si="5"/>
        <x:v/>
      </x:c>
      <x:c r="AS32" s="2771" t="str">
        <x:f t="shared" si="6"/>
        <x:v/>
      </x:c>
      <x:c r="AT32" s="2818" t="str">
        <x:f t="shared" si="7"/>
        <x:v/>
      </x:c>
      <x:c r="AU32" s="2819" t="str">
        <x:f t="shared" si="8"/>
        <x:v/>
      </x:c>
      <x:c r="AV32" s="2776" t="str">
        <x:f t="shared" si="9"/>
        <x:v/>
      </x:c>
      <x:c r="AW32" s="2771" t="str">
        <x:f t="shared" si="10"/>
        <x:v/>
      </x:c>
      <x:c r="AX32" s="2818" t="str">
        <x:f t="shared" si="11"/>
        <x:v/>
      </x:c>
      <x:c r="AY32" s="2819" t="str">
        <x:f t="shared" si="12"/>
        <x:v/>
      </x:c>
      <x:c r="AZ32" s="2776" t="str">
        <x:f t="shared" si="13"/>
        <x:v/>
      </x:c>
      <x:c r="BA32" s="2771" t="str">
        <x:f t="shared" si="14"/>
        <x:v/>
      </x:c>
      <x:c r="BB32" s="2818" t="str">
        <x:f t="shared" si="15"/>
        <x:v/>
      </x:c>
      <x:c r="BC32" s="2819" t="str">
        <x:f t="shared" si="16"/>
        <x:v/>
      </x:c>
      <x:c r="BD32" s="2776" t="str">
        <x:f t="shared" si="17"/>
        <x:v/>
      </x:c>
      <x:c r="BE32" s="2771" t="str">
        <x:f t="shared" si="18"/>
        <x:v/>
      </x:c>
      <x:c r="BF32" s="2818" t="str">
        <x:f t="shared" si="19"/>
        <x:v/>
      </x:c>
      <x:c r="BG32" s="2819" t="str">
        <x:f t="shared" si="20"/>
        <x:v/>
      </x:c>
      <x:c r="BH32" s="1416"/>
      <x:c r="BJ32" s="995" t="str">
        <x:f t="shared" si="59"/>
        <x:v/>
      </x:c>
      <x:c r="BK32" s="993" t="b">
        <x:f t="shared" si="21"/>
        <x:v>0</x:v>
      </x:c>
      <x:c r="BL32" s="1800" t="b">
        <x:v>0</x:v>
      </x:c>
      <x:c r="BM32" s="989">
        <x:f t="shared" si="22"/>
        <x:v>0</x:v>
      </x:c>
      <x:c r="BN32" s="989">
        <x:f t="shared" si="23"/>
        <x:v>0</x:v>
      </x:c>
      <x:c r="BO32" s="989">
        <x:f t="shared" si="24"/>
        <x:v>0</x:v>
      </x:c>
      <x:c r="BP32" s="989">
        <x:f t="shared" si="25"/>
        <x:v>0</x:v>
      </x:c>
      <x:c r="BQ32" s="989">
        <x:f t="shared" si="26"/>
        <x:v>0</x:v>
      </x:c>
      <x:c r="BR32" s="989" t="b">
        <x:f t="shared" si="27"/>
        <x:v>1</x:v>
      </x:c>
      <x:c r="BS32" s="1302">
        <x:f t="shared" si="28"/>
        <x:v>6</x:v>
      </x:c>
      <x:c r="BT32" s="990" t="str">
        <x:f t="shared" si="29"/>
        <x:v>No</x:v>
      </x:c>
      <x:c r="BU32" s="1302">
        <x:f t="shared" si="30"/>
        <x:v>6</x:v>
      </x:c>
      <x:c r="BV32" s="990" t="str">
        <x:f t="shared" si="31"/>
        <x:v>No</x:v>
      </x:c>
      <x:c r="BW32" s="991">
        <x:f t="shared" ca="1" si="32"/>
        <x:v>0</x:v>
      </x:c>
      <x:c r="BX32" s="991" t="str">
        <x:f t="shared" ca="1" si="33"/>
        <x:v/>
      </x:c>
      <x:c r="BY32" s="991" t="b">
        <x:f t="shared" ca="1" si="34"/>
        <x:v>0</x:v>
      </x:c>
      <x:c r="BZ32" s="991" t="b">
        <x:f t="shared" si="52"/>
        <x:v>0</x:v>
      </x:c>
      <x:c r="CB32" s="672"/>
      <x:c r="CC32" s="1684"/>
      <x:c r="CD32" s="699"/>
      <x:c r="CE32" s="700"/>
      <x:c r="CF32" s="701"/>
      <x:c r="CG32" s="672"/>
      <x:c r="CH32" s="713"/>
      <x:c r="CI32" s="714"/>
      <x:c r="CJ32" s="713"/>
      <x:c r="CK32" s="714"/>
      <x:c r="CL32" s="715"/>
      <x:c r="CM32" s="743"/>
      <x:c r="CN32" s="738"/>
      <x:c r="CO32" s="1551"/>
      <x:c r="CP32" s="910"/>
      <x:c r="CQ32" s="672"/>
      <x:c r="CR32" s="713"/>
      <x:c r="CS32" s="714"/>
      <x:c r="CT32" s="713"/>
      <x:c r="CU32" s="714"/>
      <x:c r="CV32" s="715"/>
      <x:c r="CW32" s="743"/>
      <x:c r="CX32" s="738"/>
      <x:c r="CY32" s="1551"/>
      <x:c r="CZ32" s="910"/>
      <x:c r="DA32" s="717"/>
      <x:c r="DB32" s="702"/>
      <x:c r="DC32" s="703"/>
      <x:c r="DD32" s="725"/>
      <x:c r="DE32" s="726"/>
      <x:c r="DF32" s="141"/>
      <x:c r="DG32" s="141"/>
      <x:c r="DH32" s="672"/>
      <x:c r="DI32" s="673"/>
      <x:c r="DJ32" s="692"/>
      <x:c r="DK32" s="1331"/>
      <x:c r="DL32" s="674"/>
      <x:c r="DM32" s="693"/>
      <x:c r="DN32" s="1334"/>
      <x:c r="DO32" s="675"/>
      <x:c r="DP32" s="676"/>
      <x:c r="DQ32" s="1419"/>
      <x:c r="DR32" s="677"/>
      <x:c r="DS32" s="1419"/>
      <x:c r="DT32" s="1421"/>
      <x:c r="DU32" s="1422"/>
      <x:c r="DV32" s="678"/>
      <x:c r="DW32" s="1336"/>
      <x:c r="DX32" s="679"/>
      <x:c r="DY32" s="674"/>
      <x:c r="DZ32" s="678"/>
      <x:c r="EA32" s="1336"/>
      <x:c r="EB32" s="679"/>
      <x:c r="EC32" s="674"/>
      <x:c r="ED32" s="678"/>
      <x:c r="EE32" s="1336"/>
      <x:c r="EF32" s="679"/>
      <x:c r="EG32" s="674"/>
      <x:c r="EH32" s="678"/>
      <x:c r="EI32" s="1336"/>
      <x:c r="EJ32" s="679"/>
      <x:c r="EK32" s="680"/>
      <x:c r="EL32" s="241"/>
      <x:c r="EM32" s="1631" t="str">
        <x:f t="shared" si="35"/>
        <x:v/>
      </x:c>
      <x:c r="EN32" s="1428" t="str">
        <x:f t="shared" si="36"/>
        <x:v/>
      </x:c>
      <x:c r="EO32" s="1429" t="str">
        <x:f t="shared" si="37"/>
        <x:v/>
      </x:c>
      <x:c r="EP32" s="1430" t="str">
        <x:f t="shared" si="38"/>
        <x:v/>
      </x:c>
      <x:c r="EQ32" s="1434" t="str">
        <x:f t="shared" si="39"/>
        <x:v/>
      </x:c>
      <x:c r="ER32" s="1440" t="str">
        <x:f t="shared" si="40"/>
        <x:v/>
      </x:c>
      <x:c r="ES32" s="1441" t="str">
        <x:f t="shared" si="41"/>
        <x:v/>
      </x:c>
      <x:c r="ET32" s="1442" t="str">
        <x:f t="shared" si="42"/>
        <x:v/>
      </x:c>
      <x:c r="EU32" s="1443" t="str">
        <x:f t="shared" si="53"/>
        <x:v/>
      </x:c>
      <x:c r="EX32" s="503" t="str">
        <x:f t="shared" ca="1" si="54"/>
        <x:v/>
      </x:c>
      <x:c r="EY32" s="940" t="str">
        <x:f t="shared" si="43"/>
        <x:v/>
      </x:c>
      <x:c r="EZ32" s="940" t="str">
        <x:f t="shared" si="55"/>
        <x:v/>
      </x:c>
      <x:c r="FA32" s="958" t="str">
        <x:f t="shared" ca="1" si="60"/>
        <x:v/>
      </x:c>
      <x:c r="FB32" s="134" t="str">
        <x:f t="shared" ca="1" si="56"/>
        <x:v/>
      </x:c>
      <x:c r="FC32" s="134">
        <x:f t="shared" ca="1" si="44"/>
        <x:v>0</x:v>
      </x:c>
      <x:c r="FD32" s="134">
        <x:f t="shared" ca="1" si="45"/>
        <x:v>0</x:v>
      </x:c>
      <x:c r="FE32" s="134">
        <x:f t="shared" ca="1" si="46"/>
        <x:v>0</x:v>
      </x:c>
      <x:c r="FF32" s="134">
        <x:f t="shared" ca="1" si="57"/>
        <x:v>0</x:v>
      </x:c>
      <x:c r="FN32" s="754" t="b">
        <x:v>0</x:v>
      </x:c>
      <x:c r="FO32" s="754" t="b">
        <x:f t="shared" si="47"/>
        <x:v>1</x:v>
      </x:c>
      <x:c r="FP32" s="754" t="b">
        <x:v>0</x:v>
      </x:c>
      <x:c r="FQ32" s="754" t="b">
        <x:f t="shared" si="58"/>
        <x:v>1</x:v>
      </x:c>
      <x:c r="FW32" s="2"/>
      <x:c r="FX32" s="2"/>
      <x:c r="FZ32" s="2"/>
      <x:c r="GA32" s="1761" t="str">
        <x:f t="shared" si="92"/>
        <x:v/>
      </x:c>
      <x:c r="GB32" s="1762" t="str">
        <x:f t="shared" si="93"/>
        <x:v/>
      </x:c>
      <x:c r="GC32" s="1763" t="str">
        <x:f t="shared" si="94"/>
        <x:v/>
      </x:c>
      <x:c r="GD32" s="1764" t="str">
        <x:f t="shared" si="95"/>
        <x:v/>
      </x:c>
      <x:c r="GE32" s="1765" t="str">
        <x:f t="shared" si="48"/>
        <x:v/>
      </x:c>
      <x:c r="GF32" s="582" t="str">
        <x:f t="shared" si="49"/>
        <x:v/>
      </x:c>
      <x:c r="GG32" s="692"/>
      <x:c r="GH32" s="1135"/>
      <x:c r="GI32" s="692"/>
      <x:c r="GJ32" s="1135"/>
      <x:c r="GK32" s="1640">
        <x:f t="shared" si="50"/>
        <x:v>0</x:v>
      </x:c>
      <x:c r="GL32" s="1640" t="e">
        <x:f t="shared" si="51"/>
        <x:v>#VALUE!</x:v>
      </x:c>
      <x:c r="GM32" s="1641" t="e">
        <x:f>IF(ABS(GK32-GL32)&gt;='Job Info.'!$L$22,ABS(GK32-GL32),0)</x:f>
        <x:v>#VALUE!</x:v>
      </x:c>
      <x:c r="HA32" s="1241"/>
      <x:c r="HB32" s="1242"/>
      <x:c r="HC32" s="1242"/>
      <x:c r="HD32" s="1243"/>
      <x:c r="HE32" s="1244"/>
      <x:c r="HF32" s="1242"/>
      <x:c r="HG32" s="1242"/>
      <x:c r="HH32" s="1242"/>
      <x:c r="HI32" s="1242"/>
      <x:c r="HJ32" s="1242"/>
      <x:c r="HK32" s="1242"/>
      <x:c r="HL32" s="1242"/>
      <x:c r="HM32" s="1242"/>
      <x:c r="HN32" s="1242"/>
      <x:c r="HO32" s="1242"/>
      <x:c r="HP32" s="1242"/>
      <x:c r="HQ32" s="1242"/>
      <x:c r="HR32" s="1242"/>
      <x:c r="HS32" s="1242"/>
      <x:c r="HT32" s="1242"/>
      <x:c r="HU32" s="1242"/>
      <x:c r="HV32" s="1242"/>
      <x:c r="HW32" s="1242"/>
      <x:c r="HX32" s="1242"/>
      <x:c r="HY32" s="1246"/>
      <x:c r="HZ32" s="1246"/>
      <x:c r="IA32" s="1246"/>
      <x:c r="IB32" s="1246"/>
      <x:c r="IC32" s="1246"/>
      <x:c r="ID32" s="1261"/>
      <x:c r="IE32" s="1241"/>
      <x:c r="IF32" s="1242"/>
      <x:c r="IG32" s="1243"/>
      <x:c r="IH32" s="1244"/>
      <x:c r="II32" s="1242"/>
      <x:c r="IJ32" s="1243"/>
      <x:c r="IK32" s="1244"/>
      <x:c r="IL32" s="1242"/>
      <x:c r="IM32" s="1242"/>
      <x:c r="IN32" s="1242"/>
      <x:c r="IO32" s="1242"/>
      <x:c r="IP32" s="1242"/>
      <x:c r="IQ32" s="1242"/>
      <x:c r="IR32" s="1242"/>
      <x:c r="IS32" s="1243"/>
      <x:c r="IT32" s="1244"/>
      <x:c r="IU32" s="1242"/>
      <x:c r="IV32" s="1242"/>
      <x:c r="IW32" s="1243"/>
      <x:c r="IX32" s="1244"/>
      <x:c r="IY32" s="1242"/>
      <x:c r="IZ32" s="1242"/>
      <x:c r="JA32" s="1243"/>
      <x:c r="JB32" s="1244"/>
      <x:c r="JC32" s="1242"/>
      <x:c r="JD32" s="1242"/>
      <x:c r="JE32" s="1243"/>
      <x:c r="JF32" s="1244"/>
      <x:c r="JG32" s="1242"/>
      <x:c r="JH32" s="1242"/>
      <x:c r="JI32" s="1242"/>
      <x:c r="JJ32" s="1245"/>
      <x:c r="JK32" s="1242"/>
      <x:c r="JL32" s="1171">
        <x:f t="shared" ca="1" si="61"/>
        <x:v>0</x:v>
      </x:c>
    </x:row>
    <x:row r="33" spans="1:272" ht="12.6" customHeight="1" x14ac:dyDescent="0.25">
      <x:c r="A33" s="2764" t="str">
        <x:f t="shared" si="65"/>
        <x:v/>
      </x:c>
      <x:c r="B33" s="2765"/>
      <x:c r="C33" s="2766" t="str">
        <x:f t="shared" si="65"/>
        <x:v/>
      </x:c>
      <x:c r="D33" s="2767" t="str">
        <x:f t="shared" si="66"/>
        <x:v/>
      </x:c>
      <x:c r="E33" s="2768" t="str">
        <x:f t="shared" si="67"/>
        <x:v/>
      </x:c>
      <x:c r="F33" s="2769" t="str">
        <x:f t="shared" si="68"/>
        <x:v/>
      </x:c>
      <x:c r="G33" s="2770" t="str">
        <x:f t="shared" si="69"/>
        <x:v/>
      </x:c>
      <x:c r="H33" s="2771" t="str">
        <x:f t="shared" si="70"/>
        <x:v/>
      </x:c>
      <x:c r="I33" s="2772" t="str">
        <x:f t="shared" si="71"/>
        <x:v/>
      </x:c>
      <x:c r="J33" s="2767" t="str">
        <x:f t="shared" si="62"/>
        <x:v/>
      </x:c>
      <x:c r="K33" s="2771" t="str">
        <x:f t="shared" si="63"/>
        <x:v/>
      </x:c>
      <x:c r="L33" s="2773" t="str">
        <x:f t="shared" si="64"/>
        <x:v/>
      </x:c>
      <x:c r="M33" s="2774" t="str">
        <x:f t="shared" si="72"/>
        <x:v/>
      </x:c>
      <x:c r="N33" s="2775" t="str">
        <x:f t="shared" si="72"/>
        <x:v/>
      </x:c>
      <x:c r="O33" s="2770" t="str">
        <x:f t="shared" si="73"/>
        <x:v/>
      </x:c>
      <x:c r="P33" s="2771" t="str">
        <x:f t="shared" si="74"/>
        <x:v/>
      </x:c>
      <x:c r="Q33" s="2767" t="str">
        <x:f t="shared" si="75"/>
        <x:v/>
      </x:c>
      <x:c r="R33" s="2768" t="str">
        <x:f t="shared" si="76"/>
        <x:v/>
      </x:c>
      <x:c r="S33" s="2776" t="str">
        <x:f t="shared" si="77"/>
        <x:v/>
      </x:c>
      <x:c r="T33" s="2771" t="str">
        <x:f t="shared" si="78"/>
        <x:v/>
      </x:c>
      <x:c r="U33" s="2767" t="str">
        <x:f t="shared" si="79"/>
        <x:v/>
      </x:c>
      <x:c r="V33" s="2771" t="str">
        <x:f t="shared" si="80"/>
        <x:v/>
      </x:c>
      <x:c r="W33" s="2775">
        <x:f t="shared" si="81"/>
        <x:v>0</x:v>
      </x:c>
      <x:c r="X33" s="2777" t="str">
        <x:f t="shared" si="0"/>
        <x:v/>
      </x:c>
      <x:c r="Y33" s="2778" t="str">
        <x:f t="shared" si="1"/>
        <x:v/>
      </x:c>
      <x:c r="Z33" s="2779" t="s">
        <x:v>116</x:v>
      </x:c>
      <x:c r="AA33" s="2839" t="str">
        <x:f t="shared" si="2"/>
        <x:v/>
      </x:c>
      <x:c r="AB33" s="2764" t="str">
        <x:f t="shared" si="82"/>
        <x:v/>
      </x:c>
      <x:c r="AC33" s="2772" t="str">
        <x:f t="shared" si="83"/>
        <x:v/>
      </x:c>
      <x:c r="AD33" s="2767" t="str">
        <x:f t="shared" ca="1" si="84"/>
        <x:v/>
      </x:c>
      <x:c r="AE33" s="2771" t="str">
        <x:f t="shared" ca="1" si="85"/>
        <x:v/>
      </x:c>
      <x:c r="AF33" s="2772" t="str">
        <x:f t="shared" ca="1" si="86"/>
        <x:v/>
      </x:c>
      <x:c r="AG33" s="2767" t="str">
        <x:f t="shared" ca="1" si="87"/>
        <x:v/>
      </x:c>
      <x:c r="AH33" s="2771" t="str">
        <x:f t="shared" ca="1" si="88"/>
        <x:v/>
      </x:c>
      <x:c r="AI33" s="2767" t="str">
        <x:f t="shared" ca="1" si="89"/>
        <x:v/>
      </x:c>
      <x:c r="AJ33" s="2771" t="str">
        <x:f t="shared" ca="1" si="90"/>
        <x:v/>
      </x:c>
      <x:c r="AK33" s="2813" t="str">
        <x:f t="shared" si="3"/>
        <x:v/>
      </x:c>
      <x:c r="AL33" s="2814" t="str">
        <x:f t="shared" si="91"/>
        <x:v/>
      </x:c>
      <x:c r="AM33" s="2815" t="str">
        <x:f t="shared" si="3"/>
        <x:v/>
      </x:c>
      <x:c r="AN33" s="2772" t="str">
        <x:f t="shared" si="3"/>
        <x:v/>
      </x:c>
      <x:c r="AO33" s="2775" t="str">
        <x:f t="shared" si="3"/>
        <x:v/>
      </x:c>
      <x:c r="AP33" s="2774" t="str">
        <x:f t="shared" si="4"/>
        <x:v/>
      </x:c>
      <x:c r="AQ33" s="2817" t="str">
        <x:f t="shared" si="4"/>
        <x:v/>
      </x:c>
      <x:c r="AR33" s="2770" t="str">
        <x:f t="shared" si="5"/>
        <x:v/>
      </x:c>
      <x:c r="AS33" s="2771" t="str">
        <x:f t="shared" si="6"/>
        <x:v/>
      </x:c>
      <x:c r="AT33" s="2818" t="str">
        <x:f t="shared" si="7"/>
        <x:v/>
      </x:c>
      <x:c r="AU33" s="2819" t="str">
        <x:f t="shared" si="8"/>
        <x:v/>
      </x:c>
      <x:c r="AV33" s="2776" t="str">
        <x:f t="shared" si="9"/>
        <x:v/>
      </x:c>
      <x:c r="AW33" s="2771" t="str">
        <x:f t="shared" si="10"/>
        <x:v/>
      </x:c>
      <x:c r="AX33" s="2818" t="str">
        <x:f t="shared" si="11"/>
        <x:v/>
      </x:c>
      <x:c r="AY33" s="2819" t="str">
        <x:f t="shared" si="12"/>
        <x:v/>
      </x:c>
      <x:c r="AZ33" s="2776" t="str">
        <x:f t="shared" si="13"/>
        <x:v/>
      </x:c>
      <x:c r="BA33" s="2771" t="str">
        <x:f t="shared" si="14"/>
        <x:v/>
      </x:c>
      <x:c r="BB33" s="2818" t="str">
        <x:f t="shared" si="15"/>
        <x:v/>
      </x:c>
      <x:c r="BC33" s="2819" t="str">
        <x:f t="shared" si="16"/>
        <x:v/>
      </x:c>
      <x:c r="BD33" s="2776" t="str">
        <x:f t="shared" si="17"/>
        <x:v/>
      </x:c>
      <x:c r="BE33" s="2771" t="str">
        <x:f t="shared" si="18"/>
        <x:v/>
      </x:c>
      <x:c r="BF33" s="2818" t="str">
        <x:f t="shared" si="19"/>
        <x:v/>
      </x:c>
      <x:c r="BG33" s="2819" t="str">
        <x:f t="shared" si="20"/>
        <x:v/>
      </x:c>
      <x:c r="BH33" s="1416"/>
      <x:c r="BJ33" s="995" t="str">
        <x:f t="shared" si="59"/>
        <x:v/>
      </x:c>
      <x:c r="BK33" s="993" t="b">
        <x:f t="shared" si="21"/>
        <x:v>0</x:v>
      </x:c>
      <x:c r="BL33" s="1800" t="b">
        <x:v>0</x:v>
      </x:c>
      <x:c r="BM33" s="989">
        <x:f t="shared" si="22"/>
        <x:v>0</x:v>
      </x:c>
      <x:c r="BN33" s="989">
        <x:f t="shared" si="23"/>
        <x:v>0</x:v>
      </x:c>
      <x:c r="BO33" s="989">
        <x:f t="shared" si="24"/>
        <x:v>0</x:v>
      </x:c>
      <x:c r="BP33" s="989">
        <x:f t="shared" si="25"/>
        <x:v>0</x:v>
      </x:c>
      <x:c r="BQ33" s="989">
        <x:f t="shared" si="26"/>
        <x:v>0</x:v>
      </x:c>
      <x:c r="BR33" s="989" t="b">
        <x:f t="shared" si="27"/>
        <x:v>1</x:v>
      </x:c>
      <x:c r="BS33" s="1302">
        <x:f t="shared" si="28"/>
        <x:v>6</x:v>
      </x:c>
      <x:c r="BT33" s="990" t="str">
        <x:f t="shared" si="29"/>
        <x:v>No</x:v>
      </x:c>
      <x:c r="BU33" s="1302">
        <x:f t="shared" si="30"/>
        <x:v>6</x:v>
      </x:c>
      <x:c r="BV33" s="990" t="str">
        <x:f t="shared" si="31"/>
        <x:v>No</x:v>
      </x:c>
      <x:c r="BW33" s="991">
        <x:f t="shared" ca="1" si="32"/>
        <x:v>0</x:v>
      </x:c>
      <x:c r="BX33" s="991" t="str">
        <x:f t="shared" ca="1" si="33"/>
        <x:v/>
      </x:c>
      <x:c r="BY33" s="991" t="b">
        <x:f t="shared" ca="1" si="34"/>
        <x:v>0</x:v>
      </x:c>
      <x:c r="BZ33" s="991" t="b">
        <x:f t="shared" si="52"/>
        <x:v>0</x:v>
      </x:c>
      <x:c r="CB33" s="672"/>
      <x:c r="CC33" s="1684"/>
      <x:c r="CD33" s="699"/>
      <x:c r="CE33" s="700"/>
      <x:c r="CF33" s="701"/>
      <x:c r="CG33" s="672"/>
      <x:c r="CH33" s="713"/>
      <x:c r="CI33" s="714"/>
      <x:c r="CJ33" s="713"/>
      <x:c r="CK33" s="714"/>
      <x:c r="CL33" s="715"/>
      <x:c r="CM33" s="743"/>
      <x:c r="CN33" s="738"/>
      <x:c r="CO33" s="1551"/>
      <x:c r="CP33" s="910"/>
      <x:c r="CQ33" s="672"/>
      <x:c r="CR33" s="713"/>
      <x:c r="CS33" s="714"/>
      <x:c r="CT33" s="713"/>
      <x:c r="CU33" s="714"/>
      <x:c r="CV33" s="715"/>
      <x:c r="CW33" s="743"/>
      <x:c r="CX33" s="738"/>
      <x:c r="CY33" s="1551"/>
      <x:c r="CZ33" s="910"/>
      <x:c r="DA33" s="717"/>
      <x:c r="DB33" s="702"/>
      <x:c r="DC33" s="703"/>
      <x:c r="DD33" s="725"/>
      <x:c r="DE33" s="726"/>
      <x:c r="DF33" s="141"/>
      <x:c r="DG33" s="141"/>
      <x:c r="DH33" s="672"/>
      <x:c r="DI33" s="673"/>
      <x:c r="DJ33" s="692"/>
      <x:c r="DK33" s="1331"/>
      <x:c r="DL33" s="674"/>
      <x:c r="DM33" s="693"/>
      <x:c r="DN33" s="1334"/>
      <x:c r="DO33" s="675"/>
      <x:c r="DP33" s="676"/>
      <x:c r="DQ33" s="1419"/>
      <x:c r="DR33" s="677"/>
      <x:c r="DS33" s="1419"/>
      <x:c r="DT33" s="1421"/>
      <x:c r="DU33" s="1422"/>
      <x:c r="DV33" s="678"/>
      <x:c r="DW33" s="1336"/>
      <x:c r="DX33" s="679"/>
      <x:c r="DY33" s="674"/>
      <x:c r="DZ33" s="678"/>
      <x:c r="EA33" s="1336"/>
      <x:c r="EB33" s="679"/>
      <x:c r="EC33" s="674"/>
      <x:c r="ED33" s="678"/>
      <x:c r="EE33" s="1336"/>
      <x:c r="EF33" s="679"/>
      <x:c r="EG33" s="674"/>
      <x:c r="EH33" s="678"/>
      <x:c r="EI33" s="1336"/>
      <x:c r="EJ33" s="679"/>
      <x:c r="EK33" s="680"/>
      <x:c r="EL33" s="241"/>
      <x:c r="EM33" s="1631" t="str">
        <x:f t="shared" si="35"/>
        <x:v/>
      </x:c>
      <x:c r="EN33" s="1428" t="str">
        <x:f t="shared" si="36"/>
        <x:v/>
      </x:c>
      <x:c r="EO33" s="1429" t="str">
        <x:f t="shared" si="37"/>
        <x:v/>
      </x:c>
      <x:c r="EP33" s="1430" t="str">
        <x:f t="shared" si="38"/>
        <x:v/>
      </x:c>
      <x:c r="EQ33" s="1434" t="str">
        <x:f t="shared" si="39"/>
        <x:v/>
      </x:c>
      <x:c r="ER33" s="1440" t="str">
        <x:f t="shared" si="40"/>
        <x:v/>
      </x:c>
      <x:c r="ES33" s="1441" t="str">
        <x:f t="shared" si="41"/>
        <x:v/>
      </x:c>
      <x:c r="ET33" s="1442" t="str">
        <x:f t="shared" si="42"/>
        <x:v/>
      </x:c>
      <x:c r="EU33" s="1443" t="str">
        <x:f t="shared" si="53"/>
        <x:v/>
      </x:c>
      <x:c r="EX33" s="503" t="str">
        <x:f t="shared" ca="1" si="54"/>
        <x:v/>
      </x:c>
      <x:c r="EY33" s="940" t="str">
        <x:f t="shared" si="43"/>
        <x:v/>
      </x:c>
      <x:c r="EZ33" s="940" t="str">
        <x:f t="shared" si="55"/>
        <x:v/>
      </x:c>
      <x:c r="FA33" s="958" t="str">
        <x:f t="shared" ca="1" si="60"/>
        <x:v/>
      </x:c>
      <x:c r="FB33" s="134" t="str">
        <x:f t="shared" ca="1" si="56"/>
        <x:v/>
      </x:c>
      <x:c r="FC33" s="134">
        <x:f t="shared" ca="1" si="44"/>
        <x:v>0</x:v>
      </x:c>
      <x:c r="FD33" s="134">
        <x:f t="shared" ca="1" si="45"/>
        <x:v>0</x:v>
      </x:c>
      <x:c r="FE33" s="134">
        <x:f t="shared" ca="1" si="46"/>
        <x:v>0</x:v>
      </x:c>
      <x:c r="FF33" s="134">
        <x:f t="shared" ca="1" si="57"/>
        <x:v>0</x:v>
      </x:c>
      <x:c r="FN33" s="754" t="b">
        <x:v>0</x:v>
      </x:c>
      <x:c r="FO33" s="754" t="b">
        <x:f t="shared" si="47"/>
        <x:v>1</x:v>
      </x:c>
      <x:c r="FP33" s="754" t="b">
        <x:v>0</x:v>
      </x:c>
      <x:c r="FQ33" s="754" t="b">
        <x:f t="shared" si="58"/>
        <x:v>1</x:v>
      </x:c>
      <x:c r="FW33" s="2"/>
      <x:c r="FX33" s="2"/>
      <x:c r="FZ33" s="2"/>
      <x:c r="GA33" s="1761" t="str">
        <x:f t="shared" si="92"/>
        <x:v/>
      </x:c>
      <x:c r="GB33" s="1762" t="str">
        <x:f t="shared" si="93"/>
        <x:v/>
      </x:c>
      <x:c r="GC33" s="1763" t="str">
        <x:f t="shared" si="94"/>
        <x:v/>
      </x:c>
      <x:c r="GD33" s="1764" t="str">
        <x:f t="shared" si="95"/>
        <x:v/>
      </x:c>
      <x:c r="GE33" s="1765" t="str">
        <x:f t="shared" si="48"/>
        <x:v/>
      </x:c>
      <x:c r="GF33" s="582" t="str">
        <x:f t="shared" si="49"/>
        <x:v/>
      </x:c>
      <x:c r="GG33" s="692"/>
      <x:c r="GH33" s="1135"/>
      <x:c r="GI33" s="692"/>
      <x:c r="GJ33" s="1135"/>
      <x:c r="GK33" s="1640">
        <x:f t="shared" si="50"/>
        <x:v>0</x:v>
      </x:c>
      <x:c r="GL33" s="1640" t="e">
        <x:f t="shared" si="51"/>
        <x:v>#VALUE!</x:v>
      </x:c>
      <x:c r="GM33" s="1641" t="e">
        <x:f>IF(ABS(GK33-GL33)&gt;='Job Info.'!$L$22,ABS(GK33-GL33),0)</x:f>
        <x:v>#VALUE!</x:v>
      </x:c>
      <x:c r="HA33" s="1241"/>
      <x:c r="HB33" s="1242"/>
      <x:c r="HC33" s="1242"/>
      <x:c r="HD33" s="1243"/>
      <x:c r="HE33" s="1244"/>
      <x:c r="HF33" s="1242"/>
      <x:c r="HG33" s="1242"/>
      <x:c r="HH33" s="1242"/>
      <x:c r="HI33" s="1242"/>
      <x:c r="HJ33" s="1242"/>
      <x:c r="HK33" s="1242"/>
      <x:c r="HL33" s="1242"/>
      <x:c r="HM33" s="1242"/>
      <x:c r="HN33" s="1242"/>
      <x:c r="HO33" s="1242"/>
      <x:c r="HP33" s="1242"/>
      <x:c r="HQ33" s="1242"/>
      <x:c r="HR33" s="1242"/>
      <x:c r="HS33" s="1242"/>
      <x:c r="HT33" s="1242"/>
      <x:c r="HU33" s="1242"/>
      <x:c r="HV33" s="1242"/>
      <x:c r="HW33" s="1242"/>
      <x:c r="HX33" s="1242"/>
      <x:c r="HY33" s="1246"/>
      <x:c r="HZ33" s="1246"/>
      <x:c r="IA33" s="1246"/>
      <x:c r="IB33" s="1246"/>
      <x:c r="IC33" s="1246"/>
      <x:c r="ID33" s="1261"/>
      <x:c r="IE33" s="1241"/>
      <x:c r="IF33" s="1242"/>
      <x:c r="IG33" s="1243"/>
      <x:c r="IH33" s="1244"/>
      <x:c r="II33" s="1242"/>
      <x:c r="IJ33" s="1243"/>
      <x:c r="IK33" s="1244"/>
      <x:c r="IL33" s="1242"/>
      <x:c r="IM33" s="1242"/>
      <x:c r="IN33" s="1242"/>
      <x:c r="IO33" s="1242"/>
      <x:c r="IP33" s="1242"/>
      <x:c r="IQ33" s="1242"/>
      <x:c r="IR33" s="1242"/>
      <x:c r="IS33" s="1243"/>
      <x:c r="IT33" s="1244"/>
      <x:c r="IU33" s="1242"/>
      <x:c r="IV33" s="1242"/>
      <x:c r="IW33" s="1243"/>
      <x:c r="IX33" s="1244"/>
      <x:c r="IY33" s="1242"/>
      <x:c r="IZ33" s="1242"/>
      <x:c r="JA33" s="1243"/>
      <x:c r="JB33" s="1244"/>
      <x:c r="JC33" s="1242"/>
      <x:c r="JD33" s="1242"/>
      <x:c r="JE33" s="1243"/>
      <x:c r="JF33" s="1244"/>
      <x:c r="JG33" s="1242"/>
      <x:c r="JH33" s="1242"/>
      <x:c r="JI33" s="1242"/>
      <x:c r="JJ33" s="1245"/>
      <x:c r="JK33" s="1242"/>
      <x:c r="JL33" s="1171">
        <x:f t="shared" ca="1" si="61"/>
        <x:v>0</x:v>
      </x:c>
    </x:row>
    <x:row r="34" spans="1:272" ht="12.6" customHeight="1" x14ac:dyDescent="0.25">
      <x:c r="A34" s="2764" t="str">
        <x:f t="shared" si="65"/>
        <x:v/>
      </x:c>
      <x:c r="B34" s="2765"/>
      <x:c r="C34" s="2766" t="str">
        <x:f t="shared" si="65"/>
        <x:v/>
      </x:c>
      <x:c r="D34" s="2767" t="str">
        <x:f t="shared" si="66"/>
        <x:v/>
      </x:c>
      <x:c r="E34" s="2768" t="str">
        <x:f t="shared" si="67"/>
        <x:v/>
      </x:c>
      <x:c r="F34" s="2769" t="str">
        <x:f t="shared" si="68"/>
        <x:v/>
      </x:c>
      <x:c r="G34" s="2770" t="str">
        <x:f t="shared" si="69"/>
        <x:v/>
      </x:c>
      <x:c r="H34" s="2771" t="str">
        <x:f t="shared" si="70"/>
        <x:v/>
      </x:c>
      <x:c r="I34" s="2772" t="str">
        <x:f t="shared" si="71"/>
        <x:v/>
      </x:c>
      <x:c r="J34" s="2767" t="str">
        <x:f t="shared" si="62"/>
        <x:v/>
      </x:c>
      <x:c r="K34" s="2771" t="str">
        <x:f t="shared" si="63"/>
        <x:v/>
      </x:c>
      <x:c r="L34" s="2773" t="str">
        <x:f t="shared" si="64"/>
        <x:v/>
      </x:c>
      <x:c r="M34" s="2774" t="str">
        <x:f t="shared" si="72"/>
        <x:v/>
      </x:c>
      <x:c r="N34" s="2775" t="str">
        <x:f t="shared" si="72"/>
        <x:v/>
      </x:c>
      <x:c r="O34" s="2770" t="str">
        <x:f t="shared" si="73"/>
        <x:v/>
      </x:c>
      <x:c r="P34" s="2771" t="str">
        <x:f t="shared" si="74"/>
        <x:v/>
      </x:c>
      <x:c r="Q34" s="2767" t="str">
        <x:f t="shared" si="75"/>
        <x:v/>
      </x:c>
      <x:c r="R34" s="2768" t="str">
        <x:f t="shared" si="76"/>
        <x:v/>
      </x:c>
      <x:c r="S34" s="2776" t="str">
        <x:f t="shared" si="77"/>
        <x:v/>
      </x:c>
      <x:c r="T34" s="2771" t="str">
        <x:f t="shared" si="78"/>
        <x:v/>
      </x:c>
      <x:c r="U34" s="2767" t="str">
        <x:f t="shared" si="79"/>
        <x:v/>
      </x:c>
      <x:c r="V34" s="2771" t="str">
        <x:f t="shared" si="80"/>
        <x:v/>
      </x:c>
      <x:c r="W34" s="2775">
        <x:f t="shared" si="81"/>
        <x:v>0</x:v>
      </x:c>
      <x:c r="X34" s="2777" t="str">
        <x:f t="shared" si="0"/>
        <x:v/>
      </x:c>
      <x:c r="Y34" s="2778" t="str">
        <x:f t="shared" si="1"/>
        <x:v/>
      </x:c>
      <x:c r="Z34" s="2779" t="s">
        <x:v>116</x:v>
      </x:c>
      <x:c r="AA34" s="2839" t="str">
        <x:f t="shared" si="2"/>
        <x:v/>
      </x:c>
      <x:c r="AB34" s="2764" t="str">
        <x:f t="shared" si="82"/>
        <x:v/>
      </x:c>
      <x:c r="AC34" s="2772" t="str">
        <x:f t="shared" si="83"/>
        <x:v/>
      </x:c>
      <x:c r="AD34" s="2767" t="str">
        <x:f t="shared" ca="1" si="84"/>
        <x:v/>
      </x:c>
      <x:c r="AE34" s="2771" t="str">
        <x:f t="shared" ca="1" si="85"/>
        <x:v/>
      </x:c>
      <x:c r="AF34" s="2772" t="str">
        <x:f t="shared" ca="1" si="86"/>
        <x:v/>
      </x:c>
      <x:c r="AG34" s="2767" t="str">
        <x:f t="shared" ca="1" si="87"/>
        <x:v/>
      </x:c>
      <x:c r="AH34" s="2771" t="str">
        <x:f t="shared" ca="1" si="88"/>
        <x:v/>
      </x:c>
      <x:c r="AI34" s="2767" t="str">
        <x:f t="shared" ca="1" si="89"/>
        <x:v/>
      </x:c>
      <x:c r="AJ34" s="2771" t="str">
        <x:f t="shared" ca="1" si="90"/>
        <x:v/>
      </x:c>
      <x:c r="AK34" s="2813" t="str">
        <x:f t="shared" si="3"/>
        <x:v/>
      </x:c>
      <x:c r="AL34" s="2814" t="str">
        <x:f t="shared" si="91"/>
        <x:v/>
      </x:c>
      <x:c r="AM34" s="2815" t="str">
        <x:f t="shared" si="3"/>
        <x:v/>
      </x:c>
      <x:c r="AN34" s="2772" t="str">
        <x:f t="shared" si="3"/>
        <x:v/>
      </x:c>
      <x:c r="AO34" s="2775" t="str">
        <x:f t="shared" si="3"/>
        <x:v/>
      </x:c>
      <x:c r="AP34" s="2774" t="str">
        <x:f t="shared" si="4"/>
        <x:v/>
      </x:c>
      <x:c r="AQ34" s="2817" t="str">
        <x:f t="shared" si="4"/>
        <x:v/>
      </x:c>
      <x:c r="AR34" s="2770" t="str">
        <x:f t="shared" si="5"/>
        <x:v/>
      </x:c>
      <x:c r="AS34" s="2771" t="str">
        <x:f t="shared" si="6"/>
        <x:v/>
      </x:c>
      <x:c r="AT34" s="2818" t="str">
        <x:f t="shared" si="7"/>
        <x:v/>
      </x:c>
      <x:c r="AU34" s="2819" t="str">
        <x:f t="shared" si="8"/>
        <x:v/>
      </x:c>
      <x:c r="AV34" s="2776" t="str">
        <x:f t="shared" si="9"/>
        <x:v/>
      </x:c>
      <x:c r="AW34" s="2771" t="str">
        <x:f t="shared" si="10"/>
        <x:v/>
      </x:c>
      <x:c r="AX34" s="2818" t="str">
        <x:f t="shared" si="11"/>
        <x:v/>
      </x:c>
      <x:c r="AY34" s="2819" t="str">
        <x:f t="shared" si="12"/>
        <x:v/>
      </x:c>
      <x:c r="AZ34" s="2776" t="str">
        <x:f t="shared" si="13"/>
        <x:v/>
      </x:c>
      <x:c r="BA34" s="2771" t="str">
        <x:f t="shared" si="14"/>
        <x:v/>
      </x:c>
      <x:c r="BB34" s="2818" t="str">
        <x:f t="shared" si="15"/>
        <x:v/>
      </x:c>
      <x:c r="BC34" s="2819" t="str">
        <x:f t="shared" si="16"/>
        <x:v/>
      </x:c>
      <x:c r="BD34" s="2776" t="str">
        <x:f t="shared" si="17"/>
        <x:v/>
      </x:c>
      <x:c r="BE34" s="2771" t="str">
        <x:f t="shared" si="18"/>
        <x:v/>
      </x:c>
      <x:c r="BF34" s="2818" t="str">
        <x:f t="shared" si="19"/>
        <x:v/>
      </x:c>
      <x:c r="BG34" s="2819" t="str">
        <x:f t="shared" si="20"/>
        <x:v/>
      </x:c>
      <x:c r="BH34" s="1416"/>
      <x:c r="BJ34" s="995" t="str">
        <x:f t="shared" si="59"/>
        <x:v/>
      </x:c>
      <x:c r="BK34" s="993" t="b">
        <x:f t="shared" si="21"/>
        <x:v>0</x:v>
      </x:c>
      <x:c r="BL34" s="1800" t="b">
        <x:v>0</x:v>
      </x:c>
      <x:c r="BM34" s="989">
        <x:f t="shared" si="22"/>
        <x:v>0</x:v>
      </x:c>
      <x:c r="BN34" s="989">
        <x:f t="shared" si="23"/>
        <x:v>0</x:v>
      </x:c>
      <x:c r="BO34" s="989">
        <x:f t="shared" si="24"/>
        <x:v>0</x:v>
      </x:c>
      <x:c r="BP34" s="989">
        <x:f t="shared" si="25"/>
        <x:v>0</x:v>
      </x:c>
      <x:c r="BQ34" s="989">
        <x:f t="shared" si="26"/>
        <x:v>0</x:v>
      </x:c>
      <x:c r="BR34" s="989" t="b">
        <x:f t="shared" si="27"/>
        <x:v>1</x:v>
      </x:c>
      <x:c r="BS34" s="1302">
        <x:f t="shared" si="28"/>
        <x:v>6</x:v>
      </x:c>
      <x:c r="BT34" s="990" t="str">
        <x:f t="shared" si="29"/>
        <x:v>No</x:v>
      </x:c>
      <x:c r="BU34" s="1302">
        <x:f t="shared" si="30"/>
        <x:v>6</x:v>
      </x:c>
      <x:c r="BV34" s="990" t="str">
        <x:f t="shared" si="31"/>
        <x:v>No</x:v>
      </x:c>
      <x:c r="BW34" s="991">
        <x:f t="shared" ca="1" si="32"/>
        <x:v>0</x:v>
      </x:c>
      <x:c r="BX34" s="991" t="str">
        <x:f t="shared" ca="1" si="33"/>
        <x:v/>
      </x:c>
      <x:c r="BY34" s="991" t="b">
        <x:f t="shared" ca="1" si="34"/>
        <x:v>0</x:v>
      </x:c>
      <x:c r="BZ34" s="991" t="b">
        <x:f t="shared" si="52"/>
        <x:v>0</x:v>
      </x:c>
      <x:c r="CB34" s="672"/>
      <x:c r="CC34" s="1684"/>
      <x:c r="CD34" s="699"/>
      <x:c r="CE34" s="700"/>
      <x:c r="CF34" s="701"/>
      <x:c r="CG34" s="672"/>
      <x:c r="CH34" s="713"/>
      <x:c r="CI34" s="714"/>
      <x:c r="CJ34" s="713"/>
      <x:c r="CK34" s="714"/>
      <x:c r="CL34" s="715"/>
      <x:c r="CM34" s="743"/>
      <x:c r="CN34" s="738"/>
      <x:c r="CO34" s="1551"/>
      <x:c r="CP34" s="910"/>
      <x:c r="CQ34" s="672"/>
      <x:c r="CR34" s="713"/>
      <x:c r="CS34" s="714"/>
      <x:c r="CT34" s="713"/>
      <x:c r="CU34" s="714"/>
      <x:c r="CV34" s="715"/>
      <x:c r="CW34" s="743"/>
      <x:c r="CX34" s="738"/>
      <x:c r="CY34" s="1551"/>
      <x:c r="CZ34" s="910"/>
      <x:c r="DA34" s="717"/>
      <x:c r="DB34" s="702"/>
      <x:c r="DC34" s="703"/>
      <x:c r="DD34" s="725"/>
      <x:c r="DE34" s="726"/>
      <x:c r="DF34" s="141"/>
      <x:c r="DG34" s="141"/>
      <x:c r="DH34" s="672"/>
      <x:c r="DI34" s="673"/>
      <x:c r="DJ34" s="692"/>
      <x:c r="DK34" s="1331"/>
      <x:c r="DL34" s="674"/>
      <x:c r="DM34" s="693"/>
      <x:c r="DN34" s="1334"/>
      <x:c r="DO34" s="675"/>
      <x:c r="DP34" s="676"/>
      <x:c r="DQ34" s="1419"/>
      <x:c r="DR34" s="677"/>
      <x:c r="DS34" s="1419"/>
      <x:c r="DT34" s="1421"/>
      <x:c r="DU34" s="1422"/>
      <x:c r="DV34" s="678"/>
      <x:c r="DW34" s="1336"/>
      <x:c r="DX34" s="679"/>
      <x:c r="DY34" s="674"/>
      <x:c r="DZ34" s="678"/>
      <x:c r="EA34" s="1336"/>
      <x:c r="EB34" s="679"/>
      <x:c r="EC34" s="674"/>
      <x:c r="ED34" s="678"/>
      <x:c r="EE34" s="1336"/>
      <x:c r="EF34" s="679"/>
      <x:c r="EG34" s="674"/>
      <x:c r="EH34" s="678"/>
      <x:c r="EI34" s="1336"/>
      <x:c r="EJ34" s="679"/>
      <x:c r="EK34" s="680"/>
      <x:c r="EL34" s="241"/>
      <x:c r="EM34" s="1631" t="str">
        <x:f t="shared" si="35"/>
        <x:v/>
      </x:c>
      <x:c r="EN34" s="1428" t="str">
        <x:f t="shared" si="36"/>
        <x:v/>
      </x:c>
      <x:c r="EO34" s="1429" t="str">
        <x:f t="shared" si="37"/>
        <x:v/>
      </x:c>
      <x:c r="EP34" s="1430" t="str">
        <x:f t="shared" si="38"/>
        <x:v/>
      </x:c>
      <x:c r="EQ34" s="1434" t="str">
        <x:f t="shared" si="39"/>
        <x:v/>
      </x:c>
      <x:c r="ER34" s="1440" t="str">
        <x:f t="shared" si="40"/>
        <x:v/>
      </x:c>
      <x:c r="ES34" s="1441" t="str">
        <x:f t="shared" si="41"/>
        <x:v/>
      </x:c>
      <x:c r="ET34" s="1442" t="str">
        <x:f t="shared" si="42"/>
        <x:v/>
      </x:c>
      <x:c r="EU34" s="1443" t="str">
        <x:f t="shared" si="53"/>
        <x:v/>
      </x:c>
      <x:c r="EX34" s="503" t="str">
        <x:f t="shared" ca="1" si="54"/>
        <x:v/>
      </x:c>
      <x:c r="EY34" s="940" t="str">
        <x:f t="shared" si="43"/>
        <x:v/>
      </x:c>
      <x:c r="EZ34" s="940" t="str">
        <x:f t="shared" si="55"/>
        <x:v/>
      </x:c>
      <x:c r="FA34" s="958" t="str">
        <x:f t="shared" ca="1" si="60"/>
        <x:v/>
      </x:c>
      <x:c r="FB34" s="134" t="str">
        <x:f t="shared" ca="1" si="56"/>
        <x:v/>
      </x:c>
      <x:c r="FC34" s="134">
        <x:f t="shared" ca="1" si="44"/>
        <x:v>0</x:v>
      </x:c>
      <x:c r="FD34" s="134">
        <x:f t="shared" ca="1" si="45"/>
        <x:v>0</x:v>
      </x:c>
      <x:c r="FE34" s="134">
        <x:f t="shared" ca="1" si="46"/>
        <x:v>0</x:v>
      </x:c>
      <x:c r="FF34" s="134">
        <x:f t="shared" ca="1" si="57"/>
        <x:v>0</x:v>
      </x:c>
      <x:c r="FN34" s="754" t="b">
        <x:v>0</x:v>
      </x:c>
      <x:c r="FO34" s="754" t="b">
        <x:f t="shared" si="47"/>
        <x:v>1</x:v>
      </x:c>
      <x:c r="FP34" s="754" t="b">
        <x:v>0</x:v>
      </x:c>
      <x:c r="FQ34" s="754" t="b">
        <x:f t="shared" si="58"/>
        <x:v>1</x:v>
      </x:c>
      <x:c r="FW34" s="2"/>
      <x:c r="FX34" s="2"/>
      <x:c r="FZ34" s="2"/>
      <x:c r="GA34" s="1761" t="str">
        <x:f t="shared" si="92"/>
        <x:v/>
      </x:c>
      <x:c r="GB34" s="1762" t="str">
        <x:f t="shared" si="93"/>
        <x:v/>
      </x:c>
      <x:c r="GC34" s="1763" t="str">
        <x:f t="shared" si="94"/>
        <x:v/>
      </x:c>
      <x:c r="GD34" s="1764" t="str">
        <x:f t="shared" si="95"/>
        <x:v/>
      </x:c>
      <x:c r="GE34" s="1765" t="str">
        <x:f t="shared" si="48"/>
        <x:v/>
      </x:c>
      <x:c r="GF34" s="582" t="str">
        <x:f t="shared" si="49"/>
        <x:v/>
      </x:c>
      <x:c r="GG34" s="692"/>
      <x:c r="GH34" s="1135"/>
      <x:c r="GI34" s="692"/>
      <x:c r="GJ34" s="1135"/>
      <x:c r="GK34" s="1640">
        <x:f t="shared" si="50"/>
        <x:v>0</x:v>
      </x:c>
      <x:c r="GL34" s="1640" t="e">
        <x:f t="shared" si="51"/>
        <x:v>#VALUE!</x:v>
      </x:c>
      <x:c r="GM34" s="1641" t="e">
        <x:f>IF(ABS(GK34-GL34)&gt;='Job Info.'!$L$22,ABS(GK34-GL34),0)</x:f>
        <x:v>#VALUE!</x:v>
      </x:c>
      <x:c r="HA34" s="1241"/>
      <x:c r="HB34" s="1242"/>
      <x:c r="HC34" s="1242"/>
      <x:c r="HD34" s="1243"/>
      <x:c r="HE34" s="1244"/>
      <x:c r="HF34" s="1242"/>
      <x:c r="HG34" s="1242"/>
      <x:c r="HH34" s="1242"/>
      <x:c r="HI34" s="1242"/>
      <x:c r="HJ34" s="1242"/>
      <x:c r="HK34" s="1242"/>
      <x:c r="HL34" s="1242"/>
      <x:c r="HM34" s="1242"/>
      <x:c r="HN34" s="1242"/>
      <x:c r="HO34" s="1242"/>
      <x:c r="HP34" s="1242"/>
      <x:c r="HQ34" s="1242"/>
      <x:c r="HR34" s="1242"/>
      <x:c r="HS34" s="1242"/>
      <x:c r="HT34" s="1242"/>
      <x:c r="HU34" s="1242"/>
      <x:c r="HV34" s="1242"/>
      <x:c r="HW34" s="1242"/>
      <x:c r="HX34" s="1242"/>
      <x:c r="HY34" s="1246"/>
      <x:c r="HZ34" s="1246"/>
      <x:c r="IA34" s="1246"/>
      <x:c r="IB34" s="1246"/>
      <x:c r="IC34" s="1246"/>
      <x:c r="ID34" s="1261"/>
      <x:c r="IE34" s="1241"/>
      <x:c r="IF34" s="1242"/>
      <x:c r="IG34" s="1243"/>
      <x:c r="IH34" s="1244"/>
      <x:c r="II34" s="1242"/>
      <x:c r="IJ34" s="1243"/>
      <x:c r="IK34" s="1244"/>
      <x:c r="IL34" s="1242"/>
      <x:c r="IM34" s="1242"/>
      <x:c r="IN34" s="1242"/>
      <x:c r="IO34" s="1242"/>
      <x:c r="IP34" s="1242"/>
      <x:c r="IQ34" s="1242"/>
      <x:c r="IR34" s="1242"/>
      <x:c r="IS34" s="1243"/>
      <x:c r="IT34" s="1244"/>
      <x:c r="IU34" s="1242"/>
      <x:c r="IV34" s="1242"/>
      <x:c r="IW34" s="1243"/>
      <x:c r="IX34" s="1244"/>
      <x:c r="IY34" s="1242"/>
      <x:c r="IZ34" s="1242"/>
      <x:c r="JA34" s="1243"/>
      <x:c r="JB34" s="1244"/>
      <x:c r="JC34" s="1242"/>
      <x:c r="JD34" s="1242"/>
      <x:c r="JE34" s="1243"/>
      <x:c r="JF34" s="1244"/>
      <x:c r="JG34" s="1242"/>
      <x:c r="JH34" s="1242"/>
      <x:c r="JI34" s="1242"/>
      <x:c r="JJ34" s="1245"/>
      <x:c r="JK34" s="1242"/>
      <x:c r="JL34" s="1171">
        <x:f t="shared" ca="1" si="61"/>
        <x:v>0</x:v>
      </x:c>
    </x:row>
    <x:row r="35" spans="1:272" ht="12.6" customHeight="1" x14ac:dyDescent="0.25">
      <x:c r="A35" s="2764" t="str">
        <x:f t="shared" si="65"/>
        <x:v/>
      </x:c>
      <x:c r="B35" s="2765"/>
      <x:c r="C35" s="2766" t="str">
        <x:f t="shared" si="65"/>
        <x:v/>
      </x:c>
      <x:c r="D35" s="2767" t="str">
        <x:f t="shared" si="66"/>
        <x:v/>
      </x:c>
      <x:c r="E35" s="2768" t="str">
        <x:f t="shared" si="67"/>
        <x:v/>
      </x:c>
      <x:c r="F35" s="2769" t="str">
        <x:f t="shared" si="68"/>
        <x:v/>
      </x:c>
      <x:c r="G35" s="2770" t="str">
        <x:f t="shared" si="69"/>
        <x:v/>
      </x:c>
      <x:c r="H35" s="2771" t="str">
        <x:f t="shared" si="70"/>
        <x:v/>
      </x:c>
      <x:c r="I35" s="2772" t="str">
        <x:f t="shared" si="71"/>
        <x:v/>
      </x:c>
      <x:c r="J35" s="2767" t="str">
        <x:f t="shared" si="62"/>
        <x:v/>
      </x:c>
      <x:c r="K35" s="2771" t="str">
        <x:f t="shared" si="63"/>
        <x:v/>
      </x:c>
      <x:c r="L35" s="2773" t="str">
        <x:f t="shared" si="64"/>
        <x:v/>
      </x:c>
      <x:c r="M35" s="2774" t="str">
        <x:f t="shared" si="72"/>
        <x:v/>
      </x:c>
      <x:c r="N35" s="2775" t="str">
        <x:f t="shared" si="72"/>
        <x:v/>
      </x:c>
      <x:c r="O35" s="2770" t="str">
        <x:f t="shared" si="73"/>
        <x:v/>
      </x:c>
      <x:c r="P35" s="2771" t="str">
        <x:f t="shared" si="74"/>
        <x:v/>
      </x:c>
      <x:c r="Q35" s="2767" t="str">
        <x:f t="shared" si="75"/>
        <x:v/>
      </x:c>
      <x:c r="R35" s="2768" t="str">
        <x:f t="shared" si="76"/>
        <x:v/>
      </x:c>
      <x:c r="S35" s="2776" t="str">
        <x:f t="shared" si="77"/>
        <x:v/>
      </x:c>
      <x:c r="T35" s="2771" t="str">
        <x:f t="shared" si="78"/>
        <x:v/>
      </x:c>
      <x:c r="U35" s="2767" t="str">
        <x:f t="shared" si="79"/>
        <x:v/>
      </x:c>
      <x:c r="V35" s="2771" t="str">
        <x:f t="shared" si="80"/>
        <x:v/>
      </x:c>
      <x:c r="W35" s="2775">
        <x:f t="shared" si="81"/>
        <x:v>0</x:v>
      </x:c>
      <x:c r="X35" s="2777" t="str">
        <x:f t="shared" si="0"/>
        <x:v/>
      </x:c>
      <x:c r="Y35" s="2778" t="str">
        <x:f t="shared" si="1"/>
        <x:v/>
      </x:c>
      <x:c r="Z35" s="2779" t="s">
        <x:v>116</x:v>
      </x:c>
      <x:c r="AA35" s="2839" t="str">
        <x:f t="shared" si="2"/>
        <x:v/>
      </x:c>
      <x:c r="AB35" s="2764" t="str">
        <x:f t="shared" si="82"/>
        <x:v/>
      </x:c>
      <x:c r="AC35" s="2772" t="str">
        <x:f t="shared" si="83"/>
        <x:v/>
      </x:c>
      <x:c r="AD35" s="2767" t="str">
        <x:f t="shared" ca="1" si="84"/>
        <x:v/>
      </x:c>
      <x:c r="AE35" s="2771" t="str">
        <x:f t="shared" ca="1" si="85"/>
        <x:v/>
      </x:c>
      <x:c r="AF35" s="2772" t="str">
        <x:f t="shared" ca="1" si="86"/>
        <x:v/>
      </x:c>
      <x:c r="AG35" s="2767" t="str">
        <x:f t="shared" ca="1" si="87"/>
        <x:v/>
      </x:c>
      <x:c r="AH35" s="2771" t="str">
        <x:f t="shared" ca="1" si="88"/>
        <x:v/>
      </x:c>
      <x:c r="AI35" s="2767" t="str">
        <x:f t="shared" ca="1" si="89"/>
        <x:v/>
      </x:c>
      <x:c r="AJ35" s="2771" t="str">
        <x:f t="shared" ca="1" si="90"/>
        <x:v/>
      </x:c>
      <x:c r="AK35" s="2813" t="str">
        <x:f t="shared" si="3"/>
        <x:v/>
      </x:c>
      <x:c r="AL35" s="2814" t="str">
        <x:f t="shared" si="91"/>
        <x:v/>
      </x:c>
      <x:c r="AM35" s="2815" t="str">
        <x:f t="shared" si="3"/>
        <x:v/>
      </x:c>
      <x:c r="AN35" s="2772" t="str">
        <x:f t="shared" si="3"/>
        <x:v/>
      </x:c>
      <x:c r="AO35" s="2775" t="str">
        <x:f t="shared" si="3"/>
        <x:v/>
      </x:c>
      <x:c r="AP35" s="2774" t="str">
        <x:f t="shared" si="4"/>
        <x:v/>
      </x:c>
      <x:c r="AQ35" s="2817" t="str">
        <x:f t="shared" si="4"/>
        <x:v/>
      </x:c>
      <x:c r="AR35" s="2770" t="str">
        <x:f t="shared" si="5"/>
        <x:v/>
      </x:c>
      <x:c r="AS35" s="2771" t="str">
        <x:f t="shared" si="6"/>
        <x:v/>
      </x:c>
      <x:c r="AT35" s="2818" t="str">
        <x:f t="shared" si="7"/>
        <x:v/>
      </x:c>
      <x:c r="AU35" s="2819" t="str">
        <x:f t="shared" si="8"/>
        <x:v/>
      </x:c>
      <x:c r="AV35" s="2776" t="str">
        <x:f t="shared" si="9"/>
        <x:v/>
      </x:c>
      <x:c r="AW35" s="2771" t="str">
        <x:f t="shared" si="10"/>
        <x:v/>
      </x:c>
      <x:c r="AX35" s="2818" t="str">
        <x:f t="shared" si="11"/>
        <x:v/>
      </x:c>
      <x:c r="AY35" s="2819" t="str">
        <x:f t="shared" si="12"/>
        <x:v/>
      </x:c>
      <x:c r="AZ35" s="2776" t="str">
        <x:f t="shared" si="13"/>
        <x:v/>
      </x:c>
      <x:c r="BA35" s="2771" t="str">
        <x:f t="shared" si="14"/>
        <x:v/>
      </x:c>
      <x:c r="BB35" s="2818" t="str">
        <x:f t="shared" si="15"/>
        <x:v/>
      </x:c>
      <x:c r="BC35" s="2819" t="str">
        <x:f t="shared" si="16"/>
        <x:v/>
      </x:c>
      <x:c r="BD35" s="2776" t="str">
        <x:f t="shared" si="17"/>
        <x:v/>
      </x:c>
      <x:c r="BE35" s="2771" t="str">
        <x:f t="shared" si="18"/>
        <x:v/>
      </x:c>
      <x:c r="BF35" s="2818" t="str">
        <x:f t="shared" si="19"/>
        <x:v/>
      </x:c>
      <x:c r="BG35" s="2819" t="str">
        <x:f t="shared" si="20"/>
        <x:v/>
      </x:c>
      <x:c r="BH35" s="1416"/>
      <x:c r="BJ35" s="995" t="str">
        <x:f t="shared" si="59"/>
        <x:v/>
      </x:c>
      <x:c r="BK35" s="993" t="b">
        <x:f t="shared" si="21"/>
        <x:v>0</x:v>
      </x:c>
      <x:c r="BL35" s="1800" t="b">
        <x:v>0</x:v>
      </x:c>
      <x:c r="BM35" s="989">
        <x:f t="shared" si="22"/>
        <x:v>0</x:v>
      </x:c>
      <x:c r="BN35" s="989">
        <x:f t="shared" si="23"/>
        <x:v>0</x:v>
      </x:c>
      <x:c r="BO35" s="989">
        <x:f t="shared" si="24"/>
        <x:v>0</x:v>
      </x:c>
      <x:c r="BP35" s="989">
        <x:f t="shared" si="25"/>
        <x:v>0</x:v>
      </x:c>
      <x:c r="BQ35" s="989">
        <x:f t="shared" si="26"/>
        <x:v>0</x:v>
      </x:c>
      <x:c r="BR35" s="989" t="b">
        <x:f t="shared" si="27"/>
        <x:v>1</x:v>
      </x:c>
      <x:c r="BS35" s="1302">
        <x:f t="shared" si="28"/>
        <x:v>6</x:v>
      </x:c>
      <x:c r="BT35" s="990" t="str">
        <x:f t="shared" si="29"/>
        <x:v>No</x:v>
      </x:c>
      <x:c r="BU35" s="1302">
        <x:f t="shared" si="30"/>
        <x:v>6</x:v>
      </x:c>
      <x:c r="BV35" s="990" t="str">
        <x:f t="shared" si="31"/>
        <x:v>No</x:v>
      </x:c>
      <x:c r="BW35" s="991">
        <x:f t="shared" ca="1" si="32"/>
        <x:v>0</x:v>
      </x:c>
      <x:c r="BX35" s="991" t="str">
        <x:f t="shared" ca="1" si="33"/>
        <x:v/>
      </x:c>
      <x:c r="BY35" s="991" t="b">
        <x:f t="shared" ca="1" si="34"/>
        <x:v>0</x:v>
      </x:c>
      <x:c r="BZ35" s="991" t="b">
        <x:f t="shared" si="52"/>
        <x:v>0</x:v>
      </x:c>
      <x:c r="CB35" s="672"/>
      <x:c r="CC35" s="1684"/>
      <x:c r="CD35" s="699"/>
      <x:c r="CE35" s="700"/>
      <x:c r="CF35" s="701"/>
      <x:c r="CG35" s="672"/>
      <x:c r="CH35" s="713"/>
      <x:c r="CI35" s="714"/>
      <x:c r="CJ35" s="713"/>
      <x:c r="CK35" s="714"/>
      <x:c r="CL35" s="715"/>
      <x:c r="CM35" s="743"/>
      <x:c r="CN35" s="738"/>
      <x:c r="CO35" s="1551"/>
      <x:c r="CP35" s="910"/>
      <x:c r="CQ35" s="672"/>
      <x:c r="CR35" s="713"/>
      <x:c r="CS35" s="714"/>
      <x:c r="CT35" s="713"/>
      <x:c r="CU35" s="714"/>
      <x:c r="CV35" s="715"/>
      <x:c r="CW35" s="743"/>
      <x:c r="CX35" s="738"/>
      <x:c r="CY35" s="1551"/>
      <x:c r="CZ35" s="910"/>
      <x:c r="DA35" s="717"/>
      <x:c r="DB35" s="702"/>
      <x:c r="DC35" s="703"/>
      <x:c r="DD35" s="725"/>
      <x:c r="DE35" s="726"/>
      <x:c r="DF35" s="141"/>
      <x:c r="DG35" s="141"/>
      <x:c r="DH35" s="672"/>
      <x:c r="DI35" s="673"/>
      <x:c r="DJ35" s="692"/>
      <x:c r="DK35" s="1331"/>
      <x:c r="DL35" s="674"/>
      <x:c r="DM35" s="693"/>
      <x:c r="DN35" s="1334"/>
      <x:c r="DO35" s="675"/>
      <x:c r="DP35" s="676"/>
      <x:c r="DQ35" s="1419"/>
      <x:c r="DR35" s="677"/>
      <x:c r="DS35" s="1419"/>
      <x:c r="DT35" s="1421"/>
      <x:c r="DU35" s="1422"/>
      <x:c r="DV35" s="678"/>
      <x:c r="DW35" s="1336"/>
      <x:c r="DX35" s="679"/>
      <x:c r="DY35" s="674"/>
      <x:c r="DZ35" s="678"/>
      <x:c r="EA35" s="1336"/>
      <x:c r="EB35" s="679"/>
      <x:c r="EC35" s="674"/>
      <x:c r="ED35" s="678"/>
      <x:c r="EE35" s="1336"/>
      <x:c r="EF35" s="679"/>
      <x:c r="EG35" s="674"/>
      <x:c r="EH35" s="678"/>
      <x:c r="EI35" s="1336"/>
      <x:c r="EJ35" s="679"/>
      <x:c r="EK35" s="680"/>
      <x:c r="EL35" s="241"/>
      <x:c r="EM35" s="1631" t="str">
        <x:f t="shared" si="35"/>
        <x:v/>
      </x:c>
      <x:c r="EN35" s="1428" t="str">
        <x:f t="shared" si="36"/>
        <x:v/>
      </x:c>
      <x:c r="EO35" s="1429" t="str">
        <x:f t="shared" si="37"/>
        <x:v/>
      </x:c>
      <x:c r="EP35" s="1430" t="str">
        <x:f t="shared" si="38"/>
        <x:v/>
      </x:c>
      <x:c r="EQ35" s="1434" t="str">
        <x:f t="shared" si="39"/>
        <x:v/>
      </x:c>
      <x:c r="ER35" s="1440" t="str">
        <x:f t="shared" si="40"/>
        <x:v/>
      </x:c>
      <x:c r="ES35" s="1441" t="str">
        <x:f t="shared" si="41"/>
        <x:v/>
      </x:c>
      <x:c r="ET35" s="1442" t="str">
        <x:f t="shared" si="42"/>
        <x:v/>
      </x:c>
      <x:c r="EU35" s="1443" t="str">
        <x:f t="shared" si="53"/>
        <x:v/>
      </x:c>
      <x:c r="EX35" s="503" t="str">
        <x:f t="shared" ca="1" si="54"/>
        <x:v/>
      </x:c>
      <x:c r="EY35" s="940" t="str">
        <x:f t="shared" si="43"/>
        <x:v/>
      </x:c>
      <x:c r="EZ35" s="940" t="str">
        <x:f t="shared" si="55"/>
        <x:v/>
      </x:c>
      <x:c r="FA35" s="958" t="str">
        <x:f t="shared" ca="1" si="60"/>
        <x:v/>
      </x:c>
      <x:c r="FB35" s="134" t="str">
        <x:f t="shared" ca="1" si="56"/>
        <x:v/>
      </x:c>
      <x:c r="FC35" s="134">
        <x:f t="shared" ca="1" si="44"/>
        <x:v>0</x:v>
      </x:c>
      <x:c r="FD35" s="134">
        <x:f t="shared" ca="1" si="45"/>
        <x:v>0</x:v>
      </x:c>
      <x:c r="FE35" s="134">
        <x:f t="shared" ca="1" si="46"/>
        <x:v>0</x:v>
      </x:c>
      <x:c r="FF35" s="134">
        <x:f t="shared" ca="1" si="57"/>
        <x:v>0</x:v>
      </x:c>
      <x:c r="FN35" s="754" t="b">
        <x:v>0</x:v>
      </x:c>
      <x:c r="FO35" s="754" t="b">
        <x:f t="shared" si="47"/>
        <x:v>1</x:v>
      </x:c>
      <x:c r="FP35" s="754" t="b">
        <x:v>0</x:v>
      </x:c>
      <x:c r="FQ35" s="754" t="b">
        <x:f t="shared" si="58"/>
        <x:v>1</x:v>
      </x:c>
      <x:c r="FW35" s="2"/>
      <x:c r="FX35" s="2"/>
      <x:c r="FZ35" s="2"/>
      <x:c r="GA35" s="1761" t="str">
        <x:f t="shared" si="92"/>
        <x:v/>
      </x:c>
      <x:c r="GB35" s="1762" t="str">
        <x:f t="shared" si="93"/>
        <x:v/>
      </x:c>
      <x:c r="GC35" s="1763" t="str">
        <x:f t="shared" si="94"/>
        <x:v/>
      </x:c>
      <x:c r="GD35" s="1764" t="str">
        <x:f t="shared" si="95"/>
        <x:v/>
      </x:c>
      <x:c r="GE35" s="1765" t="str">
        <x:f t="shared" si="48"/>
        <x:v/>
      </x:c>
      <x:c r="GF35" s="582" t="str">
        <x:f t="shared" si="49"/>
        <x:v/>
      </x:c>
      <x:c r="GG35" s="692"/>
      <x:c r="GH35" s="1135"/>
      <x:c r="GI35" s="692"/>
      <x:c r="GJ35" s="1135"/>
      <x:c r="GK35" s="1640">
        <x:f t="shared" si="50"/>
        <x:v>0</x:v>
      </x:c>
      <x:c r="GL35" s="1640" t="e">
        <x:f t="shared" si="51"/>
        <x:v>#VALUE!</x:v>
      </x:c>
      <x:c r="GM35" s="1641" t="e">
        <x:f>IF(ABS(GK35-GL35)&gt;='Job Info.'!$L$22,ABS(GK35-GL35),0)</x:f>
        <x:v>#VALUE!</x:v>
      </x:c>
      <x:c r="HA35" s="1241"/>
      <x:c r="HB35" s="1242"/>
      <x:c r="HC35" s="1242"/>
      <x:c r="HD35" s="1243"/>
      <x:c r="HE35" s="1244"/>
      <x:c r="HF35" s="1242"/>
      <x:c r="HG35" s="1242"/>
      <x:c r="HH35" s="1242"/>
      <x:c r="HI35" s="1242"/>
      <x:c r="HJ35" s="1242"/>
      <x:c r="HK35" s="1242"/>
      <x:c r="HL35" s="1242"/>
      <x:c r="HM35" s="1242"/>
      <x:c r="HN35" s="1242"/>
      <x:c r="HO35" s="1242"/>
      <x:c r="HP35" s="1242"/>
      <x:c r="HQ35" s="1242"/>
      <x:c r="HR35" s="1242"/>
      <x:c r="HS35" s="1242"/>
      <x:c r="HT35" s="1242"/>
      <x:c r="HU35" s="1242"/>
      <x:c r="HV35" s="1242"/>
      <x:c r="HW35" s="1242"/>
      <x:c r="HX35" s="1242"/>
      <x:c r="HY35" s="1246"/>
      <x:c r="HZ35" s="1246"/>
      <x:c r="IA35" s="1246"/>
      <x:c r="IB35" s="1246"/>
      <x:c r="IC35" s="1246"/>
      <x:c r="ID35" s="1261"/>
      <x:c r="IE35" s="1241"/>
      <x:c r="IF35" s="1242"/>
      <x:c r="IG35" s="1243"/>
      <x:c r="IH35" s="1244"/>
      <x:c r="II35" s="1242"/>
      <x:c r="IJ35" s="1243"/>
      <x:c r="IK35" s="1244"/>
      <x:c r="IL35" s="1242"/>
      <x:c r="IM35" s="1242"/>
      <x:c r="IN35" s="1242"/>
      <x:c r="IO35" s="1242"/>
      <x:c r="IP35" s="1242"/>
      <x:c r="IQ35" s="1242"/>
      <x:c r="IR35" s="1242"/>
      <x:c r="IS35" s="1243"/>
      <x:c r="IT35" s="1244"/>
      <x:c r="IU35" s="1242"/>
      <x:c r="IV35" s="1242"/>
      <x:c r="IW35" s="1243"/>
      <x:c r="IX35" s="1244"/>
      <x:c r="IY35" s="1242"/>
      <x:c r="IZ35" s="1242"/>
      <x:c r="JA35" s="1243"/>
      <x:c r="JB35" s="1244"/>
      <x:c r="JC35" s="1242"/>
      <x:c r="JD35" s="1242"/>
      <x:c r="JE35" s="1243"/>
      <x:c r="JF35" s="1244"/>
      <x:c r="JG35" s="1242"/>
      <x:c r="JH35" s="1242"/>
      <x:c r="JI35" s="1242"/>
      <x:c r="JJ35" s="1245"/>
      <x:c r="JK35" s="1242"/>
      <x:c r="JL35" s="1171">
        <x:f t="shared" ca="1" si="61"/>
        <x:v>0</x:v>
      </x:c>
    </x:row>
    <x:row r="36" spans="1:272" ht="12.6" customHeight="1" x14ac:dyDescent="0.25">
      <x:c r="A36" s="2764" t="str">
        <x:f t="shared" si="65"/>
        <x:v/>
      </x:c>
      <x:c r="B36" s="2765"/>
      <x:c r="C36" s="2766" t="str">
        <x:f t="shared" si="65"/>
        <x:v/>
      </x:c>
      <x:c r="D36" s="2767" t="str">
        <x:f t="shared" si="66"/>
        <x:v/>
      </x:c>
      <x:c r="E36" s="2768" t="str">
        <x:f t="shared" si="67"/>
        <x:v/>
      </x:c>
      <x:c r="F36" s="2769" t="str">
        <x:f t="shared" si="68"/>
        <x:v/>
      </x:c>
      <x:c r="G36" s="2770" t="str">
        <x:f t="shared" si="69"/>
        <x:v/>
      </x:c>
      <x:c r="H36" s="2771" t="str">
        <x:f t="shared" si="70"/>
        <x:v/>
      </x:c>
      <x:c r="I36" s="2772" t="str">
        <x:f t="shared" si="71"/>
        <x:v/>
      </x:c>
      <x:c r="J36" s="2767" t="str">
        <x:f t="shared" si="62"/>
        <x:v/>
      </x:c>
      <x:c r="K36" s="2771" t="str">
        <x:f t="shared" si="63"/>
        <x:v/>
      </x:c>
      <x:c r="L36" s="2773" t="str">
        <x:f t="shared" si="64"/>
        <x:v/>
      </x:c>
      <x:c r="M36" s="2774" t="str">
        <x:f t="shared" si="72"/>
        <x:v/>
      </x:c>
      <x:c r="N36" s="2775" t="str">
        <x:f t="shared" si="72"/>
        <x:v/>
      </x:c>
      <x:c r="O36" s="2770" t="str">
        <x:f t="shared" si="73"/>
        <x:v/>
      </x:c>
      <x:c r="P36" s="2771" t="str">
        <x:f t="shared" si="74"/>
        <x:v/>
      </x:c>
      <x:c r="Q36" s="2767" t="str">
        <x:f t="shared" si="75"/>
        <x:v/>
      </x:c>
      <x:c r="R36" s="2768" t="str">
        <x:f t="shared" si="76"/>
        <x:v/>
      </x:c>
      <x:c r="S36" s="2776" t="str">
        <x:f t="shared" si="77"/>
        <x:v/>
      </x:c>
      <x:c r="T36" s="2771" t="str">
        <x:f t="shared" si="78"/>
        <x:v/>
      </x:c>
      <x:c r="U36" s="2767" t="str">
        <x:f t="shared" si="79"/>
        <x:v/>
      </x:c>
      <x:c r="V36" s="2771" t="str">
        <x:f t="shared" si="80"/>
        <x:v/>
      </x:c>
      <x:c r="W36" s="2775">
        <x:f t="shared" si="81"/>
        <x:v>0</x:v>
      </x:c>
      <x:c r="X36" s="2777" t="str">
        <x:f t="shared" si="0"/>
        <x:v/>
      </x:c>
      <x:c r="Y36" s="2778" t="str">
        <x:f t="shared" si="1"/>
        <x:v/>
      </x:c>
      <x:c r="Z36" s="2779" t="s">
        <x:v>116</x:v>
      </x:c>
      <x:c r="AA36" s="2839" t="str">
        <x:f t="shared" si="2"/>
        <x:v/>
      </x:c>
      <x:c r="AB36" s="2764" t="str">
        <x:f t="shared" si="82"/>
        <x:v/>
      </x:c>
      <x:c r="AC36" s="2772" t="str">
        <x:f t="shared" si="83"/>
        <x:v/>
      </x:c>
      <x:c r="AD36" s="2767" t="str">
        <x:f t="shared" ca="1" si="84"/>
        <x:v/>
      </x:c>
      <x:c r="AE36" s="2771" t="str">
        <x:f t="shared" ca="1" si="85"/>
        <x:v/>
      </x:c>
      <x:c r="AF36" s="2772" t="str">
        <x:f t="shared" ca="1" si="86"/>
        <x:v/>
      </x:c>
      <x:c r="AG36" s="2767" t="str">
        <x:f t="shared" ca="1" si="87"/>
        <x:v/>
      </x:c>
      <x:c r="AH36" s="2771" t="str">
        <x:f t="shared" ca="1" si="88"/>
        <x:v/>
      </x:c>
      <x:c r="AI36" s="2767" t="str">
        <x:f t="shared" ca="1" si="89"/>
        <x:v/>
      </x:c>
      <x:c r="AJ36" s="2771" t="str">
        <x:f t="shared" ca="1" si="90"/>
        <x:v/>
      </x:c>
      <x:c r="AK36" s="2813" t="str">
        <x:f t="shared" si="3"/>
        <x:v/>
      </x:c>
      <x:c r="AL36" s="2814" t="str">
        <x:f t="shared" si="91"/>
        <x:v/>
      </x:c>
      <x:c r="AM36" s="2815" t="str">
        <x:f t="shared" si="3"/>
        <x:v/>
      </x:c>
      <x:c r="AN36" s="2772" t="str">
        <x:f t="shared" si="3"/>
        <x:v/>
      </x:c>
      <x:c r="AO36" s="2775" t="str">
        <x:f t="shared" si="3"/>
        <x:v/>
      </x:c>
      <x:c r="AP36" s="2774" t="str">
        <x:f t="shared" si="4"/>
        <x:v/>
      </x:c>
      <x:c r="AQ36" s="2817" t="str">
        <x:f t="shared" si="4"/>
        <x:v/>
      </x:c>
      <x:c r="AR36" s="2770" t="str">
        <x:f t="shared" si="5"/>
        <x:v/>
      </x:c>
      <x:c r="AS36" s="2771" t="str">
        <x:f t="shared" si="6"/>
        <x:v/>
      </x:c>
      <x:c r="AT36" s="2818" t="str">
        <x:f t="shared" si="7"/>
        <x:v/>
      </x:c>
      <x:c r="AU36" s="2819" t="str">
        <x:f t="shared" si="8"/>
        <x:v/>
      </x:c>
      <x:c r="AV36" s="2776" t="str">
        <x:f t="shared" si="9"/>
        <x:v/>
      </x:c>
      <x:c r="AW36" s="2771" t="str">
        <x:f t="shared" si="10"/>
        <x:v/>
      </x:c>
      <x:c r="AX36" s="2818" t="str">
        <x:f t="shared" si="11"/>
        <x:v/>
      </x:c>
      <x:c r="AY36" s="2819" t="str">
        <x:f t="shared" si="12"/>
        <x:v/>
      </x:c>
      <x:c r="AZ36" s="2776" t="str">
        <x:f t="shared" si="13"/>
        <x:v/>
      </x:c>
      <x:c r="BA36" s="2771" t="str">
        <x:f t="shared" si="14"/>
        <x:v/>
      </x:c>
      <x:c r="BB36" s="2818" t="str">
        <x:f t="shared" si="15"/>
        <x:v/>
      </x:c>
      <x:c r="BC36" s="2819" t="str">
        <x:f t="shared" si="16"/>
        <x:v/>
      </x:c>
      <x:c r="BD36" s="2776" t="str">
        <x:f t="shared" si="17"/>
        <x:v/>
      </x:c>
      <x:c r="BE36" s="2771" t="str">
        <x:f t="shared" si="18"/>
        <x:v/>
      </x:c>
      <x:c r="BF36" s="2818" t="str">
        <x:f t="shared" si="19"/>
        <x:v/>
      </x:c>
      <x:c r="BG36" s="2819" t="str">
        <x:f t="shared" si="20"/>
        <x:v/>
      </x:c>
      <x:c r="BH36" s="1416"/>
      <x:c r="BJ36" s="995" t="str">
        <x:f t="shared" si="59"/>
        <x:v/>
      </x:c>
      <x:c r="BK36" s="993" t="b">
        <x:f t="shared" si="21"/>
        <x:v>0</x:v>
      </x:c>
      <x:c r="BL36" s="1800" t="b">
        <x:v>0</x:v>
      </x:c>
      <x:c r="BM36" s="989">
        <x:f t="shared" si="22"/>
        <x:v>0</x:v>
      </x:c>
      <x:c r="BN36" s="989">
        <x:f t="shared" si="23"/>
        <x:v>0</x:v>
      </x:c>
      <x:c r="BO36" s="989">
        <x:f t="shared" si="24"/>
        <x:v>0</x:v>
      </x:c>
      <x:c r="BP36" s="989">
        <x:f t="shared" si="25"/>
        <x:v>0</x:v>
      </x:c>
      <x:c r="BQ36" s="989">
        <x:f t="shared" si="26"/>
        <x:v>0</x:v>
      </x:c>
      <x:c r="BR36" s="989" t="b">
        <x:f t="shared" si="27"/>
        <x:v>1</x:v>
      </x:c>
      <x:c r="BS36" s="1302">
        <x:f t="shared" si="28"/>
        <x:v>6</x:v>
      </x:c>
      <x:c r="BT36" s="990" t="str">
        <x:f t="shared" si="29"/>
        <x:v>No</x:v>
      </x:c>
      <x:c r="BU36" s="1302">
        <x:f t="shared" si="30"/>
        <x:v>6</x:v>
      </x:c>
      <x:c r="BV36" s="990" t="str">
        <x:f t="shared" si="31"/>
        <x:v>No</x:v>
      </x:c>
      <x:c r="BW36" s="991">
        <x:f t="shared" ca="1" si="32"/>
        <x:v>0</x:v>
      </x:c>
      <x:c r="BX36" s="991" t="str">
        <x:f t="shared" ca="1" si="33"/>
        <x:v/>
      </x:c>
      <x:c r="BY36" s="991" t="b">
        <x:f t="shared" ca="1" si="34"/>
        <x:v>0</x:v>
      </x:c>
      <x:c r="BZ36" s="991" t="b">
        <x:f t="shared" si="52"/>
        <x:v>0</x:v>
      </x:c>
      <x:c r="CB36" s="672"/>
      <x:c r="CC36" s="1684"/>
      <x:c r="CD36" s="699"/>
      <x:c r="CE36" s="700"/>
      <x:c r="CF36" s="701"/>
      <x:c r="CG36" s="672"/>
      <x:c r="CH36" s="713"/>
      <x:c r="CI36" s="714"/>
      <x:c r="CJ36" s="713"/>
      <x:c r="CK36" s="714"/>
      <x:c r="CL36" s="715"/>
      <x:c r="CM36" s="743"/>
      <x:c r="CN36" s="738"/>
      <x:c r="CO36" s="1551"/>
      <x:c r="CP36" s="910"/>
      <x:c r="CQ36" s="672"/>
      <x:c r="CR36" s="713"/>
      <x:c r="CS36" s="714"/>
      <x:c r="CT36" s="713"/>
      <x:c r="CU36" s="714"/>
      <x:c r="CV36" s="715"/>
      <x:c r="CW36" s="743"/>
      <x:c r="CX36" s="738"/>
      <x:c r="CY36" s="1551"/>
      <x:c r="CZ36" s="910"/>
      <x:c r="DA36" s="717"/>
      <x:c r="DB36" s="702"/>
      <x:c r="DC36" s="703"/>
      <x:c r="DD36" s="725"/>
      <x:c r="DE36" s="726"/>
      <x:c r="DF36" s="141"/>
      <x:c r="DG36" s="141"/>
      <x:c r="DH36" s="672"/>
      <x:c r="DI36" s="673"/>
      <x:c r="DJ36" s="692"/>
      <x:c r="DK36" s="1331"/>
      <x:c r="DL36" s="674"/>
      <x:c r="DM36" s="693"/>
      <x:c r="DN36" s="1334"/>
      <x:c r="DO36" s="675"/>
      <x:c r="DP36" s="676"/>
      <x:c r="DQ36" s="1419"/>
      <x:c r="DR36" s="677"/>
      <x:c r="DS36" s="1419"/>
      <x:c r="DT36" s="1421"/>
      <x:c r="DU36" s="1422"/>
      <x:c r="DV36" s="678"/>
      <x:c r="DW36" s="1336"/>
      <x:c r="DX36" s="679"/>
      <x:c r="DY36" s="674"/>
      <x:c r="DZ36" s="678"/>
      <x:c r="EA36" s="1336"/>
      <x:c r="EB36" s="679"/>
      <x:c r="EC36" s="674"/>
      <x:c r="ED36" s="678"/>
      <x:c r="EE36" s="1336"/>
      <x:c r="EF36" s="679"/>
      <x:c r="EG36" s="674"/>
      <x:c r="EH36" s="678"/>
      <x:c r="EI36" s="1336"/>
      <x:c r="EJ36" s="679"/>
      <x:c r="EK36" s="680"/>
      <x:c r="EL36" s="241"/>
      <x:c r="EM36" s="1631" t="str">
        <x:f t="shared" si="35"/>
        <x:v/>
      </x:c>
      <x:c r="EN36" s="1428" t="str">
        <x:f t="shared" si="36"/>
        <x:v/>
      </x:c>
      <x:c r="EO36" s="1429" t="str">
        <x:f t="shared" si="37"/>
        <x:v/>
      </x:c>
      <x:c r="EP36" s="1430" t="str">
        <x:f t="shared" si="38"/>
        <x:v/>
      </x:c>
      <x:c r="EQ36" s="1434" t="str">
        <x:f t="shared" si="39"/>
        <x:v/>
      </x:c>
      <x:c r="ER36" s="1440" t="str">
        <x:f t="shared" si="40"/>
        <x:v/>
      </x:c>
      <x:c r="ES36" s="1441" t="str">
        <x:f t="shared" si="41"/>
        <x:v/>
      </x:c>
      <x:c r="ET36" s="1442" t="str">
        <x:f t="shared" si="42"/>
        <x:v/>
      </x:c>
      <x:c r="EU36" s="1443" t="str">
        <x:f t="shared" si="53"/>
        <x:v/>
      </x:c>
      <x:c r="EX36" s="503" t="str">
        <x:f t="shared" ca="1" si="54"/>
        <x:v/>
      </x:c>
      <x:c r="EY36" s="940" t="str">
        <x:f t="shared" si="43"/>
        <x:v/>
      </x:c>
      <x:c r="EZ36" s="940" t="str">
        <x:f t="shared" si="55"/>
        <x:v/>
      </x:c>
      <x:c r="FA36" s="958" t="str">
        <x:f t="shared" ca="1" si="60"/>
        <x:v/>
      </x:c>
      <x:c r="FB36" s="134" t="str">
        <x:f t="shared" ca="1" si="56"/>
        <x:v/>
      </x:c>
      <x:c r="FC36" s="134">
        <x:f t="shared" ca="1" si="44"/>
        <x:v>0</x:v>
      </x:c>
      <x:c r="FD36" s="134">
        <x:f t="shared" ca="1" si="45"/>
        <x:v>0</x:v>
      </x:c>
      <x:c r="FE36" s="134">
        <x:f t="shared" ca="1" si="46"/>
        <x:v>0</x:v>
      </x:c>
      <x:c r="FF36" s="134">
        <x:f t="shared" ca="1" si="57"/>
        <x:v>0</x:v>
      </x:c>
      <x:c r="FN36" s="754" t="b">
        <x:v>0</x:v>
      </x:c>
      <x:c r="FO36" s="754" t="b">
        <x:f t="shared" si="47"/>
        <x:v>1</x:v>
      </x:c>
      <x:c r="FP36" s="754" t="b">
        <x:v>0</x:v>
      </x:c>
      <x:c r="FQ36" s="754" t="b">
        <x:f t="shared" si="58"/>
        <x:v>1</x:v>
      </x:c>
      <x:c r="FW36" s="2"/>
      <x:c r="FX36" s="2"/>
      <x:c r="FZ36" s="2"/>
      <x:c r="GA36" s="1761" t="str">
        <x:f t="shared" si="92"/>
        <x:v/>
      </x:c>
      <x:c r="GB36" s="1762" t="str">
        <x:f t="shared" si="93"/>
        <x:v/>
      </x:c>
      <x:c r="GC36" s="1763" t="str">
        <x:f t="shared" si="94"/>
        <x:v/>
      </x:c>
      <x:c r="GD36" s="1764" t="str">
        <x:f t="shared" si="95"/>
        <x:v/>
      </x:c>
      <x:c r="GE36" s="1765" t="str">
        <x:f t="shared" si="48"/>
        <x:v/>
      </x:c>
      <x:c r="GF36" s="582" t="str">
        <x:f t="shared" si="49"/>
        <x:v/>
      </x:c>
      <x:c r="GG36" s="692"/>
      <x:c r="GH36" s="1135"/>
      <x:c r="GI36" s="692"/>
      <x:c r="GJ36" s="1135"/>
      <x:c r="GK36" s="1640">
        <x:f t="shared" si="50"/>
        <x:v>0</x:v>
      </x:c>
      <x:c r="GL36" s="1640" t="e">
        <x:f t="shared" si="51"/>
        <x:v>#VALUE!</x:v>
      </x:c>
      <x:c r="GM36" s="1641" t="e">
        <x:f>IF(ABS(GK36-GL36)&gt;='Job Info.'!$L$22,ABS(GK36-GL36),0)</x:f>
        <x:v>#VALUE!</x:v>
      </x:c>
      <x:c r="HA36" s="1241"/>
      <x:c r="HB36" s="1242"/>
      <x:c r="HC36" s="1242"/>
      <x:c r="HD36" s="1243"/>
      <x:c r="HE36" s="1244"/>
      <x:c r="HF36" s="1242"/>
      <x:c r="HG36" s="1242"/>
      <x:c r="HH36" s="1242"/>
      <x:c r="HI36" s="1242"/>
      <x:c r="HJ36" s="1242"/>
      <x:c r="HK36" s="1242"/>
      <x:c r="HL36" s="1242"/>
      <x:c r="HM36" s="1242"/>
      <x:c r="HN36" s="1242"/>
      <x:c r="HO36" s="1242"/>
      <x:c r="HP36" s="1242"/>
      <x:c r="HQ36" s="1242"/>
      <x:c r="HR36" s="1242"/>
      <x:c r="HS36" s="1242"/>
      <x:c r="HT36" s="1242"/>
      <x:c r="HU36" s="1242"/>
      <x:c r="HV36" s="1242"/>
      <x:c r="HW36" s="1242"/>
      <x:c r="HX36" s="1242"/>
      <x:c r="HY36" s="1246"/>
      <x:c r="HZ36" s="1246"/>
      <x:c r="IA36" s="1246"/>
      <x:c r="IB36" s="1246"/>
      <x:c r="IC36" s="1246"/>
      <x:c r="ID36" s="1261"/>
      <x:c r="IE36" s="1241"/>
      <x:c r="IF36" s="1242"/>
      <x:c r="IG36" s="1243"/>
      <x:c r="IH36" s="1244"/>
      <x:c r="II36" s="1242"/>
      <x:c r="IJ36" s="1243"/>
      <x:c r="IK36" s="1244"/>
      <x:c r="IL36" s="1242"/>
      <x:c r="IM36" s="1242"/>
      <x:c r="IN36" s="1242"/>
      <x:c r="IO36" s="1242"/>
      <x:c r="IP36" s="1242"/>
      <x:c r="IQ36" s="1242"/>
      <x:c r="IR36" s="1242"/>
      <x:c r="IS36" s="1243"/>
      <x:c r="IT36" s="1244"/>
      <x:c r="IU36" s="1242"/>
      <x:c r="IV36" s="1242"/>
      <x:c r="IW36" s="1243"/>
      <x:c r="IX36" s="1244"/>
      <x:c r="IY36" s="1242"/>
      <x:c r="IZ36" s="1242"/>
      <x:c r="JA36" s="1243"/>
      <x:c r="JB36" s="1244"/>
      <x:c r="JC36" s="1242"/>
      <x:c r="JD36" s="1242"/>
      <x:c r="JE36" s="1243"/>
      <x:c r="JF36" s="1244"/>
      <x:c r="JG36" s="1242"/>
      <x:c r="JH36" s="1242"/>
      <x:c r="JI36" s="1242"/>
      <x:c r="JJ36" s="1245"/>
      <x:c r="JK36" s="1242"/>
      <x:c r="JL36" s="1171">
        <x:f t="shared" ca="1" si="61"/>
        <x:v>0</x:v>
      </x:c>
    </x:row>
    <x:row r="37" spans="1:272" ht="12.6" customHeight="1" x14ac:dyDescent="0.25">
      <x:c r="A37" s="2764" t="str">
        <x:f t="shared" si="65"/>
        <x:v/>
      </x:c>
      <x:c r="B37" s="2765"/>
      <x:c r="C37" s="2766" t="str">
        <x:f t="shared" si="65"/>
        <x:v/>
      </x:c>
      <x:c r="D37" s="2767" t="str">
        <x:f t="shared" si="66"/>
        <x:v/>
      </x:c>
      <x:c r="E37" s="2768" t="str">
        <x:f t="shared" si="67"/>
        <x:v/>
      </x:c>
      <x:c r="F37" s="2769" t="str">
        <x:f t="shared" si="68"/>
        <x:v/>
      </x:c>
      <x:c r="G37" s="2770" t="str">
        <x:f t="shared" si="69"/>
        <x:v/>
      </x:c>
      <x:c r="H37" s="2771" t="str">
        <x:f t="shared" si="70"/>
        <x:v/>
      </x:c>
      <x:c r="I37" s="2772" t="str">
        <x:f t="shared" si="71"/>
        <x:v/>
      </x:c>
      <x:c r="J37" s="2767" t="str">
        <x:f t="shared" si="62"/>
        <x:v/>
      </x:c>
      <x:c r="K37" s="2771" t="str">
        <x:f t="shared" si="63"/>
        <x:v/>
      </x:c>
      <x:c r="L37" s="2773" t="str">
        <x:f t="shared" si="64"/>
        <x:v/>
      </x:c>
      <x:c r="M37" s="2774" t="str">
        <x:f t="shared" si="72"/>
        <x:v/>
      </x:c>
      <x:c r="N37" s="2775" t="str">
        <x:f t="shared" si="72"/>
        <x:v/>
      </x:c>
      <x:c r="O37" s="2770" t="str">
        <x:f t="shared" si="73"/>
        <x:v/>
      </x:c>
      <x:c r="P37" s="2771" t="str">
        <x:f t="shared" si="74"/>
        <x:v/>
      </x:c>
      <x:c r="Q37" s="2767" t="str">
        <x:f t="shared" si="75"/>
        <x:v/>
      </x:c>
      <x:c r="R37" s="2768" t="str">
        <x:f t="shared" si="76"/>
        <x:v/>
      </x:c>
      <x:c r="S37" s="2776" t="str">
        <x:f t="shared" si="77"/>
        <x:v/>
      </x:c>
      <x:c r="T37" s="2771" t="str">
        <x:f t="shared" si="78"/>
        <x:v/>
      </x:c>
      <x:c r="U37" s="2767" t="str">
        <x:f t="shared" si="79"/>
        <x:v/>
      </x:c>
      <x:c r="V37" s="2771" t="str">
        <x:f t="shared" si="80"/>
        <x:v/>
      </x:c>
      <x:c r="W37" s="2775">
        <x:f t="shared" si="81"/>
        <x:v>0</x:v>
      </x:c>
      <x:c r="X37" s="2777" t="str">
        <x:f t="shared" si="0"/>
        <x:v/>
      </x:c>
      <x:c r="Y37" s="2778" t="str">
        <x:f t="shared" si="1"/>
        <x:v/>
      </x:c>
      <x:c r="Z37" s="2779" t="s">
        <x:v>116</x:v>
      </x:c>
      <x:c r="AA37" s="2839" t="str">
        <x:f t="shared" si="2"/>
        <x:v/>
      </x:c>
      <x:c r="AB37" s="2764" t="str">
        <x:f t="shared" si="82"/>
        <x:v/>
      </x:c>
      <x:c r="AC37" s="2772" t="str">
        <x:f t="shared" si="83"/>
        <x:v/>
      </x:c>
      <x:c r="AD37" s="2767" t="str">
        <x:f t="shared" ca="1" si="84"/>
        <x:v/>
      </x:c>
      <x:c r="AE37" s="2771" t="str">
        <x:f t="shared" ca="1" si="85"/>
        <x:v/>
      </x:c>
      <x:c r="AF37" s="2772" t="str">
        <x:f t="shared" ca="1" si="86"/>
        <x:v/>
      </x:c>
      <x:c r="AG37" s="2767" t="str">
        <x:f t="shared" ca="1" si="87"/>
        <x:v/>
      </x:c>
      <x:c r="AH37" s="2771" t="str">
        <x:f t="shared" ca="1" si="88"/>
        <x:v/>
      </x:c>
      <x:c r="AI37" s="2767" t="str">
        <x:f t="shared" ca="1" si="89"/>
        <x:v/>
      </x:c>
      <x:c r="AJ37" s="2771" t="str">
        <x:f t="shared" ca="1" si="90"/>
        <x:v/>
      </x:c>
      <x:c r="AK37" s="2813" t="str">
        <x:f t="shared" si="3"/>
        <x:v/>
      </x:c>
      <x:c r="AL37" s="2814" t="str">
        <x:f t="shared" si="91"/>
        <x:v/>
      </x:c>
      <x:c r="AM37" s="2815" t="str">
        <x:f t="shared" si="3"/>
        <x:v/>
      </x:c>
      <x:c r="AN37" s="2772" t="str">
        <x:f t="shared" si="3"/>
        <x:v/>
      </x:c>
      <x:c r="AO37" s="2775" t="str">
        <x:f t="shared" si="3"/>
        <x:v/>
      </x:c>
      <x:c r="AP37" s="2774" t="str">
        <x:f t="shared" si="4"/>
        <x:v/>
      </x:c>
      <x:c r="AQ37" s="2817" t="str">
        <x:f t="shared" si="4"/>
        <x:v/>
      </x:c>
      <x:c r="AR37" s="2770" t="str">
        <x:f t="shared" si="5"/>
        <x:v/>
      </x:c>
      <x:c r="AS37" s="2771" t="str">
        <x:f t="shared" si="6"/>
        <x:v/>
      </x:c>
      <x:c r="AT37" s="2818" t="str">
        <x:f t="shared" si="7"/>
        <x:v/>
      </x:c>
      <x:c r="AU37" s="2819" t="str">
        <x:f t="shared" si="8"/>
        <x:v/>
      </x:c>
      <x:c r="AV37" s="2776" t="str">
        <x:f t="shared" si="9"/>
        <x:v/>
      </x:c>
      <x:c r="AW37" s="2771" t="str">
        <x:f t="shared" si="10"/>
        <x:v/>
      </x:c>
      <x:c r="AX37" s="2818" t="str">
        <x:f t="shared" si="11"/>
        <x:v/>
      </x:c>
      <x:c r="AY37" s="2819" t="str">
        <x:f t="shared" si="12"/>
        <x:v/>
      </x:c>
      <x:c r="AZ37" s="2776" t="str">
        <x:f t="shared" si="13"/>
        <x:v/>
      </x:c>
      <x:c r="BA37" s="2771" t="str">
        <x:f t="shared" si="14"/>
        <x:v/>
      </x:c>
      <x:c r="BB37" s="2818" t="str">
        <x:f t="shared" si="15"/>
        <x:v/>
      </x:c>
      <x:c r="BC37" s="2819" t="str">
        <x:f t="shared" si="16"/>
        <x:v/>
      </x:c>
      <x:c r="BD37" s="2776" t="str">
        <x:f t="shared" si="17"/>
        <x:v/>
      </x:c>
      <x:c r="BE37" s="2771" t="str">
        <x:f t="shared" si="18"/>
        <x:v/>
      </x:c>
      <x:c r="BF37" s="2818" t="str">
        <x:f t="shared" si="19"/>
        <x:v/>
      </x:c>
      <x:c r="BG37" s="2819" t="str">
        <x:f t="shared" si="20"/>
        <x:v/>
      </x:c>
      <x:c r="BH37" s="1416"/>
      <x:c r="BJ37" s="995" t="str">
        <x:f t="shared" si="59"/>
        <x:v/>
      </x:c>
      <x:c r="BK37" s="993" t="b">
        <x:f t="shared" si="21"/>
        <x:v>0</x:v>
      </x:c>
      <x:c r="BL37" s="1800" t="b">
        <x:v>0</x:v>
      </x:c>
      <x:c r="BM37" s="989">
        <x:f t="shared" si="22"/>
        <x:v>0</x:v>
      </x:c>
      <x:c r="BN37" s="989">
        <x:f t="shared" si="23"/>
        <x:v>0</x:v>
      </x:c>
      <x:c r="BO37" s="989">
        <x:f t="shared" si="24"/>
        <x:v>0</x:v>
      </x:c>
      <x:c r="BP37" s="989">
        <x:f t="shared" si="25"/>
        <x:v>0</x:v>
      </x:c>
      <x:c r="BQ37" s="989">
        <x:f t="shared" si="26"/>
        <x:v>0</x:v>
      </x:c>
      <x:c r="BR37" s="989" t="b">
        <x:f t="shared" si="27"/>
        <x:v>1</x:v>
      </x:c>
      <x:c r="BS37" s="1302">
        <x:f t="shared" si="28"/>
        <x:v>6</x:v>
      </x:c>
      <x:c r="BT37" s="990" t="str">
        <x:f t="shared" si="29"/>
        <x:v>No</x:v>
      </x:c>
      <x:c r="BU37" s="1302">
        <x:f t="shared" si="30"/>
        <x:v>6</x:v>
      </x:c>
      <x:c r="BV37" s="990" t="str">
        <x:f t="shared" si="31"/>
        <x:v>No</x:v>
      </x:c>
      <x:c r="BW37" s="991">
        <x:f t="shared" ca="1" si="32"/>
        <x:v>0</x:v>
      </x:c>
      <x:c r="BX37" s="991" t="str">
        <x:f t="shared" ca="1" si="33"/>
        <x:v/>
      </x:c>
      <x:c r="BY37" s="991" t="b">
        <x:f t="shared" ca="1" si="34"/>
        <x:v>0</x:v>
      </x:c>
      <x:c r="BZ37" s="991" t="b">
        <x:f t="shared" si="52"/>
        <x:v>0</x:v>
      </x:c>
      <x:c r="CB37" s="672"/>
      <x:c r="CC37" s="1684"/>
      <x:c r="CD37" s="699"/>
      <x:c r="CE37" s="700"/>
      <x:c r="CF37" s="701"/>
      <x:c r="CG37" s="672"/>
      <x:c r="CH37" s="713"/>
      <x:c r="CI37" s="714"/>
      <x:c r="CJ37" s="713"/>
      <x:c r="CK37" s="714"/>
      <x:c r="CL37" s="715"/>
      <x:c r="CM37" s="743"/>
      <x:c r="CN37" s="738"/>
      <x:c r="CO37" s="1551"/>
      <x:c r="CP37" s="910"/>
      <x:c r="CQ37" s="672"/>
      <x:c r="CR37" s="713"/>
      <x:c r="CS37" s="714"/>
      <x:c r="CT37" s="713"/>
      <x:c r="CU37" s="714"/>
      <x:c r="CV37" s="715"/>
      <x:c r="CW37" s="743"/>
      <x:c r="CX37" s="738"/>
      <x:c r="CY37" s="1551"/>
      <x:c r="CZ37" s="910"/>
      <x:c r="DA37" s="717"/>
      <x:c r="DB37" s="702"/>
      <x:c r="DC37" s="703"/>
      <x:c r="DD37" s="725"/>
      <x:c r="DE37" s="726"/>
      <x:c r="DF37" s="141"/>
      <x:c r="DG37" s="141"/>
      <x:c r="DH37" s="672"/>
      <x:c r="DI37" s="673"/>
      <x:c r="DJ37" s="692"/>
      <x:c r="DK37" s="1331"/>
      <x:c r="DL37" s="674"/>
      <x:c r="DM37" s="693"/>
      <x:c r="DN37" s="1334"/>
      <x:c r="DO37" s="675"/>
      <x:c r="DP37" s="676"/>
      <x:c r="DQ37" s="1419"/>
      <x:c r="DR37" s="677"/>
      <x:c r="DS37" s="1419"/>
      <x:c r="DT37" s="1421"/>
      <x:c r="DU37" s="1422"/>
      <x:c r="DV37" s="678"/>
      <x:c r="DW37" s="1336"/>
      <x:c r="DX37" s="679"/>
      <x:c r="DY37" s="674"/>
      <x:c r="DZ37" s="678"/>
      <x:c r="EA37" s="1336"/>
      <x:c r="EB37" s="679"/>
      <x:c r="EC37" s="674"/>
      <x:c r="ED37" s="678"/>
      <x:c r="EE37" s="1336"/>
      <x:c r="EF37" s="679"/>
      <x:c r="EG37" s="674"/>
      <x:c r="EH37" s="678"/>
      <x:c r="EI37" s="1336"/>
      <x:c r="EJ37" s="679"/>
      <x:c r="EK37" s="680"/>
      <x:c r="EL37" s="241"/>
      <x:c r="EM37" s="1631" t="str">
        <x:f t="shared" si="35"/>
        <x:v/>
      </x:c>
      <x:c r="EN37" s="1428" t="str">
        <x:f t="shared" si="36"/>
        <x:v/>
      </x:c>
      <x:c r="EO37" s="1429" t="str">
        <x:f t="shared" si="37"/>
        <x:v/>
      </x:c>
      <x:c r="EP37" s="1430" t="str">
        <x:f t="shared" si="38"/>
        <x:v/>
      </x:c>
      <x:c r="EQ37" s="1434" t="str">
        <x:f t="shared" si="39"/>
        <x:v/>
      </x:c>
      <x:c r="ER37" s="1440" t="str">
        <x:f t="shared" si="40"/>
        <x:v/>
      </x:c>
      <x:c r="ES37" s="1441" t="str">
        <x:f t="shared" si="41"/>
        <x:v/>
      </x:c>
      <x:c r="ET37" s="1442" t="str">
        <x:f t="shared" si="42"/>
        <x:v/>
      </x:c>
      <x:c r="EU37" s="1443" t="str">
        <x:f t="shared" si="53"/>
        <x:v/>
      </x:c>
      <x:c r="EX37" s="503" t="str">
        <x:f t="shared" ca="1" si="54"/>
        <x:v/>
      </x:c>
      <x:c r="EY37" s="940" t="str">
        <x:f t="shared" si="43"/>
        <x:v/>
      </x:c>
      <x:c r="EZ37" s="940" t="str">
        <x:f t="shared" si="55"/>
        <x:v/>
      </x:c>
      <x:c r="FA37" s="958" t="str">
        <x:f t="shared" ca="1" si="60"/>
        <x:v/>
      </x:c>
      <x:c r="FB37" s="134" t="str">
        <x:f t="shared" ca="1" si="56"/>
        <x:v/>
      </x:c>
      <x:c r="FC37" s="134">
        <x:f t="shared" ca="1" si="44"/>
        <x:v>0</x:v>
      </x:c>
      <x:c r="FD37" s="134">
        <x:f t="shared" ca="1" si="45"/>
        <x:v>0</x:v>
      </x:c>
      <x:c r="FE37" s="134">
        <x:f t="shared" ca="1" si="46"/>
        <x:v>0</x:v>
      </x:c>
      <x:c r="FF37" s="134">
        <x:f t="shared" ca="1" si="57"/>
        <x:v>0</x:v>
      </x:c>
      <x:c r="FN37" s="754" t="b">
        <x:v>0</x:v>
      </x:c>
      <x:c r="FO37" s="754" t="b">
        <x:f t="shared" si="47"/>
        <x:v>1</x:v>
      </x:c>
      <x:c r="FP37" s="754" t="b">
        <x:v>0</x:v>
      </x:c>
      <x:c r="FQ37" s="754" t="b">
        <x:f t="shared" si="58"/>
        <x:v>1</x:v>
      </x:c>
      <x:c r="FW37" s="2"/>
      <x:c r="FX37" s="2"/>
      <x:c r="FZ37" s="2"/>
      <x:c r="GA37" s="1761" t="str">
        <x:f t="shared" si="92"/>
        <x:v/>
      </x:c>
      <x:c r="GB37" s="1762" t="str">
        <x:f t="shared" si="93"/>
        <x:v/>
      </x:c>
      <x:c r="GC37" s="1763" t="str">
        <x:f t="shared" si="94"/>
        <x:v/>
      </x:c>
      <x:c r="GD37" s="1764" t="str">
        <x:f t="shared" si="95"/>
        <x:v/>
      </x:c>
      <x:c r="GE37" s="1765" t="str">
        <x:f t="shared" si="48"/>
        <x:v/>
      </x:c>
      <x:c r="GF37" s="582" t="str">
        <x:f t="shared" si="49"/>
        <x:v/>
      </x:c>
      <x:c r="GG37" s="692"/>
      <x:c r="GH37" s="1135"/>
      <x:c r="GI37" s="692"/>
      <x:c r="GJ37" s="1135"/>
      <x:c r="GK37" s="1640">
        <x:f t="shared" si="50"/>
        <x:v>0</x:v>
      </x:c>
      <x:c r="GL37" s="1640" t="e">
        <x:f t="shared" si="51"/>
        <x:v>#VALUE!</x:v>
      </x:c>
      <x:c r="GM37" s="1641" t="e">
        <x:f>IF(ABS(GK37-GL37)&gt;='Job Info.'!$L$22,ABS(GK37-GL37),0)</x:f>
        <x:v>#VALUE!</x:v>
      </x:c>
      <x:c r="HA37" s="1241"/>
      <x:c r="HB37" s="1242"/>
      <x:c r="HC37" s="1242"/>
      <x:c r="HD37" s="1243"/>
      <x:c r="HE37" s="1244"/>
      <x:c r="HF37" s="1242"/>
      <x:c r="HG37" s="1242"/>
      <x:c r="HH37" s="1242"/>
      <x:c r="HI37" s="1242"/>
      <x:c r="HJ37" s="1242"/>
      <x:c r="HK37" s="1242"/>
      <x:c r="HL37" s="1242"/>
      <x:c r="HM37" s="1242"/>
      <x:c r="HN37" s="1242"/>
      <x:c r="HO37" s="1242"/>
      <x:c r="HP37" s="1242"/>
      <x:c r="HQ37" s="1242"/>
      <x:c r="HR37" s="1242"/>
      <x:c r="HS37" s="1242"/>
      <x:c r="HT37" s="1242"/>
      <x:c r="HU37" s="1242"/>
      <x:c r="HV37" s="1242"/>
      <x:c r="HW37" s="1242"/>
      <x:c r="HX37" s="1242"/>
      <x:c r="HY37" s="1246"/>
      <x:c r="HZ37" s="1246"/>
      <x:c r="IA37" s="1246"/>
      <x:c r="IB37" s="1246"/>
      <x:c r="IC37" s="1246"/>
      <x:c r="ID37" s="1261"/>
      <x:c r="IE37" s="1241"/>
      <x:c r="IF37" s="1242"/>
      <x:c r="IG37" s="1243"/>
      <x:c r="IH37" s="1244"/>
      <x:c r="II37" s="1242"/>
      <x:c r="IJ37" s="1243"/>
      <x:c r="IK37" s="1244"/>
      <x:c r="IL37" s="1242"/>
      <x:c r="IM37" s="1242"/>
      <x:c r="IN37" s="1242"/>
      <x:c r="IO37" s="1242"/>
      <x:c r="IP37" s="1242"/>
      <x:c r="IQ37" s="1242"/>
      <x:c r="IR37" s="1242"/>
      <x:c r="IS37" s="1243"/>
      <x:c r="IT37" s="1244"/>
      <x:c r="IU37" s="1242"/>
      <x:c r="IV37" s="1242"/>
      <x:c r="IW37" s="1243"/>
      <x:c r="IX37" s="1244"/>
      <x:c r="IY37" s="1242"/>
      <x:c r="IZ37" s="1242"/>
      <x:c r="JA37" s="1243"/>
      <x:c r="JB37" s="1244"/>
      <x:c r="JC37" s="1242"/>
      <x:c r="JD37" s="1242"/>
      <x:c r="JE37" s="1243"/>
      <x:c r="JF37" s="1244"/>
      <x:c r="JG37" s="1242"/>
      <x:c r="JH37" s="1242"/>
      <x:c r="JI37" s="1242"/>
      <x:c r="JJ37" s="1245"/>
      <x:c r="JK37" s="1242"/>
      <x:c r="JL37" s="1171">
        <x:f t="shared" ca="1" si="61"/>
        <x:v>0</x:v>
      </x:c>
    </x:row>
    <x:row r="38" spans="1:272" ht="12.6" customHeight="1" x14ac:dyDescent="0.25">
      <x:c r="A38" s="2764" t="str">
        <x:f t="shared" si="65"/>
        <x:v/>
      </x:c>
      <x:c r="B38" s="2765"/>
      <x:c r="C38" s="2766" t="str">
        <x:f t="shared" si="65"/>
        <x:v/>
      </x:c>
      <x:c r="D38" s="2767" t="str">
        <x:f t="shared" si="66"/>
        <x:v/>
      </x:c>
      <x:c r="E38" s="2768" t="str">
        <x:f t="shared" si="67"/>
        <x:v/>
      </x:c>
      <x:c r="F38" s="2769" t="str">
        <x:f t="shared" si="68"/>
        <x:v/>
      </x:c>
      <x:c r="G38" s="2770" t="str">
        <x:f t="shared" si="69"/>
        <x:v/>
      </x:c>
      <x:c r="H38" s="2771" t="str">
        <x:f t="shared" si="70"/>
        <x:v/>
      </x:c>
      <x:c r="I38" s="2772" t="str">
        <x:f t="shared" si="71"/>
        <x:v/>
      </x:c>
      <x:c r="J38" s="2767" t="str">
        <x:f t="shared" si="62"/>
        <x:v/>
      </x:c>
      <x:c r="K38" s="2771" t="str">
        <x:f t="shared" si="63"/>
        <x:v/>
      </x:c>
      <x:c r="L38" s="2773" t="str">
        <x:f t="shared" si="64"/>
        <x:v/>
      </x:c>
      <x:c r="M38" s="2774" t="str">
        <x:f t="shared" si="72"/>
        <x:v/>
      </x:c>
      <x:c r="N38" s="2775" t="str">
        <x:f t="shared" si="72"/>
        <x:v/>
      </x:c>
      <x:c r="O38" s="2770" t="str">
        <x:f t="shared" si="73"/>
        <x:v/>
      </x:c>
      <x:c r="P38" s="2771" t="str">
        <x:f t="shared" si="74"/>
        <x:v/>
      </x:c>
      <x:c r="Q38" s="2767" t="str">
        <x:f t="shared" si="75"/>
        <x:v/>
      </x:c>
      <x:c r="R38" s="2768" t="str">
        <x:f t="shared" si="76"/>
        <x:v/>
      </x:c>
      <x:c r="S38" s="2776" t="str">
        <x:f t="shared" si="77"/>
        <x:v/>
      </x:c>
      <x:c r="T38" s="2771" t="str">
        <x:f t="shared" si="78"/>
        <x:v/>
      </x:c>
      <x:c r="U38" s="2767" t="str">
        <x:f t="shared" si="79"/>
        <x:v/>
      </x:c>
      <x:c r="V38" s="2771" t="str">
        <x:f t="shared" si="80"/>
        <x:v/>
      </x:c>
      <x:c r="W38" s="2775">
        <x:f t="shared" si="81"/>
        <x:v>0</x:v>
      </x:c>
      <x:c r="X38" s="2777" t="str">
        <x:f t="shared" si="0"/>
        <x:v/>
      </x:c>
      <x:c r="Y38" s="2778" t="str">
        <x:f t="shared" si="1"/>
        <x:v/>
      </x:c>
      <x:c r="Z38" s="2779" t="s">
        <x:v>116</x:v>
      </x:c>
      <x:c r="AA38" s="2839" t="str">
        <x:f t="shared" si="2"/>
        <x:v/>
      </x:c>
      <x:c r="AB38" s="2764" t="str">
        <x:f t="shared" si="82"/>
        <x:v/>
      </x:c>
      <x:c r="AC38" s="2772" t="str">
        <x:f t="shared" si="83"/>
        <x:v/>
      </x:c>
      <x:c r="AD38" s="2767" t="str">
        <x:f t="shared" ca="1" si="84"/>
        <x:v/>
      </x:c>
      <x:c r="AE38" s="2771" t="str">
        <x:f t="shared" ca="1" si="85"/>
        <x:v/>
      </x:c>
      <x:c r="AF38" s="2772" t="str">
        <x:f t="shared" ca="1" si="86"/>
        <x:v/>
      </x:c>
      <x:c r="AG38" s="2767" t="str">
        <x:f t="shared" ca="1" si="87"/>
        <x:v/>
      </x:c>
      <x:c r="AH38" s="2771" t="str">
        <x:f t="shared" ca="1" si="88"/>
        <x:v/>
      </x:c>
      <x:c r="AI38" s="2767" t="str">
        <x:f t="shared" ca="1" si="89"/>
        <x:v/>
      </x:c>
      <x:c r="AJ38" s="2771" t="str">
        <x:f t="shared" ca="1" si="90"/>
        <x:v/>
      </x:c>
      <x:c r="AK38" s="2813" t="str">
        <x:f t="shared" si="3"/>
        <x:v/>
      </x:c>
      <x:c r="AL38" s="2814" t="str">
        <x:f t="shared" si="91"/>
        <x:v/>
      </x:c>
      <x:c r="AM38" s="2815" t="str">
        <x:f t="shared" si="3"/>
        <x:v/>
      </x:c>
      <x:c r="AN38" s="2772" t="str">
        <x:f t="shared" si="3"/>
        <x:v/>
      </x:c>
      <x:c r="AO38" s="2775" t="str">
        <x:f t="shared" si="3"/>
        <x:v/>
      </x:c>
      <x:c r="AP38" s="2774" t="str">
        <x:f t="shared" si="4"/>
        <x:v/>
      </x:c>
      <x:c r="AQ38" s="2817" t="str">
        <x:f t="shared" si="4"/>
        <x:v/>
      </x:c>
      <x:c r="AR38" s="2770" t="str">
        <x:f t="shared" si="5"/>
        <x:v/>
      </x:c>
      <x:c r="AS38" s="2771" t="str">
        <x:f t="shared" si="6"/>
        <x:v/>
      </x:c>
      <x:c r="AT38" s="2818" t="str">
        <x:f t="shared" si="7"/>
        <x:v/>
      </x:c>
      <x:c r="AU38" s="2819" t="str">
        <x:f t="shared" si="8"/>
        <x:v/>
      </x:c>
      <x:c r="AV38" s="2776" t="str">
        <x:f t="shared" si="9"/>
        <x:v/>
      </x:c>
      <x:c r="AW38" s="2771" t="str">
        <x:f t="shared" si="10"/>
        <x:v/>
      </x:c>
      <x:c r="AX38" s="2818" t="str">
        <x:f t="shared" si="11"/>
        <x:v/>
      </x:c>
      <x:c r="AY38" s="2819" t="str">
        <x:f t="shared" si="12"/>
        <x:v/>
      </x:c>
      <x:c r="AZ38" s="2776" t="str">
        <x:f t="shared" si="13"/>
        <x:v/>
      </x:c>
      <x:c r="BA38" s="2771" t="str">
        <x:f t="shared" si="14"/>
        <x:v/>
      </x:c>
      <x:c r="BB38" s="2818" t="str">
        <x:f t="shared" si="15"/>
        <x:v/>
      </x:c>
      <x:c r="BC38" s="2819" t="str">
        <x:f t="shared" si="16"/>
        <x:v/>
      </x:c>
      <x:c r="BD38" s="2776" t="str">
        <x:f t="shared" si="17"/>
        <x:v/>
      </x:c>
      <x:c r="BE38" s="2771" t="str">
        <x:f t="shared" si="18"/>
        <x:v/>
      </x:c>
      <x:c r="BF38" s="2818" t="str">
        <x:f t="shared" si="19"/>
        <x:v/>
      </x:c>
      <x:c r="BG38" s="2819" t="str">
        <x:f t="shared" si="20"/>
        <x:v/>
      </x:c>
      <x:c r="BH38" s="1416"/>
      <x:c r="BJ38" s="995" t="str">
        <x:f t="shared" si="59"/>
        <x:v/>
      </x:c>
      <x:c r="BK38" s="993" t="b">
        <x:f t="shared" si="21"/>
        <x:v>0</x:v>
      </x:c>
      <x:c r="BL38" s="1800" t="b">
        <x:v>0</x:v>
      </x:c>
      <x:c r="BM38" s="989">
        <x:f t="shared" si="22"/>
        <x:v>0</x:v>
      </x:c>
      <x:c r="BN38" s="989">
        <x:f t="shared" si="23"/>
        <x:v>0</x:v>
      </x:c>
      <x:c r="BO38" s="989">
        <x:f t="shared" si="24"/>
        <x:v>0</x:v>
      </x:c>
      <x:c r="BP38" s="989">
        <x:f t="shared" si="25"/>
        <x:v>0</x:v>
      </x:c>
      <x:c r="BQ38" s="989">
        <x:f t="shared" si="26"/>
        <x:v>0</x:v>
      </x:c>
      <x:c r="BR38" s="989" t="b">
        <x:f t="shared" si="27"/>
        <x:v>1</x:v>
      </x:c>
      <x:c r="BS38" s="1302">
        <x:f t="shared" si="28"/>
        <x:v>6</x:v>
      </x:c>
      <x:c r="BT38" s="990" t="str">
        <x:f t="shared" si="29"/>
        <x:v>No</x:v>
      </x:c>
      <x:c r="BU38" s="1302">
        <x:f t="shared" si="30"/>
        <x:v>6</x:v>
      </x:c>
      <x:c r="BV38" s="990" t="str">
        <x:f t="shared" si="31"/>
        <x:v>No</x:v>
      </x:c>
      <x:c r="BW38" s="991">
        <x:f t="shared" ca="1" si="32"/>
        <x:v>0</x:v>
      </x:c>
      <x:c r="BX38" s="991" t="str">
        <x:f t="shared" ca="1" si="33"/>
        <x:v/>
      </x:c>
      <x:c r="BY38" s="991" t="b">
        <x:f t="shared" ca="1" si="34"/>
        <x:v>0</x:v>
      </x:c>
      <x:c r="BZ38" s="991" t="b">
        <x:f t="shared" si="52"/>
        <x:v>0</x:v>
      </x:c>
      <x:c r="CB38" s="672"/>
      <x:c r="CC38" s="1684"/>
      <x:c r="CD38" s="699"/>
      <x:c r="CE38" s="700"/>
      <x:c r="CF38" s="701"/>
      <x:c r="CG38" s="672"/>
      <x:c r="CH38" s="713"/>
      <x:c r="CI38" s="714"/>
      <x:c r="CJ38" s="713"/>
      <x:c r="CK38" s="714"/>
      <x:c r="CL38" s="715"/>
      <x:c r="CM38" s="743"/>
      <x:c r="CN38" s="738"/>
      <x:c r="CO38" s="1551"/>
      <x:c r="CP38" s="910"/>
      <x:c r="CQ38" s="672"/>
      <x:c r="CR38" s="713"/>
      <x:c r="CS38" s="714"/>
      <x:c r="CT38" s="713"/>
      <x:c r="CU38" s="714"/>
      <x:c r="CV38" s="715"/>
      <x:c r="CW38" s="743"/>
      <x:c r="CX38" s="738"/>
      <x:c r="CY38" s="1551"/>
      <x:c r="CZ38" s="910"/>
      <x:c r="DA38" s="717"/>
      <x:c r="DB38" s="702"/>
      <x:c r="DC38" s="703"/>
      <x:c r="DD38" s="725"/>
      <x:c r="DE38" s="726"/>
      <x:c r="DF38" s="141"/>
      <x:c r="DG38" s="141"/>
      <x:c r="DH38" s="672"/>
      <x:c r="DI38" s="673"/>
      <x:c r="DJ38" s="692"/>
      <x:c r="DK38" s="1331"/>
      <x:c r="DL38" s="674"/>
      <x:c r="DM38" s="693"/>
      <x:c r="DN38" s="1334"/>
      <x:c r="DO38" s="675"/>
      <x:c r="DP38" s="676"/>
      <x:c r="DQ38" s="1419"/>
      <x:c r="DR38" s="677"/>
      <x:c r="DS38" s="1419"/>
      <x:c r="DT38" s="1421"/>
      <x:c r="DU38" s="1422"/>
      <x:c r="DV38" s="678"/>
      <x:c r="DW38" s="1336"/>
      <x:c r="DX38" s="679"/>
      <x:c r="DY38" s="674"/>
      <x:c r="DZ38" s="678"/>
      <x:c r="EA38" s="1336"/>
      <x:c r="EB38" s="679"/>
      <x:c r="EC38" s="674"/>
      <x:c r="ED38" s="678"/>
      <x:c r="EE38" s="1336"/>
      <x:c r="EF38" s="679"/>
      <x:c r="EG38" s="674"/>
      <x:c r="EH38" s="678"/>
      <x:c r="EI38" s="1336"/>
      <x:c r="EJ38" s="679"/>
      <x:c r="EK38" s="680"/>
      <x:c r="EL38" s="241"/>
      <x:c r="EM38" s="1631" t="str">
        <x:f t="shared" si="35"/>
        <x:v/>
      </x:c>
      <x:c r="EN38" s="1428" t="str">
        <x:f t="shared" si="36"/>
        <x:v/>
      </x:c>
      <x:c r="EO38" s="1429" t="str">
        <x:f t="shared" si="37"/>
        <x:v/>
      </x:c>
      <x:c r="EP38" s="1430" t="str">
        <x:f t="shared" si="38"/>
        <x:v/>
      </x:c>
      <x:c r="EQ38" s="1434" t="str">
        <x:f t="shared" si="39"/>
        <x:v/>
      </x:c>
      <x:c r="ER38" s="1440" t="str">
        <x:f t="shared" si="40"/>
        <x:v/>
      </x:c>
      <x:c r="ES38" s="1441" t="str">
        <x:f t="shared" si="41"/>
        <x:v/>
      </x:c>
      <x:c r="ET38" s="1442" t="str">
        <x:f t="shared" si="42"/>
        <x:v/>
      </x:c>
      <x:c r="EU38" s="1443" t="str">
        <x:f t="shared" si="53"/>
        <x:v/>
      </x:c>
      <x:c r="EX38" s="503" t="str">
        <x:f t="shared" ca="1" si="54"/>
        <x:v/>
      </x:c>
      <x:c r="EY38" s="940" t="str">
        <x:f t="shared" si="43"/>
        <x:v/>
      </x:c>
      <x:c r="EZ38" s="940" t="str">
        <x:f t="shared" si="55"/>
        <x:v/>
      </x:c>
      <x:c r="FA38" s="958" t="str">
        <x:f t="shared" ca="1" si="60"/>
        <x:v/>
      </x:c>
      <x:c r="FB38" s="134" t="str">
        <x:f t="shared" ca="1" si="56"/>
        <x:v/>
      </x:c>
      <x:c r="FC38" s="134">
        <x:f t="shared" ca="1" si="44"/>
        <x:v>0</x:v>
      </x:c>
      <x:c r="FD38" s="134">
        <x:f t="shared" ca="1" si="45"/>
        <x:v>0</x:v>
      </x:c>
      <x:c r="FE38" s="134">
        <x:f t="shared" ca="1" si="46"/>
        <x:v>0</x:v>
      </x:c>
      <x:c r="FF38" s="134">
        <x:f t="shared" ca="1" si="57"/>
        <x:v>0</x:v>
      </x:c>
      <x:c r="FN38" s="754" t="b">
        <x:v>0</x:v>
      </x:c>
      <x:c r="FO38" s="754" t="b">
        <x:f t="shared" si="47"/>
        <x:v>1</x:v>
      </x:c>
      <x:c r="FP38" s="754" t="b">
        <x:v>0</x:v>
      </x:c>
      <x:c r="FQ38" s="754" t="b">
        <x:f t="shared" si="58"/>
        <x:v>1</x:v>
      </x:c>
      <x:c r="FW38" s="2"/>
      <x:c r="FX38" s="2"/>
      <x:c r="FZ38" s="2"/>
      <x:c r="GA38" s="1761" t="str">
        <x:f t="shared" si="92"/>
        <x:v/>
      </x:c>
      <x:c r="GB38" s="1762" t="str">
        <x:f t="shared" si="93"/>
        <x:v/>
      </x:c>
      <x:c r="GC38" s="1763" t="str">
        <x:f t="shared" si="94"/>
        <x:v/>
      </x:c>
      <x:c r="GD38" s="1764" t="str">
        <x:f t="shared" si="95"/>
        <x:v/>
      </x:c>
      <x:c r="GE38" s="1765" t="str">
        <x:f t="shared" si="48"/>
        <x:v/>
      </x:c>
      <x:c r="GF38" s="582" t="str">
        <x:f t="shared" si="49"/>
        <x:v/>
      </x:c>
      <x:c r="GG38" s="692"/>
      <x:c r="GH38" s="1135"/>
      <x:c r="GI38" s="692"/>
      <x:c r="GJ38" s="1135"/>
      <x:c r="GK38" s="1640">
        <x:f t="shared" si="50"/>
        <x:v>0</x:v>
      </x:c>
      <x:c r="GL38" s="1640" t="e">
        <x:f t="shared" si="51"/>
        <x:v>#VALUE!</x:v>
      </x:c>
      <x:c r="GM38" s="1641" t="e">
        <x:f>IF(ABS(GK38-GL38)&gt;='Job Info.'!$L$22,ABS(GK38-GL38),0)</x:f>
        <x:v>#VALUE!</x:v>
      </x:c>
      <x:c r="HA38" s="1241"/>
      <x:c r="HB38" s="1242"/>
      <x:c r="HC38" s="1242"/>
      <x:c r="HD38" s="1243"/>
      <x:c r="HE38" s="1244"/>
      <x:c r="HF38" s="1242"/>
      <x:c r="HG38" s="1242"/>
      <x:c r="HH38" s="1242"/>
      <x:c r="HI38" s="1242"/>
      <x:c r="HJ38" s="1242"/>
      <x:c r="HK38" s="1242"/>
      <x:c r="HL38" s="1242"/>
      <x:c r="HM38" s="1242"/>
      <x:c r="HN38" s="1242"/>
      <x:c r="HO38" s="1242"/>
      <x:c r="HP38" s="1242"/>
      <x:c r="HQ38" s="1242"/>
      <x:c r="HR38" s="1242"/>
      <x:c r="HS38" s="1242"/>
      <x:c r="HT38" s="1242"/>
      <x:c r="HU38" s="1242"/>
      <x:c r="HV38" s="1242"/>
      <x:c r="HW38" s="1242"/>
      <x:c r="HX38" s="1242"/>
      <x:c r="HY38" s="1246"/>
      <x:c r="HZ38" s="1246"/>
      <x:c r="IA38" s="1246"/>
      <x:c r="IB38" s="1246"/>
      <x:c r="IC38" s="1246"/>
      <x:c r="ID38" s="1261"/>
      <x:c r="IE38" s="1241"/>
      <x:c r="IF38" s="1242"/>
      <x:c r="IG38" s="1243"/>
      <x:c r="IH38" s="1244"/>
      <x:c r="II38" s="1242"/>
      <x:c r="IJ38" s="1243"/>
      <x:c r="IK38" s="1244"/>
      <x:c r="IL38" s="1242"/>
      <x:c r="IM38" s="1242"/>
      <x:c r="IN38" s="1242"/>
      <x:c r="IO38" s="1242"/>
      <x:c r="IP38" s="1242"/>
      <x:c r="IQ38" s="1242"/>
      <x:c r="IR38" s="1242"/>
      <x:c r="IS38" s="1243"/>
      <x:c r="IT38" s="1244"/>
      <x:c r="IU38" s="1242"/>
      <x:c r="IV38" s="1242"/>
      <x:c r="IW38" s="1243"/>
      <x:c r="IX38" s="1244"/>
      <x:c r="IY38" s="1242"/>
      <x:c r="IZ38" s="1242"/>
      <x:c r="JA38" s="1243"/>
      <x:c r="JB38" s="1244"/>
      <x:c r="JC38" s="1242"/>
      <x:c r="JD38" s="1242"/>
      <x:c r="JE38" s="1243"/>
      <x:c r="JF38" s="1244"/>
      <x:c r="JG38" s="1242"/>
      <x:c r="JH38" s="1242"/>
      <x:c r="JI38" s="1242"/>
      <x:c r="JJ38" s="1245"/>
      <x:c r="JK38" s="1242"/>
      <x:c r="JL38" s="1171">
        <x:f t="shared" ca="1" si="61"/>
        <x:v>0</x:v>
      </x:c>
    </x:row>
    <x:row r="39" spans="1:272" ht="12.6" customHeight="1" x14ac:dyDescent="0.25">
      <x:c r="A39" s="2764" t="str">
        <x:f t="shared" si="65"/>
        <x:v/>
      </x:c>
      <x:c r="B39" s="2765"/>
      <x:c r="C39" s="2766" t="str">
        <x:f t="shared" si="65"/>
        <x:v/>
      </x:c>
      <x:c r="D39" s="2767" t="str">
        <x:f t="shared" si="66"/>
        <x:v/>
      </x:c>
      <x:c r="E39" s="2768" t="str">
        <x:f t="shared" si="67"/>
        <x:v/>
      </x:c>
      <x:c r="F39" s="2769" t="str">
        <x:f t="shared" si="68"/>
        <x:v/>
      </x:c>
      <x:c r="G39" s="2770" t="str">
        <x:f t="shared" si="69"/>
        <x:v/>
      </x:c>
      <x:c r="H39" s="2771" t="str">
        <x:f t="shared" si="70"/>
        <x:v/>
      </x:c>
      <x:c r="I39" s="2772" t="str">
        <x:f t="shared" si="71"/>
        <x:v/>
      </x:c>
      <x:c r="J39" s="2767" t="str">
        <x:f t="shared" si="62"/>
        <x:v/>
      </x:c>
      <x:c r="K39" s="2771" t="str">
        <x:f t="shared" si="63"/>
        <x:v/>
      </x:c>
      <x:c r="L39" s="2773" t="str">
        <x:f t="shared" si="64"/>
        <x:v/>
      </x:c>
      <x:c r="M39" s="2774" t="str">
        <x:f t="shared" si="72"/>
        <x:v/>
      </x:c>
      <x:c r="N39" s="2775" t="str">
        <x:f t="shared" si="72"/>
        <x:v/>
      </x:c>
      <x:c r="O39" s="2770" t="str">
        <x:f t="shared" si="73"/>
        <x:v/>
      </x:c>
      <x:c r="P39" s="2771" t="str">
        <x:f t="shared" si="74"/>
        <x:v/>
      </x:c>
      <x:c r="Q39" s="2767" t="str">
        <x:f t="shared" si="75"/>
        <x:v/>
      </x:c>
      <x:c r="R39" s="2768" t="str">
        <x:f t="shared" si="76"/>
        <x:v/>
      </x:c>
      <x:c r="S39" s="2776" t="str">
        <x:f t="shared" si="77"/>
        <x:v/>
      </x:c>
      <x:c r="T39" s="2771" t="str">
        <x:f t="shared" si="78"/>
        <x:v/>
      </x:c>
      <x:c r="U39" s="2767" t="str">
        <x:f t="shared" si="79"/>
        <x:v/>
      </x:c>
      <x:c r="V39" s="2771" t="str">
        <x:f t="shared" si="80"/>
        <x:v/>
      </x:c>
      <x:c r="W39" s="2775">
        <x:f t="shared" si="81"/>
        <x:v>0</x:v>
      </x:c>
      <x:c r="X39" s="2777" t="str">
        <x:f t="shared" si="0"/>
        <x:v/>
      </x:c>
      <x:c r="Y39" s="2778" t="str">
        <x:f t="shared" si="1"/>
        <x:v/>
      </x:c>
      <x:c r="Z39" s="2779" t="s">
        <x:v>116</x:v>
      </x:c>
      <x:c r="AA39" s="2839" t="str">
        <x:f t="shared" si="2"/>
        <x:v/>
      </x:c>
      <x:c r="AB39" s="2764" t="str">
        <x:f t="shared" si="82"/>
        <x:v/>
      </x:c>
      <x:c r="AC39" s="2772" t="str">
        <x:f t="shared" si="83"/>
        <x:v/>
      </x:c>
      <x:c r="AD39" s="2767" t="str">
        <x:f t="shared" ca="1" si="84"/>
        <x:v/>
      </x:c>
      <x:c r="AE39" s="2771" t="str">
        <x:f t="shared" ca="1" si="85"/>
        <x:v/>
      </x:c>
      <x:c r="AF39" s="2772" t="str">
        <x:f t="shared" ca="1" si="86"/>
        <x:v/>
      </x:c>
      <x:c r="AG39" s="2767" t="str">
        <x:f t="shared" ca="1" si="87"/>
        <x:v/>
      </x:c>
      <x:c r="AH39" s="2771" t="str">
        <x:f t="shared" ca="1" si="88"/>
        <x:v/>
      </x:c>
      <x:c r="AI39" s="2767" t="str">
        <x:f t="shared" ca="1" si="89"/>
        <x:v/>
      </x:c>
      <x:c r="AJ39" s="2771" t="str">
        <x:f t="shared" ca="1" si="90"/>
        <x:v/>
      </x:c>
      <x:c r="AK39" s="2813" t="str">
        <x:f t="shared" si="3"/>
        <x:v/>
      </x:c>
      <x:c r="AL39" s="2814" t="str">
        <x:f t="shared" si="91"/>
        <x:v/>
      </x:c>
      <x:c r="AM39" s="2815" t="str">
        <x:f t="shared" si="3"/>
        <x:v/>
      </x:c>
      <x:c r="AN39" s="2772" t="str">
        <x:f t="shared" si="3"/>
        <x:v/>
      </x:c>
      <x:c r="AO39" s="2775" t="str">
        <x:f t="shared" si="3"/>
        <x:v/>
      </x:c>
      <x:c r="AP39" s="2774" t="str">
        <x:f t="shared" si="4"/>
        <x:v/>
      </x:c>
      <x:c r="AQ39" s="2817" t="str">
        <x:f t="shared" si="4"/>
        <x:v/>
      </x:c>
      <x:c r="AR39" s="2770" t="str">
        <x:f t="shared" si="5"/>
        <x:v/>
      </x:c>
      <x:c r="AS39" s="2771" t="str">
        <x:f t="shared" si="6"/>
        <x:v/>
      </x:c>
      <x:c r="AT39" s="2818" t="str">
        <x:f t="shared" si="7"/>
        <x:v/>
      </x:c>
      <x:c r="AU39" s="2819" t="str">
        <x:f t="shared" si="8"/>
        <x:v/>
      </x:c>
      <x:c r="AV39" s="2776" t="str">
        <x:f t="shared" si="9"/>
        <x:v/>
      </x:c>
      <x:c r="AW39" s="2771" t="str">
        <x:f t="shared" si="10"/>
        <x:v/>
      </x:c>
      <x:c r="AX39" s="2818" t="str">
        <x:f t="shared" si="11"/>
        <x:v/>
      </x:c>
      <x:c r="AY39" s="2819" t="str">
        <x:f t="shared" si="12"/>
        <x:v/>
      </x:c>
      <x:c r="AZ39" s="2776" t="str">
        <x:f t="shared" si="13"/>
        <x:v/>
      </x:c>
      <x:c r="BA39" s="2771" t="str">
        <x:f t="shared" si="14"/>
        <x:v/>
      </x:c>
      <x:c r="BB39" s="2818" t="str">
        <x:f t="shared" si="15"/>
        <x:v/>
      </x:c>
      <x:c r="BC39" s="2819" t="str">
        <x:f t="shared" si="16"/>
        <x:v/>
      </x:c>
      <x:c r="BD39" s="2776" t="str">
        <x:f t="shared" si="17"/>
        <x:v/>
      </x:c>
      <x:c r="BE39" s="2771" t="str">
        <x:f t="shared" si="18"/>
        <x:v/>
      </x:c>
      <x:c r="BF39" s="2818" t="str">
        <x:f t="shared" si="19"/>
        <x:v/>
      </x:c>
      <x:c r="BG39" s="2819" t="str">
        <x:f t="shared" si="20"/>
        <x:v/>
      </x:c>
      <x:c r="BH39" s="1416"/>
      <x:c r="BJ39" s="995" t="str">
        <x:f t="shared" si="59"/>
        <x:v/>
      </x:c>
      <x:c r="BK39" s="993" t="b">
        <x:f t="shared" si="21"/>
        <x:v>0</x:v>
      </x:c>
      <x:c r="BL39" s="1800" t="b">
        <x:v>0</x:v>
      </x:c>
      <x:c r="BM39" s="989">
        <x:f t="shared" si="22"/>
        <x:v>0</x:v>
      </x:c>
      <x:c r="BN39" s="989">
        <x:f t="shared" si="23"/>
        <x:v>0</x:v>
      </x:c>
      <x:c r="BO39" s="989">
        <x:f t="shared" si="24"/>
        <x:v>0</x:v>
      </x:c>
      <x:c r="BP39" s="989">
        <x:f t="shared" si="25"/>
        <x:v>0</x:v>
      </x:c>
      <x:c r="BQ39" s="989">
        <x:f t="shared" si="26"/>
        <x:v>0</x:v>
      </x:c>
      <x:c r="BR39" s="989" t="b">
        <x:f t="shared" si="27"/>
        <x:v>1</x:v>
      </x:c>
      <x:c r="BS39" s="1302">
        <x:f t="shared" si="28"/>
        <x:v>6</x:v>
      </x:c>
      <x:c r="BT39" s="990" t="str">
        <x:f t="shared" si="29"/>
        <x:v>No</x:v>
      </x:c>
      <x:c r="BU39" s="1302">
        <x:f t="shared" si="30"/>
        <x:v>6</x:v>
      </x:c>
      <x:c r="BV39" s="990" t="str">
        <x:f t="shared" si="31"/>
        <x:v>No</x:v>
      </x:c>
      <x:c r="BW39" s="991">
        <x:f t="shared" ca="1" si="32"/>
        <x:v>0</x:v>
      </x:c>
      <x:c r="BX39" s="991" t="str">
        <x:f t="shared" ca="1" si="33"/>
        <x:v/>
      </x:c>
      <x:c r="BY39" s="991" t="b">
        <x:f t="shared" ca="1" si="34"/>
        <x:v>0</x:v>
      </x:c>
      <x:c r="BZ39" s="991" t="b">
        <x:f t="shared" si="52"/>
        <x:v>0</x:v>
      </x:c>
      <x:c r="CB39" s="672"/>
      <x:c r="CC39" s="1684"/>
      <x:c r="CD39" s="699"/>
      <x:c r="CE39" s="700"/>
      <x:c r="CF39" s="701"/>
      <x:c r="CG39" s="672"/>
      <x:c r="CH39" s="713"/>
      <x:c r="CI39" s="714"/>
      <x:c r="CJ39" s="713"/>
      <x:c r="CK39" s="714"/>
      <x:c r="CL39" s="715"/>
      <x:c r="CM39" s="743"/>
      <x:c r="CN39" s="738"/>
      <x:c r="CO39" s="1551"/>
      <x:c r="CP39" s="910"/>
      <x:c r="CQ39" s="672"/>
      <x:c r="CR39" s="713"/>
      <x:c r="CS39" s="714"/>
      <x:c r="CT39" s="713"/>
      <x:c r="CU39" s="714"/>
      <x:c r="CV39" s="715"/>
      <x:c r="CW39" s="743"/>
      <x:c r="CX39" s="738"/>
      <x:c r="CY39" s="1551"/>
      <x:c r="CZ39" s="910"/>
      <x:c r="DA39" s="717"/>
      <x:c r="DB39" s="702"/>
      <x:c r="DC39" s="703"/>
      <x:c r="DD39" s="725"/>
      <x:c r="DE39" s="726"/>
      <x:c r="DF39" s="141"/>
      <x:c r="DG39" s="141"/>
      <x:c r="DH39" s="672"/>
      <x:c r="DI39" s="673"/>
      <x:c r="DJ39" s="692"/>
      <x:c r="DK39" s="1331"/>
      <x:c r="DL39" s="674"/>
      <x:c r="DM39" s="693"/>
      <x:c r="DN39" s="1334"/>
      <x:c r="DO39" s="675"/>
      <x:c r="DP39" s="676"/>
      <x:c r="DQ39" s="1419"/>
      <x:c r="DR39" s="677"/>
      <x:c r="DS39" s="1419"/>
      <x:c r="DT39" s="1421"/>
      <x:c r="DU39" s="1422"/>
      <x:c r="DV39" s="678"/>
      <x:c r="DW39" s="1336"/>
      <x:c r="DX39" s="679"/>
      <x:c r="DY39" s="674"/>
      <x:c r="DZ39" s="678"/>
      <x:c r="EA39" s="1336"/>
      <x:c r="EB39" s="679"/>
      <x:c r="EC39" s="674"/>
      <x:c r="ED39" s="678"/>
      <x:c r="EE39" s="1336"/>
      <x:c r="EF39" s="679"/>
      <x:c r="EG39" s="674"/>
      <x:c r="EH39" s="678"/>
      <x:c r="EI39" s="1336"/>
      <x:c r="EJ39" s="679"/>
      <x:c r="EK39" s="680"/>
      <x:c r="EL39" s="241"/>
      <x:c r="EM39" s="1631" t="str">
        <x:f t="shared" si="35"/>
        <x:v/>
      </x:c>
      <x:c r="EN39" s="1428" t="str">
        <x:f t="shared" si="36"/>
        <x:v/>
      </x:c>
      <x:c r="EO39" s="1429" t="str">
        <x:f t="shared" si="37"/>
        <x:v/>
      </x:c>
      <x:c r="EP39" s="1430" t="str">
        <x:f t="shared" si="38"/>
        <x:v/>
      </x:c>
      <x:c r="EQ39" s="1434" t="str">
        <x:f t="shared" si="39"/>
        <x:v/>
      </x:c>
      <x:c r="ER39" s="1440" t="str">
        <x:f t="shared" si="40"/>
        <x:v/>
      </x:c>
      <x:c r="ES39" s="1441" t="str">
        <x:f t="shared" si="41"/>
        <x:v/>
      </x:c>
      <x:c r="ET39" s="1442" t="str">
        <x:f t="shared" si="42"/>
        <x:v/>
      </x:c>
      <x:c r="EU39" s="1443" t="str">
        <x:f t="shared" si="53"/>
        <x:v/>
      </x:c>
      <x:c r="EX39" s="503" t="str">
        <x:f t="shared" ca="1" si="54"/>
        <x:v/>
      </x:c>
      <x:c r="EY39" s="940" t="str">
        <x:f t="shared" si="43"/>
        <x:v/>
      </x:c>
      <x:c r="EZ39" s="940" t="str">
        <x:f t="shared" si="55"/>
        <x:v/>
      </x:c>
      <x:c r="FA39" s="958" t="str">
        <x:f t="shared" ca="1" si="60"/>
        <x:v/>
      </x:c>
      <x:c r="FB39" s="134" t="str">
        <x:f t="shared" ca="1" si="56"/>
        <x:v/>
      </x:c>
      <x:c r="FC39" s="134">
        <x:f t="shared" ca="1" si="44"/>
        <x:v>0</x:v>
      </x:c>
      <x:c r="FD39" s="134">
        <x:f t="shared" ca="1" si="45"/>
        <x:v>0</x:v>
      </x:c>
      <x:c r="FE39" s="134">
        <x:f t="shared" ca="1" si="46"/>
        <x:v>0</x:v>
      </x:c>
      <x:c r="FF39" s="134">
        <x:f t="shared" ca="1" si="57"/>
        <x:v>0</x:v>
      </x:c>
      <x:c r="FN39" s="754" t="b">
        <x:v>0</x:v>
      </x:c>
      <x:c r="FO39" s="754" t="b">
        <x:f t="shared" si="47"/>
        <x:v>1</x:v>
      </x:c>
      <x:c r="FP39" s="754" t="b">
        <x:v>0</x:v>
      </x:c>
      <x:c r="FQ39" s="754" t="b">
        <x:f t="shared" si="58"/>
        <x:v>1</x:v>
      </x:c>
      <x:c r="FW39" s="2"/>
      <x:c r="FX39" s="2"/>
      <x:c r="FZ39" s="2"/>
      <x:c r="GA39" s="1761" t="str">
        <x:f t="shared" si="92"/>
        <x:v/>
      </x:c>
      <x:c r="GB39" s="1762" t="str">
        <x:f t="shared" si="93"/>
        <x:v/>
      </x:c>
      <x:c r="GC39" s="1763" t="str">
        <x:f t="shared" si="94"/>
        <x:v/>
      </x:c>
      <x:c r="GD39" s="1764" t="str">
        <x:f t="shared" si="95"/>
        <x:v/>
      </x:c>
      <x:c r="GE39" s="1765" t="str">
        <x:f t="shared" si="48"/>
        <x:v/>
      </x:c>
      <x:c r="GF39" s="582" t="str">
        <x:f t="shared" si="49"/>
        <x:v/>
      </x:c>
      <x:c r="GG39" s="692"/>
      <x:c r="GH39" s="1135"/>
      <x:c r="GI39" s="692"/>
      <x:c r="GJ39" s="1135"/>
      <x:c r="GK39" s="1640">
        <x:f t="shared" si="50"/>
        <x:v>0</x:v>
      </x:c>
      <x:c r="GL39" s="1640" t="e">
        <x:f t="shared" si="51"/>
        <x:v>#VALUE!</x:v>
      </x:c>
      <x:c r="GM39" s="1641" t="e">
        <x:f>IF(ABS(GK39-GL39)&gt;='Job Info.'!$L$22,ABS(GK39-GL39),0)</x:f>
        <x:v>#VALUE!</x:v>
      </x:c>
      <x:c r="HA39" s="1241"/>
      <x:c r="HB39" s="1242"/>
      <x:c r="HC39" s="1242"/>
      <x:c r="HD39" s="1243"/>
      <x:c r="HE39" s="1244"/>
      <x:c r="HF39" s="1242"/>
      <x:c r="HG39" s="1242"/>
      <x:c r="HH39" s="1242"/>
      <x:c r="HI39" s="1242"/>
      <x:c r="HJ39" s="1242"/>
      <x:c r="HK39" s="1242"/>
      <x:c r="HL39" s="1242"/>
      <x:c r="HM39" s="1242"/>
      <x:c r="HN39" s="1242"/>
      <x:c r="HO39" s="1242"/>
      <x:c r="HP39" s="1242"/>
      <x:c r="HQ39" s="1242"/>
      <x:c r="HR39" s="1242"/>
      <x:c r="HS39" s="1242"/>
      <x:c r="HT39" s="1242"/>
      <x:c r="HU39" s="1242"/>
      <x:c r="HV39" s="1242"/>
      <x:c r="HW39" s="1242"/>
      <x:c r="HX39" s="1242"/>
      <x:c r="HY39" s="1246"/>
      <x:c r="HZ39" s="1246"/>
      <x:c r="IA39" s="1246"/>
      <x:c r="IB39" s="1246"/>
      <x:c r="IC39" s="1246"/>
      <x:c r="ID39" s="1261"/>
      <x:c r="IE39" s="1241"/>
      <x:c r="IF39" s="1242"/>
      <x:c r="IG39" s="1243"/>
      <x:c r="IH39" s="1244"/>
      <x:c r="II39" s="1242"/>
      <x:c r="IJ39" s="1243"/>
      <x:c r="IK39" s="1244"/>
      <x:c r="IL39" s="1242"/>
      <x:c r="IM39" s="1242"/>
      <x:c r="IN39" s="1242"/>
      <x:c r="IO39" s="1242"/>
      <x:c r="IP39" s="1242"/>
      <x:c r="IQ39" s="1242"/>
      <x:c r="IR39" s="1242"/>
      <x:c r="IS39" s="1243"/>
      <x:c r="IT39" s="1244"/>
      <x:c r="IU39" s="1242"/>
      <x:c r="IV39" s="1242"/>
      <x:c r="IW39" s="1243"/>
      <x:c r="IX39" s="1244"/>
      <x:c r="IY39" s="1242"/>
      <x:c r="IZ39" s="1242"/>
      <x:c r="JA39" s="1243"/>
      <x:c r="JB39" s="1244"/>
      <x:c r="JC39" s="1242"/>
      <x:c r="JD39" s="1242"/>
      <x:c r="JE39" s="1243"/>
      <x:c r="JF39" s="1244"/>
      <x:c r="JG39" s="1242"/>
      <x:c r="JH39" s="1242"/>
      <x:c r="JI39" s="1242"/>
      <x:c r="JJ39" s="1245"/>
      <x:c r="JK39" s="1242"/>
      <x:c r="JL39" s="1171">
        <x:f t="shared" ca="1" si="61"/>
        <x:v>0</x:v>
      </x:c>
    </x:row>
    <x:row r="40" spans="1:272" ht="12.6" customHeight="1" x14ac:dyDescent="0.25">
      <x:c r="A40" s="2764" t="str">
        <x:f t="shared" si="65"/>
        <x:v/>
      </x:c>
      <x:c r="B40" s="2765"/>
      <x:c r="C40" s="2766" t="str">
        <x:f t="shared" si="65"/>
        <x:v/>
      </x:c>
      <x:c r="D40" s="2767" t="str">
        <x:f t="shared" si="66"/>
        <x:v/>
      </x:c>
      <x:c r="E40" s="2768" t="str">
        <x:f t="shared" si="67"/>
        <x:v/>
      </x:c>
      <x:c r="F40" s="2769" t="str">
        <x:f t="shared" si="68"/>
        <x:v/>
      </x:c>
      <x:c r="G40" s="2770" t="str">
        <x:f t="shared" si="69"/>
        <x:v/>
      </x:c>
      <x:c r="H40" s="2771" t="str">
        <x:f t="shared" si="70"/>
        <x:v/>
      </x:c>
      <x:c r="I40" s="2772" t="str">
        <x:f t="shared" si="71"/>
        <x:v/>
      </x:c>
      <x:c r="J40" s="2767" t="str">
        <x:f t="shared" si="62"/>
        <x:v/>
      </x:c>
      <x:c r="K40" s="2771" t="str">
        <x:f t="shared" si="63"/>
        <x:v/>
      </x:c>
      <x:c r="L40" s="2773" t="str">
        <x:f t="shared" si="64"/>
        <x:v/>
      </x:c>
      <x:c r="M40" s="2774" t="str">
        <x:f t="shared" si="72"/>
        <x:v/>
      </x:c>
      <x:c r="N40" s="2775" t="str">
        <x:f t="shared" si="72"/>
        <x:v/>
      </x:c>
      <x:c r="O40" s="2770" t="str">
        <x:f t="shared" si="73"/>
        <x:v/>
      </x:c>
      <x:c r="P40" s="2771" t="str">
        <x:f t="shared" si="74"/>
        <x:v/>
      </x:c>
      <x:c r="Q40" s="2767" t="str">
        <x:f t="shared" si="75"/>
        <x:v/>
      </x:c>
      <x:c r="R40" s="2768" t="str">
        <x:f t="shared" si="76"/>
        <x:v/>
      </x:c>
      <x:c r="S40" s="2776" t="str">
        <x:f t="shared" si="77"/>
        <x:v/>
      </x:c>
      <x:c r="T40" s="2771" t="str">
        <x:f t="shared" si="78"/>
        <x:v/>
      </x:c>
      <x:c r="U40" s="2767" t="str">
        <x:f t="shared" si="79"/>
        <x:v/>
      </x:c>
      <x:c r="V40" s="2771" t="str">
        <x:f t="shared" si="80"/>
        <x:v/>
      </x:c>
      <x:c r="W40" s="2775">
        <x:f t="shared" si="81"/>
        <x:v>0</x:v>
      </x:c>
      <x:c r="X40" s="2777" t="str">
        <x:f t="shared" si="0"/>
        <x:v/>
      </x:c>
      <x:c r="Y40" s="2778" t="str">
        <x:f t="shared" si="1"/>
        <x:v/>
      </x:c>
      <x:c r="Z40" s="2779" t="s">
        <x:v>116</x:v>
      </x:c>
      <x:c r="AA40" s="2839" t="str">
        <x:f t="shared" si="2"/>
        <x:v/>
      </x:c>
      <x:c r="AB40" s="2764" t="str">
        <x:f t="shared" si="82"/>
        <x:v/>
      </x:c>
      <x:c r="AC40" s="2772" t="str">
        <x:f t="shared" si="83"/>
        <x:v/>
      </x:c>
      <x:c r="AD40" s="2767" t="str">
        <x:f t="shared" ca="1" si="84"/>
        <x:v/>
      </x:c>
      <x:c r="AE40" s="2771" t="str">
        <x:f t="shared" ca="1" si="85"/>
        <x:v/>
      </x:c>
      <x:c r="AF40" s="2772" t="str">
        <x:f t="shared" ca="1" si="86"/>
        <x:v/>
      </x:c>
      <x:c r="AG40" s="2767" t="str">
        <x:f t="shared" ca="1" si="87"/>
        <x:v/>
      </x:c>
      <x:c r="AH40" s="2771" t="str">
        <x:f t="shared" ca="1" si="88"/>
        <x:v/>
      </x:c>
      <x:c r="AI40" s="2767" t="str">
        <x:f t="shared" ca="1" si="89"/>
        <x:v/>
      </x:c>
      <x:c r="AJ40" s="2771" t="str">
        <x:f t="shared" ca="1" si="90"/>
        <x:v/>
      </x:c>
      <x:c r="AK40" s="2813" t="str">
        <x:f t="shared" si="3"/>
        <x:v/>
      </x:c>
      <x:c r="AL40" s="2814" t="str">
        <x:f t="shared" si="91"/>
        <x:v/>
      </x:c>
      <x:c r="AM40" s="2815" t="str">
        <x:f t="shared" si="3"/>
        <x:v/>
      </x:c>
      <x:c r="AN40" s="2772" t="str">
        <x:f t="shared" si="3"/>
        <x:v/>
      </x:c>
      <x:c r="AO40" s="2775" t="str">
        <x:f t="shared" si="3"/>
        <x:v/>
      </x:c>
      <x:c r="AP40" s="2774" t="str">
        <x:f t="shared" si="4"/>
        <x:v/>
      </x:c>
      <x:c r="AQ40" s="2817" t="str">
        <x:f t="shared" si="4"/>
        <x:v/>
      </x:c>
      <x:c r="AR40" s="2770" t="str">
        <x:f t="shared" si="5"/>
        <x:v/>
      </x:c>
      <x:c r="AS40" s="2771" t="str">
        <x:f t="shared" si="6"/>
        <x:v/>
      </x:c>
      <x:c r="AT40" s="2818" t="str">
        <x:f t="shared" si="7"/>
        <x:v/>
      </x:c>
      <x:c r="AU40" s="2819" t="str">
        <x:f t="shared" si="8"/>
        <x:v/>
      </x:c>
      <x:c r="AV40" s="2776" t="str">
        <x:f t="shared" si="9"/>
        <x:v/>
      </x:c>
      <x:c r="AW40" s="2771" t="str">
        <x:f t="shared" si="10"/>
        <x:v/>
      </x:c>
      <x:c r="AX40" s="2818" t="str">
        <x:f t="shared" si="11"/>
        <x:v/>
      </x:c>
      <x:c r="AY40" s="2819" t="str">
        <x:f t="shared" si="12"/>
        <x:v/>
      </x:c>
      <x:c r="AZ40" s="2776" t="str">
        <x:f t="shared" si="13"/>
        <x:v/>
      </x:c>
      <x:c r="BA40" s="2771" t="str">
        <x:f t="shared" si="14"/>
        <x:v/>
      </x:c>
      <x:c r="BB40" s="2818" t="str">
        <x:f t="shared" si="15"/>
        <x:v/>
      </x:c>
      <x:c r="BC40" s="2819" t="str">
        <x:f t="shared" si="16"/>
        <x:v/>
      </x:c>
      <x:c r="BD40" s="2776" t="str">
        <x:f t="shared" si="17"/>
        <x:v/>
      </x:c>
      <x:c r="BE40" s="2771" t="str">
        <x:f t="shared" si="18"/>
        <x:v/>
      </x:c>
      <x:c r="BF40" s="2818" t="str">
        <x:f t="shared" si="19"/>
        <x:v/>
      </x:c>
      <x:c r="BG40" s="2819" t="str">
        <x:f t="shared" si="20"/>
        <x:v/>
      </x:c>
      <x:c r="BH40" s="1416"/>
      <x:c r="BJ40" s="995" t="str">
        <x:f t="shared" si="59"/>
        <x:v/>
      </x:c>
      <x:c r="BK40" s="993" t="b">
        <x:f t="shared" si="21"/>
        <x:v>0</x:v>
      </x:c>
      <x:c r="BL40" s="1800" t="b">
        <x:v>0</x:v>
      </x:c>
      <x:c r="BM40" s="989">
        <x:f t="shared" si="22"/>
        <x:v>0</x:v>
      </x:c>
      <x:c r="BN40" s="989">
        <x:f t="shared" si="23"/>
        <x:v>0</x:v>
      </x:c>
      <x:c r="BO40" s="989">
        <x:f t="shared" si="24"/>
        <x:v>0</x:v>
      </x:c>
      <x:c r="BP40" s="989">
        <x:f t="shared" si="25"/>
        <x:v>0</x:v>
      </x:c>
      <x:c r="BQ40" s="989">
        <x:f t="shared" si="26"/>
        <x:v>0</x:v>
      </x:c>
      <x:c r="BR40" s="989" t="b">
        <x:f t="shared" si="27"/>
        <x:v>1</x:v>
      </x:c>
      <x:c r="BS40" s="1302">
        <x:f t="shared" si="28"/>
        <x:v>6</x:v>
      </x:c>
      <x:c r="BT40" s="990" t="str">
        <x:f t="shared" si="29"/>
        <x:v>No</x:v>
      </x:c>
      <x:c r="BU40" s="1302">
        <x:f t="shared" si="30"/>
        <x:v>6</x:v>
      </x:c>
      <x:c r="BV40" s="990" t="str">
        <x:f t="shared" si="31"/>
        <x:v>No</x:v>
      </x:c>
      <x:c r="BW40" s="991">
        <x:f t="shared" ca="1" si="32"/>
        <x:v>0</x:v>
      </x:c>
      <x:c r="BX40" s="991" t="str">
        <x:f t="shared" ca="1" si="33"/>
        <x:v/>
      </x:c>
      <x:c r="BY40" s="991" t="b">
        <x:f t="shared" ca="1" si="34"/>
        <x:v>0</x:v>
      </x:c>
      <x:c r="BZ40" s="991" t="b">
        <x:f t="shared" si="52"/>
        <x:v>0</x:v>
      </x:c>
      <x:c r="CB40" s="672"/>
      <x:c r="CC40" s="1684"/>
      <x:c r="CD40" s="699"/>
      <x:c r="CE40" s="700"/>
      <x:c r="CF40" s="701"/>
      <x:c r="CG40" s="672"/>
      <x:c r="CH40" s="713"/>
      <x:c r="CI40" s="714"/>
      <x:c r="CJ40" s="713"/>
      <x:c r="CK40" s="714"/>
      <x:c r="CL40" s="715"/>
      <x:c r="CM40" s="743"/>
      <x:c r="CN40" s="738"/>
      <x:c r="CO40" s="1551"/>
      <x:c r="CP40" s="910"/>
      <x:c r="CQ40" s="672"/>
      <x:c r="CR40" s="713"/>
      <x:c r="CS40" s="714"/>
      <x:c r="CT40" s="713"/>
      <x:c r="CU40" s="714"/>
      <x:c r="CV40" s="715"/>
      <x:c r="CW40" s="743"/>
      <x:c r="CX40" s="738"/>
      <x:c r="CY40" s="1551"/>
      <x:c r="CZ40" s="910"/>
      <x:c r="DA40" s="717"/>
      <x:c r="DB40" s="702"/>
      <x:c r="DC40" s="703"/>
      <x:c r="DD40" s="725"/>
      <x:c r="DE40" s="726"/>
      <x:c r="DF40" s="141"/>
      <x:c r="DG40" s="141"/>
      <x:c r="DH40" s="672"/>
      <x:c r="DI40" s="673"/>
      <x:c r="DJ40" s="692"/>
      <x:c r="DK40" s="1331"/>
      <x:c r="DL40" s="674"/>
      <x:c r="DM40" s="693"/>
      <x:c r="DN40" s="1334"/>
      <x:c r="DO40" s="675"/>
      <x:c r="DP40" s="676"/>
      <x:c r="DQ40" s="1419"/>
      <x:c r="DR40" s="677"/>
      <x:c r="DS40" s="1419"/>
      <x:c r="DT40" s="1421"/>
      <x:c r="DU40" s="1422"/>
      <x:c r="DV40" s="678"/>
      <x:c r="DW40" s="1336"/>
      <x:c r="DX40" s="679"/>
      <x:c r="DY40" s="674"/>
      <x:c r="DZ40" s="678"/>
      <x:c r="EA40" s="1336"/>
      <x:c r="EB40" s="679"/>
      <x:c r="EC40" s="674"/>
      <x:c r="ED40" s="678"/>
      <x:c r="EE40" s="1336"/>
      <x:c r="EF40" s="679"/>
      <x:c r="EG40" s="674"/>
      <x:c r="EH40" s="678"/>
      <x:c r="EI40" s="1336"/>
      <x:c r="EJ40" s="679"/>
      <x:c r="EK40" s="680"/>
      <x:c r="EL40" s="241"/>
      <x:c r="EM40" s="1631" t="str">
        <x:f t="shared" si="35"/>
        <x:v/>
      </x:c>
      <x:c r="EN40" s="1428" t="str">
        <x:f t="shared" si="36"/>
        <x:v/>
      </x:c>
      <x:c r="EO40" s="1429" t="str">
        <x:f t="shared" si="37"/>
        <x:v/>
      </x:c>
      <x:c r="EP40" s="1430" t="str">
        <x:f t="shared" si="38"/>
        <x:v/>
      </x:c>
      <x:c r="EQ40" s="1434" t="str">
        <x:f t="shared" si="39"/>
        <x:v/>
      </x:c>
      <x:c r="ER40" s="1440" t="str">
        <x:f t="shared" si="40"/>
        <x:v/>
      </x:c>
      <x:c r="ES40" s="1441" t="str">
        <x:f t="shared" si="41"/>
        <x:v/>
      </x:c>
      <x:c r="ET40" s="1442" t="str">
        <x:f t="shared" si="42"/>
        <x:v/>
      </x:c>
      <x:c r="EU40" s="1443" t="str">
        <x:f t="shared" si="53"/>
        <x:v/>
      </x:c>
      <x:c r="EX40" s="503" t="str">
        <x:f t="shared" ca="1" si="54"/>
        <x:v/>
      </x:c>
      <x:c r="EY40" s="940" t="str">
        <x:f t="shared" si="43"/>
        <x:v/>
      </x:c>
      <x:c r="EZ40" s="940" t="str">
        <x:f t="shared" si="55"/>
        <x:v/>
      </x:c>
      <x:c r="FA40" s="958" t="str">
        <x:f t="shared" ca="1" si="60"/>
        <x:v/>
      </x:c>
      <x:c r="FB40" s="134" t="str">
        <x:f t="shared" ca="1" si="56"/>
        <x:v/>
      </x:c>
      <x:c r="FC40" s="134">
        <x:f t="shared" ca="1" si="44"/>
        <x:v>0</x:v>
      </x:c>
      <x:c r="FD40" s="134">
        <x:f t="shared" ca="1" si="45"/>
        <x:v>0</x:v>
      </x:c>
      <x:c r="FE40" s="134">
        <x:f t="shared" ca="1" si="46"/>
        <x:v>0</x:v>
      </x:c>
      <x:c r="FF40" s="134">
        <x:f t="shared" ca="1" si="57"/>
        <x:v>0</x:v>
      </x:c>
      <x:c r="FN40" s="754" t="b">
        <x:v>0</x:v>
      </x:c>
      <x:c r="FO40" s="754" t="b">
        <x:f t="shared" si="47"/>
        <x:v>1</x:v>
      </x:c>
      <x:c r="FP40" s="754" t="b">
        <x:v>0</x:v>
      </x:c>
      <x:c r="FQ40" s="754" t="b">
        <x:f t="shared" si="58"/>
        <x:v>1</x:v>
      </x:c>
      <x:c r="FW40" s="2"/>
      <x:c r="FX40" s="2"/>
      <x:c r="FZ40" s="2"/>
      <x:c r="GA40" s="1761" t="str">
        <x:f t="shared" si="92"/>
        <x:v/>
      </x:c>
      <x:c r="GB40" s="1762" t="str">
        <x:f t="shared" si="93"/>
        <x:v/>
      </x:c>
      <x:c r="GC40" s="1763" t="str">
        <x:f t="shared" si="94"/>
        <x:v/>
      </x:c>
      <x:c r="GD40" s="1764" t="str">
        <x:f t="shared" si="95"/>
        <x:v/>
      </x:c>
      <x:c r="GE40" s="1765" t="str">
        <x:f t="shared" si="48"/>
        <x:v/>
      </x:c>
      <x:c r="GF40" s="582" t="str">
        <x:f t="shared" si="49"/>
        <x:v/>
      </x:c>
      <x:c r="GG40" s="692"/>
      <x:c r="GH40" s="1135"/>
      <x:c r="GI40" s="692"/>
      <x:c r="GJ40" s="1135"/>
      <x:c r="GK40" s="1640">
        <x:f t="shared" si="50"/>
        <x:v>0</x:v>
      </x:c>
      <x:c r="GL40" s="1640" t="e">
        <x:f t="shared" si="51"/>
        <x:v>#VALUE!</x:v>
      </x:c>
      <x:c r="GM40" s="1641" t="e">
        <x:f>IF(ABS(GK40-GL40)&gt;='Job Info.'!$L$22,ABS(GK40-GL40),0)</x:f>
        <x:v>#VALUE!</x:v>
      </x:c>
      <x:c r="HA40" s="1241"/>
      <x:c r="HB40" s="1242"/>
      <x:c r="HC40" s="1242"/>
      <x:c r="HD40" s="1243"/>
      <x:c r="HE40" s="1244"/>
      <x:c r="HF40" s="1242"/>
      <x:c r="HG40" s="1242"/>
      <x:c r="HH40" s="1242"/>
      <x:c r="HI40" s="1242"/>
      <x:c r="HJ40" s="1242"/>
      <x:c r="HK40" s="1242"/>
      <x:c r="HL40" s="1242"/>
      <x:c r="HM40" s="1242"/>
      <x:c r="HN40" s="1242"/>
      <x:c r="HO40" s="1242"/>
      <x:c r="HP40" s="1242"/>
      <x:c r="HQ40" s="1242"/>
      <x:c r="HR40" s="1242"/>
      <x:c r="HS40" s="1242"/>
      <x:c r="HT40" s="1242"/>
      <x:c r="HU40" s="1242"/>
      <x:c r="HV40" s="1242"/>
      <x:c r="HW40" s="1242"/>
      <x:c r="HX40" s="1242"/>
      <x:c r="HY40" s="1246"/>
      <x:c r="HZ40" s="1246"/>
      <x:c r="IA40" s="1246"/>
      <x:c r="IB40" s="1246"/>
      <x:c r="IC40" s="1246"/>
      <x:c r="ID40" s="1261"/>
      <x:c r="IE40" s="1241"/>
      <x:c r="IF40" s="1242"/>
      <x:c r="IG40" s="1243"/>
      <x:c r="IH40" s="1244"/>
      <x:c r="II40" s="1242"/>
      <x:c r="IJ40" s="1243"/>
      <x:c r="IK40" s="1244"/>
      <x:c r="IL40" s="1242"/>
      <x:c r="IM40" s="1242"/>
      <x:c r="IN40" s="1242"/>
      <x:c r="IO40" s="1242"/>
      <x:c r="IP40" s="1242"/>
      <x:c r="IQ40" s="1242"/>
      <x:c r="IR40" s="1242"/>
      <x:c r="IS40" s="1243"/>
      <x:c r="IT40" s="1244"/>
      <x:c r="IU40" s="1242"/>
      <x:c r="IV40" s="1242"/>
      <x:c r="IW40" s="1243"/>
      <x:c r="IX40" s="1244"/>
      <x:c r="IY40" s="1242"/>
      <x:c r="IZ40" s="1242"/>
      <x:c r="JA40" s="1243"/>
      <x:c r="JB40" s="1244"/>
      <x:c r="JC40" s="1242"/>
      <x:c r="JD40" s="1242"/>
      <x:c r="JE40" s="1243"/>
      <x:c r="JF40" s="1244"/>
      <x:c r="JG40" s="1242"/>
      <x:c r="JH40" s="1242"/>
      <x:c r="JI40" s="1242"/>
      <x:c r="JJ40" s="1245"/>
      <x:c r="JK40" s="1242"/>
      <x:c r="JL40" s="1171">
        <x:f t="shared" ca="1" si="61"/>
        <x:v>0</x:v>
      </x:c>
    </x:row>
    <x:row r="41" spans="1:272" ht="12.6" customHeight="1" x14ac:dyDescent="0.25">
      <x:c r="A41" s="2764" t="str">
        <x:f t="shared" si="65"/>
        <x:v/>
      </x:c>
      <x:c r="B41" s="2765"/>
      <x:c r="C41" s="2766" t="str">
        <x:f t="shared" si="65"/>
        <x:v/>
      </x:c>
      <x:c r="D41" s="2767" t="str">
        <x:f t="shared" si="66"/>
        <x:v/>
      </x:c>
      <x:c r="E41" s="2768" t="str">
        <x:f t="shared" si="67"/>
        <x:v/>
      </x:c>
      <x:c r="F41" s="2769" t="str">
        <x:f t="shared" si="68"/>
        <x:v/>
      </x:c>
      <x:c r="G41" s="2770" t="str">
        <x:f t="shared" si="69"/>
        <x:v/>
      </x:c>
      <x:c r="H41" s="2771" t="str">
        <x:f t="shared" si="70"/>
        <x:v/>
      </x:c>
      <x:c r="I41" s="2772" t="str">
        <x:f t="shared" si="71"/>
        <x:v/>
      </x:c>
      <x:c r="J41" s="2767" t="str">
        <x:f t="shared" si="62"/>
        <x:v/>
      </x:c>
      <x:c r="K41" s="2771" t="str">
        <x:f t="shared" si="63"/>
        <x:v/>
      </x:c>
      <x:c r="L41" s="2773" t="str">
        <x:f t="shared" si="64"/>
        <x:v/>
      </x:c>
      <x:c r="M41" s="2774" t="str">
        <x:f t="shared" si="72"/>
        <x:v/>
      </x:c>
      <x:c r="N41" s="2775" t="str">
        <x:f t="shared" si="72"/>
        <x:v/>
      </x:c>
      <x:c r="O41" s="2770" t="str">
        <x:f t="shared" si="73"/>
        <x:v/>
      </x:c>
      <x:c r="P41" s="2771" t="str">
        <x:f t="shared" si="74"/>
        <x:v/>
      </x:c>
      <x:c r="Q41" s="2767" t="str">
        <x:f t="shared" si="75"/>
        <x:v/>
      </x:c>
      <x:c r="R41" s="2768" t="str">
        <x:f t="shared" si="76"/>
        <x:v/>
      </x:c>
      <x:c r="S41" s="2776" t="str">
        <x:f t="shared" si="77"/>
        <x:v/>
      </x:c>
      <x:c r="T41" s="2771" t="str">
        <x:f t="shared" si="78"/>
        <x:v/>
      </x:c>
      <x:c r="U41" s="2767" t="str">
        <x:f t="shared" si="79"/>
        <x:v/>
      </x:c>
      <x:c r="V41" s="2771" t="str">
        <x:f t="shared" si="80"/>
        <x:v/>
      </x:c>
      <x:c r="W41" s="2775">
        <x:f t="shared" si="81"/>
        <x:v>0</x:v>
      </x:c>
      <x:c r="X41" s="2777" t="str">
        <x:f t="shared" si="0"/>
        <x:v/>
      </x:c>
      <x:c r="Y41" s="2778" t="str">
        <x:f t="shared" si="1"/>
        <x:v/>
      </x:c>
      <x:c r="Z41" s="2779" t="s">
        <x:v>116</x:v>
      </x:c>
      <x:c r="AA41" s="2839" t="str">
        <x:f t="shared" si="2"/>
        <x:v/>
      </x:c>
      <x:c r="AB41" s="2764" t="str">
        <x:f t="shared" si="82"/>
        <x:v/>
      </x:c>
      <x:c r="AC41" s="2772" t="str">
        <x:f t="shared" si="83"/>
        <x:v/>
      </x:c>
      <x:c r="AD41" s="2767" t="str">
        <x:f t="shared" ca="1" si="84"/>
        <x:v/>
      </x:c>
      <x:c r="AE41" s="2771" t="str">
        <x:f t="shared" ca="1" si="85"/>
        <x:v/>
      </x:c>
      <x:c r="AF41" s="2772" t="str">
        <x:f t="shared" ca="1" si="86"/>
        <x:v/>
      </x:c>
      <x:c r="AG41" s="2767" t="str">
        <x:f t="shared" ca="1" si="87"/>
        <x:v/>
      </x:c>
      <x:c r="AH41" s="2771" t="str">
        <x:f t="shared" ca="1" si="88"/>
        <x:v/>
      </x:c>
      <x:c r="AI41" s="2767" t="str">
        <x:f t="shared" ca="1" si="89"/>
        <x:v/>
      </x:c>
      <x:c r="AJ41" s="2771" t="str">
        <x:f t="shared" ca="1" si="90"/>
        <x:v/>
      </x:c>
      <x:c r="AK41" s="2813" t="str">
        <x:f t="shared" si="3"/>
        <x:v/>
      </x:c>
      <x:c r="AL41" s="2814" t="str">
        <x:f t="shared" si="91"/>
        <x:v/>
      </x:c>
      <x:c r="AM41" s="2815" t="str">
        <x:f t="shared" si="3"/>
        <x:v/>
      </x:c>
      <x:c r="AN41" s="2772" t="str">
        <x:f t="shared" si="3"/>
        <x:v/>
      </x:c>
      <x:c r="AO41" s="2775" t="str">
        <x:f t="shared" si="3"/>
        <x:v/>
      </x:c>
      <x:c r="AP41" s="2774" t="str">
        <x:f t="shared" si="4"/>
        <x:v/>
      </x:c>
      <x:c r="AQ41" s="2817" t="str">
        <x:f t="shared" si="4"/>
        <x:v/>
      </x:c>
      <x:c r="AR41" s="2770" t="str">
        <x:f t="shared" si="5"/>
        <x:v/>
      </x:c>
      <x:c r="AS41" s="2771" t="str">
        <x:f t="shared" si="6"/>
        <x:v/>
      </x:c>
      <x:c r="AT41" s="2818" t="str">
        <x:f t="shared" si="7"/>
        <x:v/>
      </x:c>
      <x:c r="AU41" s="2819" t="str">
        <x:f t="shared" si="8"/>
        <x:v/>
      </x:c>
      <x:c r="AV41" s="2776" t="str">
        <x:f t="shared" si="9"/>
        <x:v/>
      </x:c>
      <x:c r="AW41" s="2771" t="str">
        <x:f t="shared" si="10"/>
        <x:v/>
      </x:c>
      <x:c r="AX41" s="2818" t="str">
        <x:f t="shared" si="11"/>
        <x:v/>
      </x:c>
      <x:c r="AY41" s="2819" t="str">
        <x:f t="shared" si="12"/>
        <x:v/>
      </x:c>
      <x:c r="AZ41" s="2776" t="str">
        <x:f t="shared" si="13"/>
        <x:v/>
      </x:c>
      <x:c r="BA41" s="2771" t="str">
        <x:f t="shared" si="14"/>
        <x:v/>
      </x:c>
      <x:c r="BB41" s="2818" t="str">
        <x:f t="shared" si="15"/>
        <x:v/>
      </x:c>
      <x:c r="BC41" s="2819" t="str">
        <x:f t="shared" si="16"/>
        <x:v/>
      </x:c>
      <x:c r="BD41" s="2776" t="str">
        <x:f t="shared" si="17"/>
        <x:v/>
      </x:c>
      <x:c r="BE41" s="2771" t="str">
        <x:f t="shared" si="18"/>
        <x:v/>
      </x:c>
      <x:c r="BF41" s="2818" t="str">
        <x:f t="shared" si="19"/>
        <x:v/>
      </x:c>
      <x:c r="BG41" s="2819" t="str">
        <x:f t="shared" si="20"/>
        <x:v/>
      </x:c>
      <x:c r="BH41" s="1416"/>
      <x:c r="BJ41" s="995" t="str">
        <x:f t="shared" si="59"/>
        <x:v/>
      </x:c>
      <x:c r="BK41" s="993" t="b">
        <x:f t="shared" si="21"/>
        <x:v>0</x:v>
      </x:c>
      <x:c r="BL41" s="1800" t="b">
        <x:v>0</x:v>
      </x:c>
      <x:c r="BM41" s="989">
        <x:f t="shared" si="22"/>
        <x:v>0</x:v>
      </x:c>
      <x:c r="BN41" s="989">
        <x:f t="shared" si="23"/>
        <x:v>0</x:v>
      </x:c>
      <x:c r="BO41" s="989">
        <x:f t="shared" si="24"/>
        <x:v>0</x:v>
      </x:c>
      <x:c r="BP41" s="989">
        <x:f t="shared" si="25"/>
        <x:v>0</x:v>
      </x:c>
      <x:c r="BQ41" s="989">
        <x:f t="shared" si="26"/>
        <x:v>0</x:v>
      </x:c>
      <x:c r="BR41" s="989" t="b">
        <x:f t="shared" si="27"/>
        <x:v>1</x:v>
      </x:c>
      <x:c r="BS41" s="1302">
        <x:f t="shared" si="28"/>
        <x:v>6</x:v>
      </x:c>
      <x:c r="BT41" s="990" t="str">
        <x:f t="shared" si="29"/>
        <x:v>No</x:v>
      </x:c>
      <x:c r="BU41" s="1302">
        <x:f t="shared" si="30"/>
        <x:v>6</x:v>
      </x:c>
      <x:c r="BV41" s="990" t="str">
        <x:f t="shared" si="31"/>
        <x:v>No</x:v>
      </x:c>
      <x:c r="BW41" s="991">
        <x:f t="shared" ca="1" si="32"/>
        <x:v>0</x:v>
      </x:c>
      <x:c r="BX41" s="991" t="str">
        <x:f t="shared" ca="1" si="33"/>
        <x:v/>
      </x:c>
      <x:c r="BY41" s="991" t="b">
        <x:f t="shared" ca="1" si="34"/>
        <x:v>0</x:v>
      </x:c>
      <x:c r="BZ41" s="991" t="b">
        <x:f t="shared" si="52"/>
        <x:v>0</x:v>
      </x:c>
      <x:c r="CB41" s="672"/>
      <x:c r="CC41" s="1684"/>
      <x:c r="CD41" s="699"/>
      <x:c r="CE41" s="700"/>
      <x:c r="CF41" s="701"/>
      <x:c r="CG41" s="672"/>
      <x:c r="CH41" s="713"/>
      <x:c r="CI41" s="714"/>
      <x:c r="CJ41" s="713"/>
      <x:c r="CK41" s="714"/>
      <x:c r="CL41" s="715"/>
      <x:c r="CM41" s="743"/>
      <x:c r="CN41" s="738"/>
      <x:c r="CO41" s="1551"/>
      <x:c r="CP41" s="910"/>
      <x:c r="CQ41" s="672"/>
      <x:c r="CR41" s="713"/>
      <x:c r="CS41" s="714"/>
      <x:c r="CT41" s="713"/>
      <x:c r="CU41" s="714"/>
      <x:c r="CV41" s="715"/>
      <x:c r="CW41" s="743"/>
      <x:c r="CX41" s="738"/>
      <x:c r="CY41" s="1551"/>
      <x:c r="CZ41" s="910"/>
      <x:c r="DA41" s="717"/>
      <x:c r="DB41" s="702"/>
      <x:c r="DC41" s="703"/>
      <x:c r="DD41" s="725"/>
      <x:c r="DE41" s="726"/>
      <x:c r="DF41" s="141"/>
      <x:c r="DG41" s="141"/>
      <x:c r="DH41" s="672"/>
      <x:c r="DI41" s="673"/>
      <x:c r="DJ41" s="692"/>
      <x:c r="DK41" s="1331"/>
      <x:c r="DL41" s="674"/>
      <x:c r="DM41" s="693"/>
      <x:c r="DN41" s="1334"/>
      <x:c r="DO41" s="675"/>
      <x:c r="DP41" s="676"/>
      <x:c r="DQ41" s="1419"/>
      <x:c r="DR41" s="677"/>
      <x:c r="DS41" s="1419"/>
      <x:c r="DT41" s="1421"/>
      <x:c r="DU41" s="1422"/>
      <x:c r="DV41" s="678"/>
      <x:c r="DW41" s="1336"/>
      <x:c r="DX41" s="679"/>
      <x:c r="DY41" s="674"/>
      <x:c r="DZ41" s="678"/>
      <x:c r="EA41" s="1336"/>
      <x:c r="EB41" s="679"/>
      <x:c r="EC41" s="674"/>
      <x:c r="ED41" s="678"/>
      <x:c r="EE41" s="1336"/>
      <x:c r="EF41" s="679"/>
      <x:c r="EG41" s="674"/>
      <x:c r="EH41" s="678"/>
      <x:c r="EI41" s="1336"/>
      <x:c r="EJ41" s="679"/>
      <x:c r="EK41" s="680"/>
      <x:c r="EL41" s="241"/>
      <x:c r="EM41" s="1631" t="str">
        <x:f t="shared" si="35"/>
        <x:v/>
      </x:c>
      <x:c r="EN41" s="1428" t="str">
        <x:f t="shared" si="36"/>
        <x:v/>
      </x:c>
      <x:c r="EO41" s="1429" t="str">
        <x:f t="shared" si="37"/>
        <x:v/>
      </x:c>
      <x:c r="EP41" s="1430" t="str">
        <x:f t="shared" si="38"/>
        <x:v/>
      </x:c>
      <x:c r="EQ41" s="1434" t="str">
        <x:f t="shared" si="39"/>
        <x:v/>
      </x:c>
      <x:c r="ER41" s="1440" t="str">
        <x:f t="shared" si="40"/>
        <x:v/>
      </x:c>
      <x:c r="ES41" s="1441" t="str">
        <x:f t="shared" si="41"/>
        <x:v/>
      </x:c>
      <x:c r="ET41" s="1442" t="str">
        <x:f t="shared" si="42"/>
        <x:v/>
      </x:c>
      <x:c r="EU41" s="1443" t="str">
        <x:f t="shared" si="53"/>
        <x:v/>
      </x:c>
      <x:c r="EX41" s="503" t="str">
        <x:f t="shared" ca="1" si="54"/>
        <x:v/>
      </x:c>
      <x:c r="EY41" s="940" t="str">
        <x:f t="shared" si="43"/>
        <x:v/>
      </x:c>
      <x:c r="EZ41" s="940" t="str">
        <x:f t="shared" si="55"/>
        <x:v/>
      </x:c>
      <x:c r="FA41" s="958" t="str">
        <x:f t="shared" ca="1" si="60"/>
        <x:v/>
      </x:c>
      <x:c r="FB41" s="134" t="str">
        <x:f t="shared" ca="1" si="56"/>
        <x:v/>
      </x:c>
      <x:c r="FC41" s="134">
        <x:f t="shared" ca="1" si="44"/>
        <x:v>0</x:v>
      </x:c>
      <x:c r="FD41" s="134">
        <x:f t="shared" ca="1" si="45"/>
        <x:v>0</x:v>
      </x:c>
      <x:c r="FE41" s="134">
        <x:f t="shared" ca="1" si="46"/>
        <x:v>0</x:v>
      </x:c>
      <x:c r="FF41" s="134">
        <x:f t="shared" ca="1" si="57"/>
        <x:v>0</x:v>
      </x:c>
      <x:c r="FN41" s="754" t="b">
        <x:v>0</x:v>
      </x:c>
      <x:c r="FO41" s="754" t="b">
        <x:f t="shared" si="47"/>
        <x:v>1</x:v>
      </x:c>
      <x:c r="FP41" s="754" t="b">
        <x:v>0</x:v>
      </x:c>
      <x:c r="FQ41" s="754" t="b">
        <x:f t="shared" si="58"/>
        <x:v>1</x:v>
      </x:c>
      <x:c r="FW41" s="2"/>
      <x:c r="FX41" s="2"/>
      <x:c r="FZ41" s="2"/>
      <x:c r="GA41" s="1761" t="str">
        <x:f t="shared" si="92"/>
        <x:v/>
      </x:c>
      <x:c r="GB41" s="1762" t="str">
        <x:f t="shared" si="93"/>
        <x:v/>
      </x:c>
      <x:c r="GC41" s="1763" t="str">
        <x:f t="shared" si="94"/>
        <x:v/>
      </x:c>
      <x:c r="GD41" s="1764" t="str">
        <x:f t="shared" si="95"/>
        <x:v/>
      </x:c>
      <x:c r="GE41" s="1765" t="str">
        <x:f t="shared" si="48"/>
        <x:v/>
      </x:c>
      <x:c r="GF41" s="582" t="str">
        <x:f t="shared" si="49"/>
        <x:v/>
      </x:c>
      <x:c r="GG41" s="692"/>
      <x:c r="GH41" s="1135"/>
      <x:c r="GI41" s="692"/>
      <x:c r="GJ41" s="1135"/>
      <x:c r="GK41" s="1640">
        <x:f t="shared" si="50"/>
        <x:v>0</x:v>
      </x:c>
      <x:c r="GL41" s="1640" t="e">
        <x:f t="shared" si="51"/>
        <x:v>#VALUE!</x:v>
      </x:c>
      <x:c r="GM41" s="1641" t="e">
        <x:f>IF(ABS(GK41-GL41)&gt;='Job Info.'!$L$22,ABS(GK41-GL41),0)</x:f>
        <x:v>#VALUE!</x:v>
      </x:c>
      <x:c r="HA41" s="1241"/>
      <x:c r="HB41" s="1242"/>
      <x:c r="HC41" s="1242"/>
      <x:c r="HD41" s="1243"/>
      <x:c r="HE41" s="1244"/>
      <x:c r="HF41" s="1242"/>
      <x:c r="HG41" s="1242"/>
      <x:c r="HH41" s="1242"/>
      <x:c r="HI41" s="1242"/>
      <x:c r="HJ41" s="1242"/>
      <x:c r="HK41" s="1242"/>
      <x:c r="HL41" s="1242"/>
      <x:c r="HM41" s="1242"/>
      <x:c r="HN41" s="1242"/>
      <x:c r="HO41" s="1242"/>
      <x:c r="HP41" s="1242"/>
      <x:c r="HQ41" s="1242"/>
      <x:c r="HR41" s="1242"/>
      <x:c r="HS41" s="1242"/>
      <x:c r="HT41" s="1242"/>
      <x:c r="HU41" s="1242"/>
      <x:c r="HV41" s="1242"/>
      <x:c r="HW41" s="1242"/>
      <x:c r="HX41" s="1242"/>
      <x:c r="HY41" s="1246"/>
      <x:c r="HZ41" s="1246"/>
      <x:c r="IA41" s="1246"/>
      <x:c r="IB41" s="1246"/>
      <x:c r="IC41" s="1246"/>
      <x:c r="ID41" s="1261"/>
      <x:c r="IE41" s="1241"/>
      <x:c r="IF41" s="1242"/>
      <x:c r="IG41" s="1243"/>
      <x:c r="IH41" s="1244"/>
      <x:c r="II41" s="1242"/>
      <x:c r="IJ41" s="1243"/>
      <x:c r="IK41" s="1244"/>
      <x:c r="IL41" s="1242"/>
      <x:c r="IM41" s="1242"/>
      <x:c r="IN41" s="1242"/>
      <x:c r="IO41" s="1242"/>
      <x:c r="IP41" s="1242"/>
      <x:c r="IQ41" s="1242"/>
      <x:c r="IR41" s="1242"/>
      <x:c r="IS41" s="1243"/>
      <x:c r="IT41" s="1244"/>
      <x:c r="IU41" s="1242"/>
      <x:c r="IV41" s="1242"/>
      <x:c r="IW41" s="1243"/>
      <x:c r="IX41" s="1244"/>
      <x:c r="IY41" s="1242"/>
      <x:c r="IZ41" s="1242"/>
      <x:c r="JA41" s="1243"/>
      <x:c r="JB41" s="1244"/>
      <x:c r="JC41" s="1242"/>
      <x:c r="JD41" s="1242"/>
      <x:c r="JE41" s="1243"/>
      <x:c r="JF41" s="1244"/>
      <x:c r="JG41" s="1242"/>
      <x:c r="JH41" s="1242"/>
      <x:c r="JI41" s="1242"/>
      <x:c r="JJ41" s="1245"/>
      <x:c r="JK41" s="1242"/>
      <x:c r="JL41" s="1171">
        <x:f t="shared" ca="1" si="61"/>
        <x:v>0</x:v>
      </x:c>
    </x:row>
    <x:row r="42" spans="1:272" ht="12.6" customHeight="1" x14ac:dyDescent="0.25">
      <x:c r="A42" s="2764" t="str">
        <x:f t="shared" si="65"/>
        <x:v/>
      </x:c>
      <x:c r="B42" s="2765"/>
      <x:c r="C42" s="2766" t="str">
        <x:f t="shared" si="65"/>
        <x:v/>
      </x:c>
      <x:c r="D42" s="2767" t="str">
        <x:f t="shared" si="66"/>
        <x:v/>
      </x:c>
      <x:c r="E42" s="2768" t="str">
        <x:f t="shared" si="67"/>
        <x:v/>
      </x:c>
      <x:c r="F42" s="2769" t="str">
        <x:f t="shared" si="68"/>
        <x:v/>
      </x:c>
      <x:c r="G42" s="2770" t="str">
        <x:f t="shared" si="69"/>
        <x:v/>
      </x:c>
      <x:c r="H42" s="2771" t="str">
        <x:f t="shared" si="70"/>
        <x:v/>
      </x:c>
      <x:c r="I42" s="2772" t="str">
        <x:f t="shared" si="71"/>
        <x:v/>
      </x:c>
      <x:c r="J42" s="2767" t="str">
        <x:f t="shared" si="62"/>
        <x:v/>
      </x:c>
      <x:c r="K42" s="2771" t="str">
        <x:f t="shared" si="63"/>
        <x:v/>
      </x:c>
      <x:c r="L42" s="2773" t="str">
        <x:f t="shared" si="64"/>
        <x:v/>
      </x:c>
      <x:c r="M42" s="2774" t="str">
        <x:f t="shared" si="72"/>
        <x:v/>
      </x:c>
      <x:c r="N42" s="2775" t="str">
        <x:f t="shared" si="72"/>
        <x:v/>
      </x:c>
      <x:c r="O42" s="2770" t="str">
        <x:f t="shared" si="73"/>
        <x:v/>
      </x:c>
      <x:c r="P42" s="2771" t="str">
        <x:f t="shared" si="74"/>
        <x:v/>
      </x:c>
      <x:c r="Q42" s="2767" t="str">
        <x:f t="shared" si="75"/>
        <x:v/>
      </x:c>
      <x:c r="R42" s="2768" t="str">
        <x:f t="shared" si="76"/>
        <x:v/>
      </x:c>
      <x:c r="S42" s="2776" t="str">
        <x:f t="shared" si="77"/>
        <x:v/>
      </x:c>
      <x:c r="T42" s="2771" t="str">
        <x:f t="shared" si="78"/>
        <x:v/>
      </x:c>
      <x:c r="U42" s="2767" t="str">
        <x:f t="shared" si="79"/>
        <x:v/>
      </x:c>
      <x:c r="V42" s="2771" t="str">
        <x:f t="shared" si="80"/>
        <x:v/>
      </x:c>
      <x:c r="W42" s="2775">
        <x:f t="shared" si="81"/>
        <x:v>0</x:v>
      </x:c>
      <x:c r="X42" s="2777" t="str">
        <x:f t="shared" si="0"/>
        <x:v/>
      </x:c>
      <x:c r="Y42" s="2778" t="str">
        <x:f t="shared" si="1"/>
        <x:v/>
      </x:c>
      <x:c r="Z42" s="2779" t="s">
        <x:v>116</x:v>
      </x:c>
      <x:c r="AA42" s="2839" t="str">
        <x:f t="shared" si="2"/>
        <x:v/>
      </x:c>
      <x:c r="AB42" s="2764" t="str">
        <x:f t="shared" si="82"/>
        <x:v/>
      </x:c>
      <x:c r="AC42" s="2772" t="str">
        <x:f t="shared" si="83"/>
        <x:v/>
      </x:c>
      <x:c r="AD42" s="2767" t="str">
        <x:f t="shared" ca="1" si="84"/>
        <x:v/>
      </x:c>
      <x:c r="AE42" s="2771" t="str">
        <x:f t="shared" ca="1" si="85"/>
        <x:v/>
      </x:c>
      <x:c r="AF42" s="2772" t="str">
        <x:f t="shared" ca="1" si="86"/>
        <x:v/>
      </x:c>
      <x:c r="AG42" s="2767" t="str">
        <x:f t="shared" ca="1" si="87"/>
        <x:v/>
      </x:c>
      <x:c r="AH42" s="2771" t="str">
        <x:f t="shared" ca="1" si="88"/>
        <x:v/>
      </x:c>
      <x:c r="AI42" s="2767" t="str">
        <x:f t="shared" ca="1" si="89"/>
        <x:v/>
      </x:c>
      <x:c r="AJ42" s="2771" t="str">
        <x:f t="shared" ca="1" si="90"/>
        <x:v/>
      </x:c>
      <x:c r="AK42" s="2813" t="str">
        <x:f t="shared" si="3"/>
        <x:v/>
      </x:c>
      <x:c r="AL42" s="2814" t="str">
        <x:f t="shared" si="91"/>
        <x:v/>
      </x:c>
      <x:c r="AM42" s="2815" t="str">
        <x:f t="shared" si="3"/>
        <x:v/>
      </x:c>
      <x:c r="AN42" s="2772" t="str">
        <x:f t="shared" si="3"/>
        <x:v/>
      </x:c>
      <x:c r="AO42" s="2775" t="str">
        <x:f t="shared" si="3"/>
        <x:v/>
      </x:c>
      <x:c r="AP42" s="2774" t="str">
        <x:f t="shared" si="4"/>
        <x:v/>
      </x:c>
      <x:c r="AQ42" s="2817" t="str">
        <x:f t="shared" si="4"/>
        <x:v/>
      </x:c>
      <x:c r="AR42" s="2770" t="str">
        <x:f t="shared" si="5"/>
        <x:v/>
      </x:c>
      <x:c r="AS42" s="2771" t="str">
        <x:f t="shared" si="6"/>
        <x:v/>
      </x:c>
      <x:c r="AT42" s="2818" t="str">
        <x:f t="shared" si="7"/>
        <x:v/>
      </x:c>
      <x:c r="AU42" s="2819" t="str">
        <x:f t="shared" si="8"/>
        <x:v/>
      </x:c>
      <x:c r="AV42" s="2776" t="str">
        <x:f t="shared" si="9"/>
        <x:v/>
      </x:c>
      <x:c r="AW42" s="2771" t="str">
        <x:f t="shared" si="10"/>
        <x:v/>
      </x:c>
      <x:c r="AX42" s="2818" t="str">
        <x:f t="shared" si="11"/>
        <x:v/>
      </x:c>
      <x:c r="AY42" s="2819" t="str">
        <x:f t="shared" si="12"/>
        <x:v/>
      </x:c>
      <x:c r="AZ42" s="2776" t="str">
        <x:f t="shared" si="13"/>
        <x:v/>
      </x:c>
      <x:c r="BA42" s="2771" t="str">
        <x:f t="shared" si="14"/>
        <x:v/>
      </x:c>
      <x:c r="BB42" s="2818" t="str">
        <x:f t="shared" si="15"/>
        <x:v/>
      </x:c>
      <x:c r="BC42" s="2819" t="str">
        <x:f t="shared" si="16"/>
        <x:v/>
      </x:c>
      <x:c r="BD42" s="2776" t="str">
        <x:f t="shared" si="17"/>
        <x:v/>
      </x:c>
      <x:c r="BE42" s="2771" t="str">
        <x:f t="shared" si="18"/>
        <x:v/>
      </x:c>
      <x:c r="BF42" s="2818" t="str">
        <x:f t="shared" si="19"/>
        <x:v/>
      </x:c>
      <x:c r="BG42" s="2819" t="str">
        <x:f t="shared" si="20"/>
        <x:v/>
      </x:c>
      <x:c r="BH42" s="1416"/>
      <x:c r="BJ42" s="995" t="str">
        <x:f t="shared" si="59"/>
        <x:v/>
      </x:c>
      <x:c r="BK42" s="993" t="b">
        <x:f t="shared" si="21"/>
        <x:v>0</x:v>
      </x:c>
      <x:c r="BL42" s="1800" t="b">
        <x:v>0</x:v>
      </x:c>
      <x:c r="BM42" s="989">
        <x:f t="shared" si="22"/>
        <x:v>0</x:v>
      </x:c>
      <x:c r="BN42" s="989">
        <x:f t="shared" si="23"/>
        <x:v>0</x:v>
      </x:c>
      <x:c r="BO42" s="989">
        <x:f t="shared" si="24"/>
        <x:v>0</x:v>
      </x:c>
      <x:c r="BP42" s="989">
        <x:f t="shared" si="25"/>
        <x:v>0</x:v>
      </x:c>
      <x:c r="BQ42" s="989">
        <x:f t="shared" si="26"/>
        <x:v>0</x:v>
      </x:c>
      <x:c r="BR42" s="989" t="b">
        <x:f t="shared" si="27"/>
        <x:v>1</x:v>
      </x:c>
      <x:c r="BS42" s="1302">
        <x:f t="shared" si="28"/>
        <x:v>6</x:v>
      </x:c>
      <x:c r="BT42" s="990" t="str">
        <x:f t="shared" si="29"/>
        <x:v>No</x:v>
      </x:c>
      <x:c r="BU42" s="1302">
        <x:f t="shared" si="30"/>
        <x:v>6</x:v>
      </x:c>
      <x:c r="BV42" s="990" t="str">
        <x:f t="shared" si="31"/>
        <x:v>No</x:v>
      </x:c>
      <x:c r="BW42" s="991">
        <x:f t="shared" ca="1" si="32"/>
        <x:v>0</x:v>
      </x:c>
      <x:c r="BX42" s="991" t="str">
        <x:f t="shared" ca="1" si="33"/>
        <x:v/>
      </x:c>
      <x:c r="BY42" s="991" t="b">
        <x:f t="shared" ca="1" si="34"/>
        <x:v>0</x:v>
      </x:c>
      <x:c r="BZ42" s="991" t="b">
        <x:f t="shared" si="52"/>
        <x:v>0</x:v>
      </x:c>
      <x:c r="CB42" s="672"/>
      <x:c r="CC42" s="1684"/>
      <x:c r="CD42" s="699"/>
      <x:c r="CE42" s="700"/>
      <x:c r="CF42" s="701"/>
      <x:c r="CG42" s="672"/>
      <x:c r="CH42" s="713"/>
      <x:c r="CI42" s="714"/>
      <x:c r="CJ42" s="713"/>
      <x:c r="CK42" s="714"/>
      <x:c r="CL42" s="715"/>
      <x:c r="CM42" s="743"/>
      <x:c r="CN42" s="738"/>
      <x:c r="CO42" s="1551"/>
      <x:c r="CP42" s="910"/>
      <x:c r="CQ42" s="672"/>
      <x:c r="CR42" s="713"/>
      <x:c r="CS42" s="714"/>
      <x:c r="CT42" s="713"/>
      <x:c r="CU42" s="714"/>
      <x:c r="CV42" s="715"/>
      <x:c r="CW42" s="743"/>
      <x:c r="CX42" s="738"/>
      <x:c r="CY42" s="1551"/>
      <x:c r="CZ42" s="910"/>
      <x:c r="DA42" s="717"/>
      <x:c r="DB42" s="702"/>
      <x:c r="DC42" s="703"/>
      <x:c r="DD42" s="725"/>
      <x:c r="DE42" s="726"/>
      <x:c r="DF42" s="141"/>
      <x:c r="DG42" s="141"/>
      <x:c r="DH42" s="672"/>
      <x:c r="DI42" s="673"/>
      <x:c r="DJ42" s="692"/>
      <x:c r="DK42" s="1331"/>
      <x:c r="DL42" s="674"/>
      <x:c r="DM42" s="693"/>
      <x:c r="DN42" s="1334"/>
      <x:c r="DO42" s="675"/>
      <x:c r="DP42" s="676"/>
      <x:c r="DQ42" s="1419"/>
      <x:c r="DR42" s="677"/>
      <x:c r="DS42" s="1419"/>
      <x:c r="DT42" s="1421"/>
      <x:c r="DU42" s="1422"/>
      <x:c r="DV42" s="678"/>
      <x:c r="DW42" s="1336"/>
      <x:c r="DX42" s="679"/>
      <x:c r="DY42" s="674"/>
      <x:c r="DZ42" s="678"/>
      <x:c r="EA42" s="1336"/>
      <x:c r="EB42" s="679"/>
      <x:c r="EC42" s="674"/>
      <x:c r="ED42" s="678"/>
      <x:c r="EE42" s="1336"/>
      <x:c r="EF42" s="679"/>
      <x:c r="EG42" s="674"/>
      <x:c r="EH42" s="678"/>
      <x:c r="EI42" s="1336"/>
      <x:c r="EJ42" s="679"/>
      <x:c r="EK42" s="680"/>
      <x:c r="EL42" s="241"/>
      <x:c r="EM42" s="1631" t="str">
        <x:f t="shared" si="35"/>
        <x:v/>
      </x:c>
      <x:c r="EN42" s="1428" t="str">
        <x:f t="shared" si="36"/>
        <x:v/>
      </x:c>
      <x:c r="EO42" s="1429" t="str">
        <x:f t="shared" si="37"/>
        <x:v/>
      </x:c>
      <x:c r="EP42" s="1430" t="str">
        <x:f t="shared" si="38"/>
        <x:v/>
      </x:c>
      <x:c r="EQ42" s="1434" t="str">
        <x:f t="shared" si="39"/>
        <x:v/>
      </x:c>
      <x:c r="ER42" s="1440" t="str">
        <x:f t="shared" si="40"/>
        <x:v/>
      </x:c>
      <x:c r="ES42" s="1441" t="str">
        <x:f t="shared" si="41"/>
        <x:v/>
      </x:c>
      <x:c r="ET42" s="1442" t="str">
        <x:f t="shared" si="42"/>
        <x:v/>
      </x:c>
      <x:c r="EU42" s="1443" t="str">
        <x:f t="shared" si="53"/>
        <x:v/>
      </x:c>
      <x:c r="EX42" s="503" t="str">
        <x:f t="shared" ca="1" si="54"/>
        <x:v/>
      </x:c>
      <x:c r="EY42" s="940" t="str">
        <x:f t="shared" si="43"/>
        <x:v/>
      </x:c>
      <x:c r="EZ42" s="940" t="str">
        <x:f t="shared" si="55"/>
        <x:v/>
      </x:c>
      <x:c r="FA42" s="958" t="str">
        <x:f t="shared" ca="1" si="60"/>
        <x:v/>
      </x:c>
      <x:c r="FB42" s="134" t="str">
        <x:f t="shared" ca="1" si="56"/>
        <x:v/>
      </x:c>
      <x:c r="FC42" s="134">
        <x:f t="shared" ca="1" si="44"/>
        <x:v>0</x:v>
      </x:c>
      <x:c r="FD42" s="134">
        <x:f t="shared" ca="1" si="45"/>
        <x:v>0</x:v>
      </x:c>
      <x:c r="FE42" s="134">
        <x:f t="shared" ca="1" si="46"/>
        <x:v>0</x:v>
      </x:c>
      <x:c r="FF42" s="134">
        <x:f t="shared" ca="1" si="57"/>
        <x:v>0</x:v>
      </x:c>
      <x:c r="FN42" s="754" t="b">
        <x:v>0</x:v>
      </x:c>
      <x:c r="FO42" s="754" t="b">
        <x:f t="shared" si="47"/>
        <x:v>1</x:v>
      </x:c>
      <x:c r="FP42" s="754" t="b">
        <x:v>0</x:v>
      </x:c>
      <x:c r="FQ42" s="754" t="b">
        <x:f t="shared" si="58"/>
        <x:v>1</x:v>
      </x:c>
      <x:c r="GA42" s="1761" t="str">
        <x:f t="shared" si="92"/>
        <x:v/>
      </x:c>
      <x:c r="GB42" s="1762" t="str">
        <x:f t="shared" si="93"/>
        <x:v/>
      </x:c>
      <x:c r="GC42" s="1763" t="str">
        <x:f t="shared" si="94"/>
        <x:v/>
      </x:c>
      <x:c r="GD42" s="1764" t="str">
        <x:f t="shared" si="95"/>
        <x:v/>
      </x:c>
      <x:c r="GE42" s="1765" t="str">
        <x:f t="shared" si="48"/>
        <x:v/>
      </x:c>
      <x:c r="GF42" s="582" t="str">
        <x:f t="shared" si="49"/>
        <x:v/>
      </x:c>
      <x:c r="GG42" s="692"/>
      <x:c r="GH42" s="1135"/>
      <x:c r="GI42" s="692"/>
      <x:c r="GJ42" s="1135"/>
      <x:c r="GK42" s="1640">
        <x:f t="shared" si="50"/>
        <x:v>0</x:v>
      </x:c>
      <x:c r="GL42" s="1640" t="e">
        <x:f t="shared" si="51"/>
        <x:v>#VALUE!</x:v>
      </x:c>
      <x:c r="GM42" s="1641" t="e">
        <x:f>IF(ABS(GK42-GL42)&gt;='Job Info.'!$L$22,ABS(GK42-GL42),0)</x:f>
        <x:v>#VALUE!</x:v>
      </x:c>
      <x:c r="HA42" s="1241"/>
      <x:c r="HB42" s="1242"/>
      <x:c r="HC42" s="1242"/>
      <x:c r="HD42" s="1243"/>
      <x:c r="HE42" s="1244"/>
      <x:c r="HF42" s="1242"/>
      <x:c r="HG42" s="1242"/>
      <x:c r="HH42" s="1242"/>
      <x:c r="HI42" s="1242"/>
      <x:c r="HJ42" s="1242"/>
      <x:c r="HK42" s="1242"/>
      <x:c r="HL42" s="1242"/>
      <x:c r="HM42" s="1242"/>
      <x:c r="HN42" s="1242"/>
      <x:c r="HO42" s="1242"/>
      <x:c r="HP42" s="1242"/>
      <x:c r="HQ42" s="1242"/>
      <x:c r="HR42" s="1242"/>
      <x:c r="HS42" s="1242"/>
      <x:c r="HT42" s="1242"/>
      <x:c r="HU42" s="1242"/>
      <x:c r="HV42" s="1242"/>
      <x:c r="HW42" s="1242"/>
      <x:c r="HX42" s="1242"/>
      <x:c r="HY42" s="1246"/>
      <x:c r="HZ42" s="1246"/>
      <x:c r="IA42" s="1246"/>
      <x:c r="IB42" s="1246"/>
      <x:c r="IC42" s="1246"/>
      <x:c r="ID42" s="1261"/>
      <x:c r="IE42" s="1241"/>
      <x:c r="IF42" s="1242"/>
      <x:c r="IG42" s="1243"/>
      <x:c r="IH42" s="1244"/>
      <x:c r="II42" s="1242"/>
      <x:c r="IJ42" s="1243"/>
      <x:c r="IK42" s="1244"/>
      <x:c r="IL42" s="1242"/>
      <x:c r="IM42" s="1242"/>
      <x:c r="IN42" s="1242"/>
      <x:c r="IO42" s="1242"/>
      <x:c r="IP42" s="1242"/>
      <x:c r="IQ42" s="1242"/>
      <x:c r="IR42" s="1242"/>
      <x:c r="IS42" s="1243"/>
      <x:c r="IT42" s="1244"/>
      <x:c r="IU42" s="1242"/>
      <x:c r="IV42" s="1242"/>
      <x:c r="IW42" s="1243"/>
      <x:c r="IX42" s="1244"/>
      <x:c r="IY42" s="1242"/>
      <x:c r="IZ42" s="1242"/>
      <x:c r="JA42" s="1243"/>
      <x:c r="JB42" s="1244"/>
      <x:c r="JC42" s="1242"/>
      <x:c r="JD42" s="1242"/>
      <x:c r="JE42" s="1243"/>
      <x:c r="JF42" s="1244"/>
      <x:c r="JG42" s="1242"/>
      <x:c r="JH42" s="1242"/>
      <x:c r="JI42" s="1242"/>
      <x:c r="JJ42" s="1245"/>
      <x:c r="JK42" s="1242"/>
      <x:c r="JL42" s="1171">
        <x:f t="shared" ca="1" si="61"/>
        <x:v>0</x:v>
      </x:c>
    </x:row>
    <x:row r="43" spans="1:272" ht="12.6" customHeight="1" x14ac:dyDescent="0.25">
      <x:c r="A43" s="2764" t="str">
        <x:f t="shared" si="65"/>
        <x:v/>
      </x:c>
      <x:c r="B43" s="2765"/>
      <x:c r="C43" s="2766" t="str">
        <x:f t="shared" si="65"/>
        <x:v/>
      </x:c>
      <x:c r="D43" s="2767" t="str">
        <x:f t="shared" si="66"/>
        <x:v/>
      </x:c>
      <x:c r="E43" s="2768" t="str">
        <x:f t="shared" si="67"/>
        <x:v/>
      </x:c>
      <x:c r="F43" s="2769" t="str">
        <x:f t="shared" si="68"/>
        <x:v/>
      </x:c>
      <x:c r="G43" s="2770" t="str">
        <x:f t="shared" si="69"/>
        <x:v/>
      </x:c>
      <x:c r="H43" s="2771" t="str">
        <x:f t="shared" si="70"/>
        <x:v/>
      </x:c>
      <x:c r="I43" s="2772" t="str">
        <x:f t="shared" si="71"/>
        <x:v/>
      </x:c>
      <x:c r="J43" s="2767" t="str">
        <x:f t="shared" si="62"/>
        <x:v/>
      </x:c>
      <x:c r="K43" s="2771" t="str">
        <x:f t="shared" si="63"/>
        <x:v/>
      </x:c>
      <x:c r="L43" s="2773" t="str">
        <x:f t="shared" si="64"/>
        <x:v/>
      </x:c>
      <x:c r="M43" s="2774" t="str">
        <x:f t="shared" si="72"/>
        <x:v/>
      </x:c>
      <x:c r="N43" s="2775" t="str">
        <x:f t="shared" si="72"/>
        <x:v/>
      </x:c>
      <x:c r="O43" s="2770" t="str">
        <x:f t="shared" si="73"/>
        <x:v/>
      </x:c>
      <x:c r="P43" s="2771" t="str">
        <x:f t="shared" si="74"/>
        <x:v/>
      </x:c>
      <x:c r="Q43" s="2767" t="str">
        <x:f t="shared" si="75"/>
        <x:v/>
      </x:c>
      <x:c r="R43" s="2768" t="str">
        <x:f t="shared" si="76"/>
        <x:v/>
      </x:c>
      <x:c r="S43" s="2776" t="str">
        <x:f t="shared" si="77"/>
        <x:v/>
      </x:c>
      <x:c r="T43" s="2771" t="str">
        <x:f t="shared" si="78"/>
        <x:v/>
      </x:c>
      <x:c r="U43" s="2767" t="str">
        <x:f t="shared" si="79"/>
        <x:v/>
      </x:c>
      <x:c r="V43" s="2771" t="str">
        <x:f t="shared" si="80"/>
        <x:v/>
      </x:c>
      <x:c r="W43" s="2775">
        <x:f t="shared" si="81"/>
        <x:v>0</x:v>
      </x:c>
      <x:c r="X43" s="2777" t="str">
        <x:f t="shared" si="0"/>
        <x:v/>
      </x:c>
      <x:c r="Y43" s="2778" t="str">
        <x:f t="shared" si="1"/>
        <x:v/>
      </x:c>
      <x:c r="Z43" s="2779" t="s">
        <x:v>116</x:v>
      </x:c>
      <x:c r="AA43" s="2839" t="str">
        <x:f t="shared" si="2"/>
        <x:v/>
      </x:c>
      <x:c r="AB43" s="2764" t="str">
        <x:f t="shared" si="82"/>
        <x:v/>
      </x:c>
      <x:c r="AC43" s="2772" t="str">
        <x:f t="shared" si="83"/>
        <x:v/>
      </x:c>
      <x:c r="AD43" s="2767" t="str">
        <x:f t="shared" ca="1" si="84"/>
        <x:v/>
      </x:c>
      <x:c r="AE43" s="2771" t="str">
        <x:f t="shared" ca="1" si="85"/>
        <x:v/>
      </x:c>
      <x:c r="AF43" s="2772" t="str">
        <x:f t="shared" ca="1" si="86"/>
        <x:v/>
      </x:c>
      <x:c r="AG43" s="2767" t="str">
        <x:f t="shared" ca="1" si="87"/>
        <x:v/>
      </x:c>
      <x:c r="AH43" s="2771" t="str">
        <x:f t="shared" ca="1" si="88"/>
        <x:v/>
      </x:c>
      <x:c r="AI43" s="2767" t="str">
        <x:f t="shared" ca="1" si="89"/>
        <x:v/>
      </x:c>
      <x:c r="AJ43" s="2771" t="str">
        <x:f t="shared" ca="1" si="90"/>
        <x:v/>
      </x:c>
      <x:c r="AK43" s="2813" t="str">
        <x:f t="shared" si="3"/>
        <x:v/>
      </x:c>
      <x:c r="AL43" s="2814" t="str">
        <x:f t="shared" si="91"/>
        <x:v/>
      </x:c>
      <x:c r="AM43" s="2815" t="str">
        <x:f t="shared" si="3"/>
        <x:v/>
      </x:c>
      <x:c r="AN43" s="2772" t="str">
        <x:f t="shared" si="3"/>
        <x:v/>
      </x:c>
      <x:c r="AO43" s="2775" t="str">
        <x:f t="shared" si="3"/>
        <x:v/>
      </x:c>
      <x:c r="AP43" s="2774" t="str">
        <x:f t="shared" si="4"/>
        <x:v/>
      </x:c>
      <x:c r="AQ43" s="2817" t="str">
        <x:f t="shared" si="4"/>
        <x:v/>
      </x:c>
      <x:c r="AR43" s="2770" t="str">
        <x:f t="shared" si="5"/>
        <x:v/>
      </x:c>
      <x:c r="AS43" s="2771" t="str">
        <x:f t="shared" si="6"/>
        <x:v/>
      </x:c>
      <x:c r="AT43" s="2818" t="str">
        <x:f t="shared" si="7"/>
        <x:v/>
      </x:c>
      <x:c r="AU43" s="2819" t="str">
        <x:f t="shared" si="8"/>
        <x:v/>
      </x:c>
      <x:c r="AV43" s="2776" t="str">
        <x:f t="shared" si="9"/>
        <x:v/>
      </x:c>
      <x:c r="AW43" s="2771" t="str">
        <x:f t="shared" si="10"/>
        <x:v/>
      </x:c>
      <x:c r="AX43" s="2818" t="str">
        <x:f t="shared" si="11"/>
        <x:v/>
      </x:c>
      <x:c r="AY43" s="2819" t="str">
        <x:f t="shared" si="12"/>
        <x:v/>
      </x:c>
      <x:c r="AZ43" s="2776" t="str">
        <x:f t="shared" si="13"/>
        <x:v/>
      </x:c>
      <x:c r="BA43" s="2771" t="str">
        <x:f t="shared" si="14"/>
        <x:v/>
      </x:c>
      <x:c r="BB43" s="2818" t="str">
        <x:f t="shared" si="15"/>
        <x:v/>
      </x:c>
      <x:c r="BC43" s="2819" t="str">
        <x:f t="shared" si="16"/>
        <x:v/>
      </x:c>
      <x:c r="BD43" s="2776" t="str">
        <x:f t="shared" si="17"/>
        <x:v/>
      </x:c>
      <x:c r="BE43" s="2771" t="str">
        <x:f t="shared" si="18"/>
        <x:v/>
      </x:c>
      <x:c r="BF43" s="2818" t="str">
        <x:f t="shared" si="19"/>
        <x:v/>
      </x:c>
      <x:c r="BG43" s="2819" t="str">
        <x:f t="shared" si="20"/>
        <x:v/>
      </x:c>
      <x:c r="BH43" s="1416"/>
      <x:c r="BJ43" s="995" t="str">
        <x:f t="shared" si="59"/>
        <x:v/>
      </x:c>
      <x:c r="BK43" s="993" t="b">
        <x:f t="shared" si="21"/>
        <x:v>0</x:v>
      </x:c>
      <x:c r="BL43" s="1800" t="b">
        <x:v>0</x:v>
      </x:c>
      <x:c r="BM43" s="989">
        <x:f t="shared" si="22"/>
        <x:v>0</x:v>
      </x:c>
      <x:c r="BN43" s="989">
        <x:f t="shared" si="23"/>
        <x:v>0</x:v>
      </x:c>
      <x:c r="BO43" s="989">
        <x:f t="shared" si="24"/>
        <x:v>0</x:v>
      </x:c>
      <x:c r="BP43" s="989">
        <x:f t="shared" si="25"/>
        <x:v>0</x:v>
      </x:c>
      <x:c r="BQ43" s="989">
        <x:f t="shared" si="26"/>
        <x:v>0</x:v>
      </x:c>
      <x:c r="BR43" s="989" t="b">
        <x:f t="shared" si="27"/>
        <x:v>1</x:v>
      </x:c>
      <x:c r="BS43" s="1302">
        <x:f t="shared" si="28"/>
        <x:v>6</x:v>
      </x:c>
      <x:c r="BT43" s="990" t="str">
        <x:f t="shared" si="29"/>
        <x:v>No</x:v>
      </x:c>
      <x:c r="BU43" s="1302">
        <x:f t="shared" si="30"/>
        <x:v>6</x:v>
      </x:c>
      <x:c r="BV43" s="990" t="str">
        <x:f t="shared" si="31"/>
        <x:v>No</x:v>
      </x:c>
      <x:c r="BW43" s="991">
        <x:f t="shared" ca="1" si="32"/>
        <x:v>0</x:v>
      </x:c>
      <x:c r="BX43" s="991" t="str">
        <x:f t="shared" ca="1" si="33"/>
        <x:v/>
      </x:c>
      <x:c r="BY43" s="991" t="b">
        <x:f t="shared" ca="1" si="34"/>
        <x:v>0</x:v>
      </x:c>
      <x:c r="BZ43" s="991" t="b">
        <x:f t="shared" si="52"/>
        <x:v>0</x:v>
      </x:c>
      <x:c r="CB43" s="672"/>
      <x:c r="CC43" s="1684"/>
      <x:c r="CD43" s="699"/>
      <x:c r="CE43" s="700"/>
      <x:c r="CF43" s="701"/>
      <x:c r="CG43" s="672"/>
      <x:c r="CH43" s="713"/>
      <x:c r="CI43" s="714"/>
      <x:c r="CJ43" s="713"/>
      <x:c r="CK43" s="714"/>
      <x:c r="CL43" s="715"/>
      <x:c r="CM43" s="743"/>
      <x:c r="CN43" s="738"/>
      <x:c r="CO43" s="1551"/>
      <x:c r="CP43" s="910"/>
      <x:c r="CQ43" s="672"/>
      <x:c r="CR43" s="713"/>
      <x:c r="CS43" s="714"/>
      <x:c r="CT43" s="713"/>
      <x:c r="CU43" s="714"/>
      <x:c r="CV43" s="715"/>
      <x:c r="CW43" s="743"/>
      <x:c r="CX43" s="738"/>
      <x:c r="CY43" s="1551"/>
      <x:c r="CZ43" s="910"/>
      <x:c r="DA43" s="717"/>
      <x:c r="DB43" s="702"/>
      <x:c r="DC43" s="703"/>
      <x:c r="DD43" s="725"/>
      <x:c r="DE43" s="726"/>
      <x:c r="DF43" s="141"/>
      <x:c r="DG43" s="141"/>
      <x:c r="DH43" s="672"/>
      <x:c r="DI43" s="673"/>
      <x:c r="DJ43" s="692"/>
      <x:c r="DK43" s="1331"/>
      <x:c r="DL43" s="674"/>
      <x:c r="DM43" s="693"/>
      <x:c r="DN43" s="1334"/>
      <x:c r="DO43" s="675"/>
      <x:c r="DP43" s="676"/>
      <x:c r="DQ43" s="1419"/>
      <x:c r="DR43" s="677"/>
      <x:c r="DS43" s="1419"/>
      <x:c r="DT43" s="1421"/>
      <x:c r="DU43" s="1422"/>
      <x:c r="DV43" s="678"/>
      <x:c r="DW43" s="1336"/>
      <x:c r="DX43" s="679"/>
      <x:c r="DY43" s="674"/>
      <x:c r="DZ43" s="678"/>
      <x:c r="EA43" s="1336"/>
      <x:c r="EB43" s="679"/>
      <x:c r="EC43" s="674"/>
      <x:c r="ED43" s="678"/>
      <x:c r="EE43" s="1336"/>
      <x:c r="EF43" s="679"/>
      <x:c r="EG43" s="674"/>
      <x:c r="EH43" s="678"/>
      <x:c r="EI43" s="1336"/>
      <x:c r="EJ43" s="679"/>
      <x:c r="EK43" s="680"/>
      <x:c r="EL43" s="241"/>
      <x:c r="EM43" s="1631" t="str">
        <x:f t="shared" si="35"/>
        <x:v/>
      </x:c>
      <x:c r="EN43" s="1428" t="str">
        <x:f t="shared" si="36"/>
        <x:v/>
      </x:c>
      <x:c r="EO43" s="1429" t="str">
        <x:f t="shared" si="37"/>
        <x:v/>
      </x:c>
      <x:c r="EP43" s="1430" t="str">
        <x:f t="shared" si="38"/>
        <x:v/>
      </x:c>
      <x:c r="EQ43" s="1434" t="str">
        <x:f t="shared" si="39"/>
        <x:v/>
      </x:c>
      <x:c r="ER43" s="1440" t="str">
        <x:f t="shared" si="40"/>
        <x:v/>
      </x:c>
      <x:c r="ES43" s="1441" t="str">
        <x:f t="shared" si="41"/>
        <x:v/>
      </x:c>
      <x:c r="ET43" s="1442" t="str">
        <x:f t="shared" si="42"/>
        <x:v/>
      </x:c>
      <x:c r="EU43" s="1443" t="str">
        <x:f t="shared" si="53"/>
        <x:v/>
      </x:c>
      <x:c r="EX43" s="503" t="str">
        <x:f t="shared" ca="1" si="54"/>
        <x:v/>
      </x:c>
      <x:c r="EY43" s="940" t="str">
        <x:f t="shared" si="43"/>
        <x:v/>
      </x:c>
      <x:c r="EZ43" s="940" t="str">
        <x:f t="shared" si="55"/>
        <x:v/>
      </x:c>
      <x:c r="FA43" s="958" t="str">
        <x:f t="shared" ca="1" si="60"/>
        <x:v/>
      </x:c>
      <x:c r="FB43" s="134" t="str">
        <x:f t="shared" ca="1" si="56"/>
        <x:v/>
      </x:c>
      <x:c r="FC43" s="134">
        <x:f t="shared" ca="1" si="44"/>
        <x:v>0</x:v>
      </x:c>
      <x:c r="FD43" s="134">
        <x:f t="shared" ca="1" si="45"/>
        <x:v>0</x:v>
      </x:c>
      <x:c r="FE43" s="134">
        <x:f t="shared" ca="1" si="46"/>
        <x:v>0</x:v>
      </x:c>
      <x:c r="FF43" s="134">
        <x:f t="shared" ca="1" si="57"/>
        <x:v>0</x:v>
      </x:c>
      <x:c r="FN43" s="754" t="b">
        <x:v>0</x:v>
      </x:c>
      <x:c r="FO43" s="754" t="b">
        <x:f t="shared" si="47"/>
        <x:v>1</x:v>
      </x:c>
      <x:c r="FP43" s="754" t="b">
        <x:v>0</x:v>
      </x:c>
      <x:c r="FQ43" s="754" t="b">
        <x:f t="shared" si="58"/>
        <x:v>1</x:v>
      </x:c>
      <x:c r="GA43" s="1761" t="str">
        <x:f t="shared" si="92"/>
        <x:v/>
      </x:c>
      <x:c r="GB43" s="1762" t="str">
        <x:f t="shared" si="93"/>
        <x:v/>
      </x:c>
      <x:c r="GC43" s="1763" t="str">
        <x:f t="shared" si="94"/>
        <x:v/>
      </x:c>
      <x:c r="GD43" s="1764" t="str">
        <x:f t="shared" si="95"/>
        <x:v/>
      </x:c>
      <x:c r="GE43" s="1765" t="str">
        <x:f t="shared" si="48"/>
        <x:v/>
      </x:c>
      <x:c r="GF43" s="582" t="str">
        <x:f t="shared" si="49"/>
        <x:v/>
      </x:c>
      <x:c r="GG43" s="692"/>
      <x:c r="GH43" s="1135"/>
      <x:c r="GI43" s="692"/>
      <x:c r="GJ43" s="1135"/>
      <x:c r="GK43" s="1640">
        <x:f t="shared" si="50"/>
        <x:v>0</x:v>
      </x:c>
      <x:c r="GL43" s="1640" t="e">
        <x:f t="shared" si="51"/>
        <x:v>#VALUE!</x:v>
      </x:c>
      <x:c r="GM43" s="1641" t="e">
        <x:f>IF(ABS(GK43-GL43)&gt;='Job Info.'!$L$22,ABS(GK43-GL43),0)</x:f>
        <x:v>#VALUE!</x:v>
      </x:c>
      <x:c r="HA43" s="1241"/>
      <x:c r="HB43" s="1242"/>
      <x:c r="HC43" s="1242"/>
      <x:c r="HD43" s="1243"/>
      <x:c r="HE43" s="1244"/>
      <x:c r="HF43" s="1242"/>
      <x:c r="HG43" s="1242"/>
      <x:c r="HH43" s="1242"/>
      <x:c r="HI43" s="1242"/>
      <x:c r="HJ43" s="1242"/>
      <x:c r="HK43" s="1242"/>
      <x:c r="HL43" s="1242"/>
      <x:c r="HM43" s="1242"/>
      <x:c r="HN43" s="1242"/>
      <x:c r="HO43" s="1242"/>
      <x:c r="HP43" s="1242"/>
      <x:c r="HQ43" s="1242"/>
      <x:c r="HR43" s="1242"/>
      <x:c r="HS43" s="1242"/>
      <x:c r="HT43" s="1242"/>
      <x:c r="HU43" s="1242"/>
      <x:c r="HV43" s="1242"/>
      <x:c r="HW43" s="1242"/>
      <x:c r="HX43" s="1242"/>
      <x:c r="HY43" s="1246"/>
      <x:c r="HZ43" s="1246"/>
      <x:c r="IA43" s="1246"/>
      <x:c r="IB43" s="1246"/>
      <x:c r="IC43" s="1246"/>
      <x:c r="ID43" s="1261"/>
      <x:c r="IE43" s="1241"/>
      <x:c r="IF43" s="1242"/>
      <x:c r="IG43" s="1243"/>
      <x:c r="IH43" s="1244"/>
      <x:c r="II43" s="1242"/>
      <x:c r="IJ43" s="1243"/>
      <x:c r="IK43" s="1244"/>
      <x:c r="IL43" s="1242"/>
      <x:c r="IM43" s="1242"/>
      <x:c r="IN43" s="1242"/>
      <x:c r="IO43" s="1242"/>
      <x:c r="IP43" s="1242"/>
      <x:c r="IQ43" s="1242"/>
      <x:c r="IR43" s="1242"/>
      <x:c r="IS43" s="1243"/>
      <x:c r="IT43" s="1244"/>
      <x:c r="IU43" s="1242"/>
      <x:c r="IV43" s="1242"/>
      <x:c r="IW43" s="1243"/>
      <x:c r="IX43" s="1244"/>
      <x:c r="IY43" s="1242"/>
      <x:c r="IZ43" s="1242"/>
      <x:c r="JA43" s="1243"/>
      <x:c r="JB43" s="1244"/>
      <x:c r="JC43" s="1242"/>
      <x:c r="JD43" s="1242"/>
      <x:c r="JE43" s="1243"/>
      <x:c r="JF43" s="1244"/>
      <x:c r="JG43" s="1242"/>
      <x:c r="JH43" s="1242"/>
      <x:c r="JI43" s="1242"/>
      <x:c r="JJ43" s="1245"/>
      <x:c r="JK43" s="1242"/>
      <x:c r="JL43" s="1171">
        <x:f t="shared" ca="1" si="61"/>
        <x:v>0</x:v>
      </x:c>
    </x:row>
    <x:row r="44" spans="1:272" ht="12.6" customHeight="1" x14ac:dyDescent="0.25">
      <x:c r="A44" s="2764" t="str">
        <x:f t="shared" si="65"/>
        <x:v/>
      </x:c>
      <x:c r="B44" s="2765"/>
      <x:c r="C44" s="2766" t="str">
        <x:f t="shared" si="65"/>
        <x:v/>
      </x:c>
      <x:c r="D44" s="2767" t="str">
        <x:f t="shared" si="66"/>
        <x:v/>
      </x:c>
      <x:c r="E44" s="2768" t="str">
        <x:f t="shared" si="67"/>
        <x:v/>
      </x:c>
      <x:c r="F44" s="2769" t="str">
        <x:f t="shared" si="68"/>
        <x:v/>
      </x:c>
      <x:c r="G44" s="2770" t="str">
        <x:f t="shared" si="69"/>
        <x:v/>
      </x:c>
      <x:c r="H44" s="2771" t="str">
        <x:f t="shared" si="70"/>
        <x:v/>
      </x:c>
      <x:c r="I44" s="2772" t="str">
        <x:f t="shared" si="71"/>
        <x:v/>
      </x:c>
      <x:c r="J44" s="2767" t="str">
        <x:f t="shared" si="62"/>
        <x:v/>
      </x:c>
      <x:c r="K44" s="2771" t="str">
        <x:f t="shared" si="63"/>
        <x:v/>
      </x:c>
      <x:c r="L44" s="2773" t="str">
        <x:f t="shared" si="64"/>
        <x:v/>
      </x:c>
      <x:c r="M44" s="2774" t="str">
        <x:f t="shared" si="72"/>
        <x:v/>
      </x:c>
      <x:c r="N44" s="2775" t="str">
        <x:f t="shared" si="72"/>
        <x:v/>
      </x:c>
      <x:c r="O44" s="2770" t="str">
        <x:f t="shared" si="73"/>
        <x:v/>
      </x:c>
      <x:c r="P44" s="2771" t="str">
        <x:f t="shared" si="74"/>
        <x:v/>
      </x:c>
      <x:c r="Q44" s="2767" t="str">
        <x:f t="shared" si="75"/>
        <x:v/>
      </x:c>
      <x:c r="R44" s="2768" t="str">
        <x:f t="shared" si="76"/>
        <x:v/>
      </x:c>
      <x:c r="S44" s="2776" t="str">
        <x:f t="shared" si="77"/>
        <x:v/>
      </x:c>
      <x:c r="T44" s="2771" t="str">
        <x:f t="shared" si="78"/>
        <x:v/>
      </x:c>
      <x:c r="U44" s="2767" t="str">
        <x:f t="shared" si="79"/>
        <x:v/>
      </x:c>
      <x:c r="V44" s="2771" t="str">
        <x:f t="shared" si="80"/>
        <x:v/>
      </x:c>
      <x:c r="W44" s="2775">
        <x:f t="shared" si="81"/>
        <x:v>0</x:v>
      </x:c>
      <x:c r="X44" s="2777" t="str">
        <x:f t="shared" si="0"/>
        <x:v/>
      </x:c>
      <x:c r="Y44" s="2778" t="str">
        <x:f t="shared" si="1"/>
        <x:v/>
      </x:c>
      <x:c r="Z44" s="2779" t="s">
        <x:v>116</x:v>
      </x:c>
      <x:c r="AA44" s="2839" t="str">
        <x:f t="shared" si="2"/>
        <x:v/>
      </x:c>
      <x:c r="AB44" s="2764" t="str">
        <x:f t="shared" si="82"/>
        <x:v/>
      </x:c>
      <x:c r="AC44" s="2772" t="str">
        <x:f t="shared" si="83"/>
        <x:v/>
      </x:c>
      <x:c r="AD44" s="2767" t="str">
        <x:f t="shared" ca="1" si="84"/>
        <x:v/>
      </x:c>
      <x:c r="AE44" s="2771" t="str">
        <x:f t="shared" ca="1" si="85"/>
        <x:v/>
      </x:c>
      <x:c r="AF44" s="2772" t="str">
        <x:f t="shared" ca="1" si="86"/>
        <x:v/>
      </x:c>
      <x:c r="AG44" s="2767" t="str">
        <x:f t="shared" ca="1" si="87"/>
        <x:v/>
      </x:c>
      <x:c r="AH44" s="2771" t="str">
        <x:f t="shared" ca="1" si="88"/>
        <x:v/>
      </x:c>
      <x:c r="AI44" s="2767" t="str">
        <x:f t="shared" ca="1" si="89"/>
        <x:v/>
      </x:c>
      <x:c r="AJ44" s="2771" t="str">
        <x:f t="shared" ca="1" si="90"/>
        <x:v/>
      </x:c>
      <x:c r="AK44" s="2813" t="str">
        <x:f t="shared" si="3"/>
        <x:v/>
      </x:c>
      <x:c r="AL44" s="2814" t="str">
        <x:f t="shared" si="91"/>
        <x:v/>
      </x:c>
      <x:c r="AM44" s="2815" t="str">
        <x:f t="shared" si="3"/>
        <x:v/>
      </x:c>
      <x:c r="AN44" s="2772" t="str">
        <x:f t="shared" si="3"/>
        <x:v/>
      </x:c>
      <x:c r="AO44" s="2775" t="str">
        <x:f t="shared" si="3"/>
        <x:v/>
      </x:c>
      <x:c r="AP44" s="2774" t="str">
        <x:f t="shared" si="4"/>
        <x:v/>
      </x:c>
      <x:c r="AQ44" s="2817" t="str">
        <x:f t="shared" si="4"/>
        <x:v/>
      </x:c>
      <x:c r="AR44" s="2770" t="str">
        <x:f t="shared" si="5"/>
        <x:v/>
      </x:c>
      <x:c r="AS44" s="2771" t="str">
        <x:f t="shared" si="6"/>
        <x:v/>
      </x:c>
      <x:c r="AT44" s="2818" t="str">
        <x:f t="shared" si="7"/>
        <x:v/>
      </x:c>
      <x:c r="AU44" s="2819" t="str">
        <x:f t="shared" si="8"/>
        <x:v/>
      </x:c>
      <x:c r="AV44" s="2776" t="str">
        <x:f t="shared" si="9"/>
        <x:v/>
      </x:c>
      <x:c r="AW44" s="2771" t="str">
        <x:f t="shared" si="10"/>
        <x:v/>
      </x:c>
      <x:c r="AX44" s="2818" t="str">
        <x:f t="shared" si="11"/>
        <x:v/>
      </x:c>
      <x:c r="AY44" s="2819" t="str">
        <x:f t="shared" si="12"/>
        <x:v/>
      </x:c>
      <x:c r="AZ44" s="2776" t="str">
        <x:f t="shared" si="13"/>
        <x:v/>
      </x:c>
      <x:c r="BA44" s="2771" t="str">
        <x:f t="shared" si="14"/>
        <x:v/>
      </x:c>
      <x:c r="BB44" s="2818" t="str">
        <x:f t="shared" si="15"/>
        <x:v/>
      </x:c>
      <x:c r="BC44" s="2819" t="str">
        <x:f t="shared" si="16"/>
        <x:v/>
      </x:c>
      <x:c r="BD44" s="2776" t="str">
        <x:f t="shared" si="17"/>
        <x:v/>
      </x:c>
      <x:c r="BE44" s="2771" t="str">
        <x:f t="shared" si="18"/>
        <x:v/>
      </x:c>
      <x:c r="BF44" s="2818" t="str">
        <x:f t="shared" si="19"/>
        <x:v/>
      </x:c>
      <x:c r="BG44" s="2819" t="str">
        <x:f t="shared" si="20"/>
        <x:v/>
      </x:c>
      <x:c r="BH44" s="1416"/>
      <x:c r="BJ44" s="995" t="str">
        <x:f t="shared" si="59"/>
        <x:v/>
      </x:c>
      <x:c r="BK44" s="993" t="b">
        <x:f t="shared" si="21"/>
        <x:v>0</x:v>
      </x:c>
      <x:c r="BL44" s="1800" t="b">
        <x:v>0</x:v>
      </x:c>
      <x:c r="BM44" s="989">
        <x:f t="shared" si="22"/>
        <x:v>0</x:v>
      </x:c>
      <x:c r="BN44" s="989">
        <x:f t="shared" si="23"/>
        <x:v>0</x:v>
      </x:c>
      <x:c r="BO44" s="989">
        <x:f t="shared" si="24"/>
        <x:v>0</x:v>
      </x:c>
      <x:c r="BP44" s="989">
        <x:f t="shared" si="25"/>
        <x:v>0</x:v>
      </x:c>
      <x:c r="BQ44" s="989">
        <x:f t="shared" si="26"/>
        <x:v>0</x:v>
      </x:c>
      <x:c r="BR44" s="989" t="b">
        <x:f t="shared" si="27"/>
        <x:v>1</x:v>
      </x:c>
      <x:c r="BS44" s="1302">
        <x:f t="shared" si="28"/>
        <x:v>6</x:v>
      </x:c>
      <x:c r="BT44" s="990" t="str">
        <x:f t="shared" si="29"/>
        <x:v>No</x:v>
      </x:c>
      <x:c r="BU44" s="1302">
        <x:f t="shared" si="30"/>
        <x:v>6</x:v>
      </x:c>
      <x:c r="BV44" s="990" t="str">
        <x:f t="shared" si="31"/>
        <x:v>No</x:v>
      </x:c>
      <x:c r="BW44" s="991">
        <x:f t="shared" ca="1" si="32"/>
        <x:v>0</x:v>
      </x:c>
      <x:c r="BX44" s="991" t="str">
        <x:f t="shared" ca="1" si="33"/>
        <x:v/>
      </x:c>
      <x:c r="BY44" s="991" t="b">
        <x:f t="shared" ca="1" si="34"/>
        <x:v>0</x:v>
      </x:c>
      <x:c r="BZ44" s="991" t="b">
        <x:f t="shared" si="52"/>
        <x:v>0</x:v>
      </x:c>
      <x:c r="CB44" s="672"/>
      <x:c r="CC44" s="1684"/>
      <x:c r="CD44" s="699"/>
      <x:c r="CE44" s="700"/>
      <x:c r="CF44" s="701"/>
      <x:c r="CG44" s="672"/>
      <x:c r="CH44" s="713"/>
      <x:c r="CI44" s="714"/>
      <x:c r="CJ44" s="713"/>
      <x:c r="CK44" s="714"/>
      <x:c r="CL44" s="715"/>
      <x:c r="CM44" s="743"/>
      <x:c r="CN44" s="738"/>
      <x:c r="CO44" s="1551"/>
      <x:c r="CP44" s="910"/>
      <x:c r="CQ44" s="672"/>
      <x:c r="CR44" s="713"/>
      <x:c r="CS44" s="714"/>
      <x:c r="CT44" s="713"/>
      <x:c r="CU44" s="714"/>
      <x:c r="CV44" s="715"/>
      <x:c r="CW44" s="743"/>
      <x:c r="CX44" s="738"/>
      <x:c r="CY44" s="1551"/>
      <x:c r="CZ44" s="910"/>
      <x:c r="DA44" s="717"/>
      <x:c r="DB44" s="702"/>
      <x:c r="DC44" s="703"/>
      <x:c r="DD44" s="725"/>
      <x:c r="DE44" s="726"/>
      <x:c r="DF44" s="141"/>
      <x:c r="DG44" s="141"/>
      <x:c r="DH44" s="672"/>
      <x:c r="DI44" s="673"/>
      <x:c r="DJ44" s="692"/>
      <x:c r="DK44" s="1331"/>
      <x:c r="DL44" s="674"/>
      <x:c r="DM44" s="693"/>
      <x:c r="DN44" s="1334"/>
      <x:c r="DO44" s="675"/>
      <x:c r="DP44" s="676"/>
      <x:c r="DQ44" s="1419"/>
      <x:c r="DR44" s="677"/>
      <x:c r="DS44" s="1419"/>
      <x:c r="DT44" s="1421"/>
      <x:c r="DU44" s="1422"/>
      <x:c r="DV44" s="678"/>
      <x:c r="DW44" s="1336"/>
      <x:c r="DX44" s="679"/>
      <x:c r="DY44" s="674"/>
      <x:c r="DZ44" s="678"/>
      <x:c r="EA44" s="1336"/>
      <x:c r="EB44" s="679"/>
      <x:c r="EC44" s="674"/>
      <x:c r="ED44" s="678"/>
      <x:c r="EE44" s="1336"/>
      <x:c r="EF44" s="679"/>
      <x:c r="EG44" s="674"/>
      <x:c r="EH44" s="678"/>
      <x:c r="EI44" s="1336"/>
      <x:c r="EJ44" s="679"/>
      <x:c r="EK44" s="680"/>
      <x:c r="EL44" s="241"/>
      <x:c r="EM44" s="1631" t="str">
        <x:f t="shared" si="35"/>
        <x:v/>
      </x:c>
      <x:c r="EN44" s="1428" t="str">
        <x:f t="shared" si="36"/>
        <x:v/>
      </x:c>
      <x:c r="EO44" s="1429" t="str">
        <x:f t="shared" si="37"/>
        <x:v/>
      </x:c>
      <x:c r="EP44" s="1430" t="str">
        <x:f t="shared" si="38"/>
        <x:v/>
      </x:c>
      <x:c r="EQ44" s="1434" t="str">
        <x:f t="shared" si="39"/>
        <x:v/>
      </x:c>
      <x:c r="ER44" s="1440" t="str">
        <x:f t="shared" si="40"/>
        <x:v/>
      </x:c>
      <x:c r="ES44" s="1441" t="str">
        <x:f t="shared" si="41"/>
        <x:v/>
      </x:c>
      <x:c r="ET44" s="1442" t="str">
        <x:f t="shared" si="42"/>
        <x:v/>
      </x:c>
      <x:c r="EU44" s="1443" t="str">
        <x:f t="shared" si="53"/>
        <x:v/>
      </x:c>
      <x:c r="EX44" s="503" t="str">
        <x:f t="shared" ca="1" si="54"/>
        <x:v/>
      </x:c>
      <x:c r="EY44" s="940" t="str">
        <x:f t="shared" si="43"/>
        <x:v/>
      </x:c>
      <x:c r="EZ44" s="940" t="str">
        <x:f t="shared" si="55"/>
        <x:v/>
      </x:c>
      <x:c r="FA44" s="958" t="str">
        <x:f t="shared" ca="1" si="60"/>
        <x:v/>
      </x:c>
      <x:c r="FB44" s="134" t="str">
        <x:f t="shared" ca="1" si="56"/>
        <x:v/>
      </x:c>
      <x:c r="FC44" s="134">
        <x:f t="shared" ca="1" si="44"/>
        <x:v>0</x:v>
      </x:c>
      <x:c r="FD44" s="134">
        <x:f t="shared" ca="1" si="45"/>
        <x:v>0</x:v>
      </x:c>
      <x:c r="FE44" s="134">
        <x:f t="shared" ca="1" si="46"/>
        <x:v>0</x:v>
      </x:c>
      <x:c r="FF44" s="134">
        <x:f t="shared" ca="1" si="57"/>
        <x:v>0</x:v>
      </x:c>
      <x:c r="FN44" s="754" t="b">
        <x:v>0</x:v>
      </x:c>
      <x:c r="FO44" s="754" t="b">
        <x:f t="shared" si="47"/>
        <x:v>1</x:v>
      </x:c>
      <x:c r="FP44" s="754" t="b">
        <x:v>0</x:v>
      </x:c>
      <x:c r="FQ44" s="754" t="b">
        <x:f t="shared" si="58"/>
        <x:v>1</x:v>
      </x:c>
      <x:c r="GA44" s="1761" t="str">
        <x:f t="shared" si="92"/>
        <x:v/>
      </x:c>
      <x:c r="GB44" s="1762" t="str">
        <x:f t="shared" si="93"/>
        <x:v/>
      </x:c>
      <x:c r="GC44" s="1763" t="str">
        <x:f t="shared" si="94"/>
        <x:v/>
      </x:c>
      <x:c r="GD44" s="1764" t="str">
        <x:f t="shared" si="95"/>
        <x:v/>
      </x:c>
      <x:c r="GE44" s="1765" t="str">
        <x:f t="shared" si="48"/>
        <x:v/>
      </x:c>
      <x:c r="GF44" s="582" t="str">
        <x:f t="shared" si="49"/>
        <x:v/>
      </x:c>
      <x:c r="GG44" s="692"/>
      <x:c r="GH44" s="1135"/>
      <x:c r="GI44" s="692"/>
      <x:c r="GJ44" s="1135"/>
      <x:c r="GK44" s="1640">
        <x:f t="shared" si="50"/>
        <x:v>0</x:v>
      </x:c>
      <x:c r="GL44" s="1640" t="e">
        <x:f t="shared" si="51"/>
        <x:v>#VALUE!</x:v>
      </x:c>
      <x:c r="GM44" s="1641" t="e">
        <x:f>IF(ABS(GK44-GL44)&gt;='Job Info.'!$L$22,ABS(GK44-GL44),0)</x:f>
        <x:v>#VALUE!</x:v>
      </x:c>
      <x:c r="GO44" s="140"/>
      <x:c r="GP44" s="140"/>
      <x:c r="HA44" s="1241"/>
      <x:c r="HB44" s="1242"/>
      <x:c r="HC44" s="1242"/>
      <x:c r="HD44" s="1243"/>
      <x:c r="HE44" s="1244"/>
      <x:c r="HF44" s="1242"/>
      <x:c r="HG44" s="1242"/>
      <x:c r="HH44" s="1242"/>
      <x:c r="HI44" s="1242"/>
      <x:c r="HJ44" s="1242"/>
      <x:c r="HK44" s="1242"/>
      <x:c r="HL44" s="1242"/>
      <x:c r="HM44" s="1242"/>
      <x:c r="HN44" s="1242"/>
      <x:c r="HO44" s="1242"/>
      <x:c r="HP44" s="1242"/>
      <x:c r="HQ44" s="1242"/>
      <x:c r="HR44" s="1242"/>
      <x:c r="HS44" s="1242"/>
      <x:c r="HT44" s="1242"/>
      <x:c r="HU44" s="1242"/>
      <x:c r="HV44" s="1242"/>
      <x:c r="HW44" s="1242"/>
      <x:c r="HX44" s="1242"/>
      <x:c r="HY44" s="1246"/>
      <x:c r="HZ44" s="1246"/>
      <x:c r="IA44" s="1246"/>
      <x:c r="IB44" s="1246"/>
      <x:c r="IC44" s="1246"/>
      <x:c r="ID44" s="1261"/>
      <x:c r="IE44" s="1241"/>
      <x:c r="IF44" s="1242"/>
      <x:c r="IG44" s="1243"/>
      <x:c r="IH44" s="1244"/>
      <x:c r="II44" s="1242"/>
      <x:c r="IJ44" s="1243"/>
      <x:c r="IK44" s="1244"/>
      <x:c r="IL44" s="1242"/>
      <x:c r="IM44" s="1242"/>
      <x:c r="IN44" s="1242"/>
      <x:c r="IO44" s="1242"/>
      <x:c r="IP44" s="1242"/>
      <x:c r="IQ44" s="1242"/>
      <x:c r="IR44" s="1242"/>
      <x:c r="IS44" s="1243"/>
      <x:c r="IT44" s="1244"/>
      <x:c r="IU44" s="1242"/>
      <x:c r="IV44" s="1242"/>
      <x:c r="IW44" s="1243"/>
      <x:c r="IX44" s="1244"/>
      <x:c r="IY44" s="1242"/>
      <x:c r="IZ44" s="1242"/>
      <x:c r="JA44" s="1243"/>
      <x:c r="JB44" s="1244"/>
      <x:c r="JC44" s="1242"/>
      <x:c r="JD44" s="1242"/>
      <x:c r="JE44" s="1243"/>
      <x:c r="JF44" s="1244"/>
      <x:c r="JG44" s="1242"/>
      <x:c r="JH44" s="1242"/>
      <x:c r="JI44" s="1242"/>
      <x:c r="JJ44" s="1245"/>
      <x:c r="JK44" s="1242"/>
      <x:c r="JL44" s="1171">
        <x:f t="shared" ca="1" si="61"/>
        <x:v>0</x:v>
      </x:c>
    </x:row>
    <x:row r="45" spans="1:272" ht="12.6" customHeight="1" thickBot="1" x14ac:dyDescent="0.35">
      <x:c r="A45" s="2782" t="str">
        <x:f t="shared" si="65"/>
        <x:v/>
      </x:c>
      <x:c r="B45" s="2783"/>
      <x:c r="C45" s="2784" t="str">
        <x:f t="shared" si="65"/>
        <x:v/>
      </x:c>
      <x:c r="D45" s="2785" t="str">
        <x:f t="shared" si="66"/>
        <x:v/>
      </x:c>
      <x:c r="E45" s="2786" t="str">
        <x:f t="shared" si="67"/>
        <x:v/>
      </x:c>
      <x:c r="F45" s="2787" t="str">
        <x:f t="shared" si="68"/>
        <x:v/>
      </x:c>
      <x:c r="G45" s="2788" t="str">
        <x:f t="shared" si="69"/>
        <x:v/>
      </x:c>
      <x:c r="H45" s="2789" t="str">
        <x:f t="shared" si="70"/>
        <x:v/>
      </x:c>
      <x:c r="I45" s="2790" t="str">
        <x:f t="shared" si="71"/>
        <x:v/>
      </x:c>
      <x:c r="J45" s="2785" t="str">
        <x:f t="shared" si="62"/>
        <x:v/>
      </x:c>
      <x:c r="K45" s="2789" t="str">
        <x:f t="shared" si="63"/>
        <x:v/>
      </x:c>
      <x:c r="L45" s="2791" t="str">
        <x:f t="shared" si="64"/>
        <x:v/>
      </x:c>
      <x:c r="M45" s="2792" t="str">
        <x:f t="shared" si="72"/>
        <x:v/>
      </x:c>
      <x:c r="N45" s="2793" t="str">
        <x:f t="shared" si="72"/>
        <x:v/>
      </x:c>
      <x:c r="O45" s="2788" t="str">
        <x:f t="shared" si="73"/>
        <x:v/>
      </x:c>
      <x:c r="P45" s="2789" t="str">
        <x:f t="shared" si="74"/>
        <x:v/>
      </x:c>
      <x:c r="Q45" s="2785" t="str">
        <x:f t="shared" si="75"/>
        <x:v/>
      </x:c>
      <x:c r="R45" s="2786" t="str">
        <x:f t="shared" si="76"/>
        <x:v/>
      </x:c>
      <x:c r="S45" s="2794" t="str">
        <x:f t="shared" si="77"/>
        <x:v/>
      </x:c>
      <x:c r="T45" s="2789" t="str">
        <x:f t="shared" si="78"/>
        <x:v/>
      </x:c>
      <x:c r="U45" s="2785" t="str">
        <x:f t="shared" si="79"/>
        <x:v/>
      </x:c>
      <x:c r="V45" s="2789" t="str">
        <x:f t="shared" si="80"/>
        <x:v/>
      </x:c>
      <x:c r="W45" s="2793">
        <x:f t="shared" si="81"/>
        <x:v>0</x:v>
      </x:c>
      <x:c r="X45" s="2795" t="str">
        <x:f t="shared" si="0"/>
        <x:v/>
      </x:c>
      <x:c r="Y45" s="2796" t="str">
        <x:f t="shared" si="1"/>
        <x:v/>
      </x:c>
      <x:c r="Z45" s="2797" t="s">
        <x:v>116</x:v>
      </x:c>
      <x:c r="AA45" s="2840" t="str">
        <x:f t="shared" si="2"/>
        <x:v/>
      </x:c>
      <x:c r="AB45" s="2782" t="str">
        <x:f t="shared" si="82"/>
        <x:v/>
      </x:c>
      <x:c r="AC45" s="2790" t="str">
        <x:f t="shared" si="83"/>
        <x:v/>
      </x:c>
      <x:c r="AD45" s="2785" t="str">
        <x:f t="shared" ca="1" si="84"/>
        <x:v/>
      </x:c>
      <x:c r="AE45" s="2789" t="str">
        <x:f t="shared" ca="1" si="85"/>
        <x:v/>
      </x:c>
      <x:c r="AF45" s="2790" t="str">
        <x:f t="shared" ca="1" si="86"/>
        <x:v/>
      </x:c>
      <x:c r="AG45" s="2785" t="str">
        <x:f t="shared" ca="1" si="87"/>
        <x:v/>
      </x:c>
      <x:c r="AH45" s="2789" t="str">
        <x:f t="shared" ca="1" si="88"/>
        <x:v/>
      </x:c>
      <x:c r="AI45" s="2785" t="str">
        <x:f t="shared" ca="1" si="89"/>
        <x:v/>
      </x:c>
      <x:c r="AJ45" s="2789" t="str">
        <x:f t="shared" ca="1" si="90"/>
        <x:v/>
      </x:c>
      <x:c r="AK45" s="2820" t="str">
        <x:f t="shared" si="3"/>
        <x:v/>
      </x:c>
      <x:c r="AL45" s="2821" t="str">
        <x:f t="shared" si="91"/>
        <x:v/>
      </x:c>
      <x:c r="AM45" s="2822" t="str">
        <x:f t="shared" si="3"/>
        <x:v/>
      </x:c>
      <x:c r="AN45" s="2790" t="str">
        <x:f t="shared" si="3"/>
        <x:v/>
      </x:c>
      <x:c r="AO45" s="2793" t="str">
        <x:f t="shared" si="3"/>
        <x:v/>
      </x:c>
      <x:c r="AP45" s="2792" t="str">
        <x:f t="shared" si="4"/>
        <x:v/>
      </x:c>
      <x:c r="AQ45" s="2824" t="str">
        <x:f t="shared" si="4"/>
        <x:v/>
      </x:c>
      <x:c r="AR45" s="2788" t="str">
        <x:f t="shared" si="5"/>
        <x:v/>
      </x:c>
      <x:c r="AS45" s="2789" t="str">
        <x:f t="shared" si="6"/>
        <x:v/>
      </x:c>
      <x:c r="AT45" s="2825" t="str">
        <x:f t="shared" si="7"/>
        <x:v/>
      </x:c>
      <x:c r="AU45" s="2826" t="str">
        <x:f t="shared" si="8"/>
        <x:v/>
      </x:c>
      <x:c r="AV45" s="2794" t="str">
        <x:f t="shared" si="9"/>
        <x:v/>
      </x:c>
      <x:c r="AW45" s="2789" t="str">
        <x:f t="shared" si="10"/>
        <x:v/>
      </x:c>
      <x:c r="AX45" s="2825" t="str">
        <x:f t="shared" si="11"/>
        <x:v/>
      </x:c>
      <x:c r="AY45" s="2826" t="str">
        <x:f t="shared" si="12"/>
        <x:v/>
      </x:c>
      <x:c r="AZ45" s="2794" t="str">
        <x:f t="shared" si="13"/>
        <x:v/>
      </x:c>
      <x:c r="BA45" s="2789" t="str">
        <x:f t="shared" si="14"/>
        <x:v/>
      </x:c>
      <x:c r="BB45" s="2825" t="str">
        <x:f t="shared" si="15"/>
        <x:v/>
      </x:c>
      <x:c r="BC45" s="2826" t="str">
        <x:f t="shared" si="16"/>
        <x:v/>
      </x:c>
      <x:c r="BD45" s="2794" t="str">
        <x:f t="shared" si="17"/>
        <x:v/>
      </x:c>
      <x:c r="BE45" s="2789" t="str">
        <x:f t="shared" si="18"/>
        <x:v/>
      </x:c>
      <x:c r="BF45" s="2825" t="str">
        <x:f t="shared" si="19"/>
        <x:v/>
      </x:c>
      <x:c r="BG45" s="2826" t="str">
        <x:f t="shared" si="20"/>
        <x:v/>
      </x:c>
      <x:c r="BH45" s="1416"/>
      <x:c r="BJ45" s="995" t="str">
        <x:f t="shared" si="59"/>
        <x:v/>
      </x:c>
      <x:c r="BK45" s="993" t="b">
        <x:f t="shared" si="21"/>
        <x:v>0</x:v>
      </x:c>
      <x:c r="BL45" s="1800" t="b">
        <x:v>0</x:v>
      </x:c>
      <x:c r="BM45" s="989">
        <x:f t="shared" si="22"/>
        <x:v>0</x:v>
      </x:c>
      <x:c r="BN45" s="989">
        <x:f t="shared" si="23"/>
        <x:v>0</x:v>
      </x:c>
      <x:c r="BO45" s="989">
        <x:f t="shared" si="24"/>
        <x:v>0</x:v>
      </x:c>
      <x:c r="BP45" s="989">
        <x:f t="shared" si="25"/>
        <x:v>0</x:v>
      </x:c>
      <x:c r="BQ45" s="989">
        <x:f t="shared" si="26"/>
        <x:v>0</x:v>
      </x:c>
      <x:c r="BR45" s="989" t="b">
        <x:f t="shared" si="27"/>
        <x:v>1</x:v>
      </x:c>
      <x:c r="BS45" s="1302">
        <x:f t="shared" si="28"/>
        <x:v>6</x:v>
      </x:c>
      <x:c r="BT45" s="990" t="str">
        <x:f t="shared" si="29"/>
        <x:v>No</x:v>
      </x:c>
      <x:c r="BU45" s="1302">
        <x:f t="shared" si="30"/>
        <x:v>6</x:v>
      </x:c>
      <x:c r="BV45" s="990" t="str">
        <x:f t="shared" si="31"/>
        <x:v>No</x:v>
      </x:c>
      <x:c r="BW45" s="991">
        <x:f t="shared" ca="1" si="32"/>
        <x:v>0</x:v>
      </x:c>
      <x:c r="BX45" s="991" t="str">
        <x:f t="shared" ca="1" si="33"/>
        <x:v/>
      </x:c>
      <x:c r="BY45" s="991" t="b">
        <x:f t="shared" ca="1" si="34"/>
        <x:v>0</x:v>
      </x:c>
      <x:c r="BZ45" s="991" t="b">
        <x:f t="shared" si="52"/>
        <x:v>0</x:v>
      </x:c>
      <x:c r="CB45" s="681"/>
      <x:c r="CC45" s="1685"/>
      <x:c r="CD45" s="704"/>
      <x:c r="CE45" s="705"/>
      <x:c r="CF45" s="706"/>
      <x:c r="CG45" s="681"/>
      <x:c r="CH45" s="718"/>
      <x:c r="CI45" s="719"/>
      <x:c r="CJ45" s="718"/>
      <x:c r="CK45" s="719"/>
      <x:c r="CL45" s="720"/>
      <x:c r="CM45" s="744"/>
      <x:c r="CN45" s="741"/>
      <x:c r="CO45" s="1552"/>
      <x:c r="CP45" s="911"/>
      <x:c r="CQ45" s="681"/>
      <x:c r="CR45" s="718"/>
      <x:c r="CS45" s="719"/>
      <x:c r="CT45" s="718"/>
      <x:c r="CU45" s="719"/>
      <x:c r="CV45" s="720"/>
      <x:c r="CW45" s="744"/>
      <x:c r="CX45" s="741"/>
      <x:c r="CY45" s="1552"/>
      <x:c r="CZ45" s="911"/>
      <x:c r="DA45" s="722"/>
      <x:c r="DB45" s="707"/>
      <x:c r="DC45" s="708"/>
      <x:c r="DD45" s="727"/>
      <x:c r="DE45" s="728"/>
      <x:c r="DF45" s="141"/>
      <x:c r="DG45" s="141"/>
      <x:c r="DH45" s="685"/>
      <x:c r="DI45" s="682"/>
      <x:c r="DJ45" s="694"/>
      <x:c r="DK45" s="1332"/>
      <x:c r="DL45" s="683"/>
      <x:c r="DM45" s="695"/>
      <x:c r="DN45" s="1335"/>
      <x:c r="DO45" s="684"/>
      <x:c r="DP45" s="685"/>
      <x:c r="DQ45" s="1420"/>
      <x:c r="DR45" s="686"/>
      <x:c r="DS45" s="1420"/>
      <x:c r="DT45" s="1423"/>
      <x:c r="DU45" s="1424"/>
      <x:c r="DV45" s="687"/>
      <x:c r="DW45" s="1337"/>
      <x:c r="DX45" s="688"/>
      <x:c r="DY45" s="683"/>
      <x:c r="DZ45" s="687"/>
      <x:c r="EA45" s="1337"/>
      <x:c r="EB45" s="688"/>
      <x:c r="EC45" s="683"/>
      <x:c r="ED45" s="687"/>
      <x:c r="EE45" s="1337"/>
      <x:c r="EF45" s="688"/>
      <x:c r="EG45" s="683"/>
      <x:c r="EH45" s="687"/>
      <x:c r="EI45" s="1337"/>
      <x:c r="EJ45" s="688"/>
      <x:c r="EK45" s="689"/>
      <x:c r="EL45" s="241"/>
      <x:c r="EM45" s="1633" t="str">
        <x:f t="shared" si="35"/>
        <x:v/>
      </x:c>
      <x:c r="EN45" s="1635" t="str">
        <x:f t="shared" si="36"/>
        <x:v/>
      </x:c>
      <x:c r="EO45" s="1431" t="str">
        <x:f t="shared" si="37"/>
        <x:v/>
      </x:c>
      <x:c r="EP45" s="1432" t="str">
        <x:f t="shared" si="38"/>
        <x:v/>
      </x:c>
      <x:c r="EQ45" s="1435" t="str">
        <x:f t="shared" si="39"/>
        <x:v/>
      </x:c>
      <x:c r="ER45" s="1444" t="str">
        <x:f t="shared" si="40"/>
        <x:v/>
      </x:c>
      <x:c r="ES45" s="1445" t="str">
        <x:f t="shared" si="41"/>
        <x:v/>
      </x:c>
      <x:c r="ET45" s="1446" t="str">
        <x:f t="shared" si="42"/>
        <x:v/>
      </x:c>
      <x:c r="EU45" s="1447" t="str">
        <x:f t="shared" si="53"/>
        <x:v/>
      </x:c>
      <x:c r="EX45" s="503" t="str">
        <x:f t="shared" ca="1" si="54"/>
        <x:v/>
      </x:c>
      <x:c r="EY45" s="940" t="str">
        <x:f t="shared" si="43"/>
        <x:v/>
      </x:c>
      <x:c r="EZ45" s="940" t="str">
        <x:f t="shared" si="55"/>
        <x:v/>
      </x:c>
      <x:c r="FA45" s="958" t="str">
        <x:f t="shared" ca="1" si="60"/>
        <x:v/>
      </x:c>
      <x:c r="FB45" s="134" t="str">
        <x:f t="shared" ca="1" si="56"/>
        <x:v/>
      </x:c>
      <x:c r="FC45" s="134">
        <x:f t="shared" ca="1" si="44"/>
        <x:v>0</x:v>
      </x:c>
      <x:c r="FD45" s="134">
        <x:f t="shared" ca="1" si="45"/>
        <x:v>0</x:v>
      </x:c>
      <x:c r="FE45" s="134">
        <x:f t="shared" ca="1" si="46"/>
        <x:v>0</x:v>
      </x:c>
      <x:c r="FF45" s="134">
        <x:f t="shared" ca="1" si="57"/>
        <x:v>0</x:v>
      </x:c>
      <x:c r="FN45" s="754" t="b">
        <x:v>0</x:v>
      </x:c>
      <x:c r="FO45" s="754" t="b">
        <x:f t="shared" si="47"/>
        <x:v>1</x:v>
      </x:c>
      <x:c r="FP45" s="754" t="b">
        <x:v>0</x:v>
      </x:c>
      <x:c r="FQ45" s="754" t="b">
        <x:f t="shared" si="58"/>
        <x:v>1</x:v>
      </x:c>
      <x:c r="FW45" s="102"/>
      <x:c r="FX45" s="102"/>
      <x:c r="FZ45" s="104"/>
      <x:c r="GA45" s="1761" t="str">
        <x:f t="shared" si="92"/>
        <x:v/>
      </x:c>
      <x:c r="GB45" s="1762" t="str">
        <x:f t="shared" si="93"/>
        <x:v/>
      </x:c>
      <x:c r="GC45" s="1763" t="str">
        <x:f t="shared" si="94"/>
        <x:v/>
      </x:c>
      <x:c r="GD45" s="1764" t="str">
        <x:f t="shared" si="95"/>
        <x:v/>
      </x:c>
      <x:c r="GE45" s="1765" t="str">
        <x:f t="shared" si="48"/>
        <x:v/>
      </x:c>
      <x:c r="GF45" s="582" t="str">
        <x:f t="shared" si="49"/>
        <x:v/>
      </x:c>
      <x:c r="GG45" s="1136"/>
      <x:c r="GH45" s="1137"/>
      <x:c r="GI45" s="1136"/>
      <x:c r="GJ45" s="1137"/>
      <x:c r="GK45" s="1640">
        <x:f t="shared" si="50"/>
        <x:v>0</x:v>
      </x:c>
      <x:c r="GL45" s="1640" t="e">
        <x:f t="shared" si="51"/>
        <x:v>#VALUE!</x:v>
      </x:c>
      <x:c r="GM45" s="1641" t="e">
        <x:f>IF(ABS(GK45-GL45)&gt;='Job Info.'!$L$22,ABS(GK45-GL45),0)</x:f>
        <x:v>#VALUE!</x:v>
      </x:c>
      <x:c r="GZ45" s="144"/>
      <x:c r="HA45" s="1249"/>
      <x:c r="HB45" s="1250"/>
      <x:c r="HC45" s="1250"/>
      <x:c r="HD45" s="1251"/>
      <x:c r="HE45" s="1252"/>
      <x:c r="HF45" s="1250"/>
      <x:c r="HG45" s="1250"/>
      <x:c r="HH45" s="1250"/>
      <x:c r="HI45" s="1250"/>
      <x:c r="HJ45" s="1250"/>
      <x:c r="HK45" s="1250"/>
      <x:c r="HL45" s="1250"/>
      <x:c r="HM45" s="1250"/>
      <x:c r="HN45" s="1250"/>
      <x:c r="HO45" s="1250"/>
      <x:c r="HP45" s="1250"/>
      <x:c r="HQ45" s="1250"/>
      <x:c r="HR45" s="1250"/>
      <x:c r="HS45" s="1250"/>
      <x:c r="HT45" s="1250"/>
      <x:c r="HU45" s="1250"/>
      <x:c r="HV45" s="1250"/>
      <x:c r="HW45" s="1250"/>
      <x:c r="HX45" s="1250"/>
      <x:c r="HY45" s="1253"/>
      <x:c r="HZ45" s="1253"/>
      <x:c r="IA45" s="1253"/>
      <x:c r="IB45" s="1253"/>
      <x:c r="IC45" s="1253"/>
      <x:c r="ID45" s="1262"/>
      <x:c r="IE45" s="1249"/>
      <x:c r="IF45" s="1250"/>
      <x:c r="IG45" s="1251"/>
      <x:c r="IH45" s="1252"/>
      <x:c r="II45" s="1250"/>
      <x:c r="IJ45" s="1251"/>
      <x:c r="IK45" s="1252"/>
      <x:c r="IL45" s="1250"/>
      <x:c r="IM45" s="1250"/>
      <x:c r="IN45" s="1250"/>
      <x:c r="IO45" s="1250"/>
      <x:c r="IP45" s="1250"/>
      <x:c r="IQ45" s="1250"/>
      <x:c r="IR45" s="1250"/>
      <x:c r="IS45" s="1251"/>
      <x:c r="IT45" s="1252"/>
      <x:c r="IU45" s="1250"/>
      <x:c r="IV45" s="1250"/>
      <x:c r="IW45" s="1251"/>
      <x:c r="IX45" s="1252"/>
      <x:c r="IY45" s="1250"/>
      <x:c r="IZ45" s="1250"/>
      <x:c r="JA45" s="1251"/>
      <x:c r="JB45" s="1252"/>
      <x:c r="JC45" s="1250"/>
      <x:c r="JD45" s="1250"/>
      <x:c r="JE45" s="1251"/>
      <x:c r="JF45" s="1252"/>
      <x:c r="JG45" s="1250"/>
      <x:c r="JH45" s="1250"/>
      <x:c r="JI45" s="1250"/>
      <x:c r="JJ45" s="1255"/>
      <x:c r="JK45" s="1250"/>
      <x:c r="JL45" s="1172">
        <x:f t="shared" ca="1" si="61"/>
        <x:v>0</x:v>
      </x:c>
    </x:row>
    <x:row r="46" spans="1:272" ht="20.100000000000001" customHeight="1" thickTop="1" x14ac:dyDescent="0.2">
      <x:c r="A46" s="1142"/>
      <x:c r="B46" s="1142"/>
      <x:c r="C46" s="1142"/>
      <x:c r="D46" s="1142"/>
      <x:c r="E46" s="1142"/>
      <x:c r="F46" s="1142"/>
      <x:c r="G46" s="1142"/>
      <x:c r="H46" s="1142"/>
      <x:c r="I46" s="1142"/>
      <x:c r="J46" s="1142"/>
      <x:c r="K46" s="1142"/>
      <x:c r="L46" s="1142"/>
      <x:c r="M46" s="1142"/>
      <x:c r="N46" s="1142"/>
      <x:c r="O46" s="1142"/>
      <x:c r="P46" s="1142"/>
      <x:c r="Q46" s="1142"/>
      <x:c r="R46" s="1142"/>
      <x:c r="S46" s="1142"/>
      <x:c r="T46" s="1142"/>
      <x:c r="U46" s="1142"/>
      <x:c r="V46" s="1142"/>
      <x:c r="W46" s="1142"/>
      <x:c r="X46" s="1142"/>
      <x:c r="Y46" s="1142"/>
      <x:c r="Z46" s="1142"/>
      <x:c r="AA46" s="1142"/>
      <x:c r="AB46" s="1142"/>
      <x:c r="AC46" s="1142"/>
      <x:c r="AD46" s="1142"/>
      <x:c r="AE46" s="1142"/>
      <x:c r="AF46" s="1142"/>
      <x:c r="AG46" s="1142"/>
      <x:c r="AH46" s="1142"/>
      <x:c r="AI46" s="1142"/>
      <x:c r="AJ46" s="1142"/>
      <x:c r="AK46" s="1142"/>
      <x:c r="AL46" s="1142"/>
      <x:c r="AM46" s="1142"/>
      <x:c r="AN46" s="1142"/>
      <x:c r="AO46" s="1142"/>
      <x:c r="AP46" s="1142"/>
      <x:c r="AQ46" s="1142"/>
      <x:c r="AR46" s="1142"/>
      <x:c r="AS46" s="1142"/>
      <x:c r="AT46" s="1142"/>
      <x:c r="AU46" s="1142"/>
      <x:c r="AV46" s="1142"/>
      <x:c r="AW46" s="1142"/>
      <x:c r="AX46" s="1142"/>
      <x:c r="AY46" s="1142"/>
      <x:c r="AZ46" s="1142"/>
      <x:c r="BA46" s="1142"/>
      <x:c r="BB46" s="1142"/>
      <x:c r="BC46" s="1142"/>
      <x:c r="BD46" s="1142"/>
      <x:c r="BE46" s="1142"/>
      <x:c r="BF46" s="1142"/>
      <x:c r="BG46" s="1142"/>
      <x:c r="BH46" s="260"/>
      <x:c r="CA46" s="105"/>
      <x:c r="CB46" s="105"/>
      <x:c r="CC46" s="105"/>
      <x:c r="CD46" s="105"/>
      <x:c r="CE46" s="105"/>
      <x:c r="CF46" s="105"/>
      <x:c r="CG46" s="105"/>
      <x:c r="CH46" s="105"/>
      <x:c r="CI46" s="105"/>
      <x:c r="CJ46" s="105"/>
      <x:c r="CK46" s="105"/>
      <x:c r="CL46" s="105"/>
      <x:c r="CM46" s="105"/>
      <x:c r="CN46" s="105"/>
      <x:c r="CO46" s="105"/>
      <x:c r="CP46" s="105"/>
      <x:c r="CQ46" s="105"/>
      <x:c r="CR46" s="105"/>
      <x:c r="CS46" s="105"/>
      <x:c r="CT46" s="105"/>
      <x:c r="CU46" s="105"/>
      <x:c r="CV46" s="105"/>
      <x:c r="CW46" s="105"/>
      <x:c r="CX46" s="105"/>
      <x:c r="CY46" s="105"/>
      <x:c r="CZ46" s="105"/>
      <x:c r="DA46" s="105"/>
      <x:c r="DB46" s="102"/>
      <x:c r="DC46" s="102"/>
      <x:c r="DD46" s="102"/>
      <x:c r="DE46" s="102"/>
      <x:c r="DF46" s="102"/>
      <x:c r="DG46" s="102"/>
      <x:c r="DH46" s="139"/>
      <x:c r="DI46" s="139"/>
      <x:c r="DJ46" s="139"/>
      <x:c r="DK46" s="139"/>
      <x:c r="DL46" s="139"/>
      <x:c r="DM46" s="139"/>
      <x:c r="DN46" s="139"/>
      <x:c r="DO46" s="139"/>
      <x:c r="DP46" s="139"/>
      <x:c r="DQ46" s="139"/>
      <x:c r="DR46" s="139"/>
      <x:c r="DS46" s="139"/>
      <x:c r="DT46" s="629"/>
      <x:c r="DU46" s="629"/>
      <x:c r="DV46" s="139"/>
      <x:c r="DW46" s="139"/>
      <x:c r="DX46" s="139"/>
      <x:c r="DY46" s="139"/>
      <x:c r="DZ46" s="139"/>
      <x:c r="EA46" s="139"/>
      <x:c r="EB46" s="139"/>
      <x:c r="EC46" s="139"/>
      <x:c r="ED46" s="139"/>
      <x:c r="EE46" s="139"/>
      <x:c r="EF46" s="139"/>
      <x:c r="EG46" s="139"/>
      <x:c r="EH46" s="139"/>
      <x:c r="EI46" s="139"/>
      <x:c r="EJ46" s="139"/>
      <x:c r="EK46" s="139"/>
      <x:c r="EL46" s="102"/>
      <x:c r="EM46" s="102"/>
      <x:c r="EN46" s="104"/>
      <x:c r="EO46" s="290"/>
      <x:c r="EP46" s="291"/>
      <x:c r="EQ46" s="291"/>
      <x:c r="ER46" s="291"/>
      <x:c r="ES46" s="292"/>
      <x:c r="ET46" s="290"/>
      <x:c r="EU46" s="290"/>
      <x:c r="EV46" s="290"/>
      <x:c r="EW46" s="290"/>
      <x:c r="EX46" s="290"/>
      <x:c r="EY46" s="290"/>
      <x:c r="EZ46" s="290"/>
      <x:c r="FA46" s="290"/>
      <x:c r="FB46" s="290"/>
      <x:c r="FC46" s="290"/>
      <x:c r="FD46" s="290"/>
      <x:c r="FE46" s="290"/>
      <x:c r="FF46" s="290"/>
      <x:c r="FG46" s="290"/>
      <x:c r="FH46" s="290"/>
      <x:c r="FI46" s="290"/>
      <x:c r="FJ46" s="290"/>
      <x:c r="FK46" s="290"/>
      <x:c r="FL46" s="290"/>
      <x:c r="FM46" s="290"/>
      <x:c r="FN46" s="102"/>
      <x:c r="FO46" s="102"/>
      <x:c r="FP46" s="102"/>
      <x:c r="FQ46" s="102"/>
      <x:c r="FR46" s="102"/>
      <x:c r="FS46" s="102"/>
      <x:c r="FT46" s="102"/>
      <x:c r="FU46" s="102"/>
      <x:c r="FV46" s="102"/>
      <x:c r="FW46" s="102"/>
      <x:c r="FX46" s="102"/>
      <x:c r="FY46" s="102"/>
      <x:c r="FZ46" s="104"/>
      <x:c r="GA46" s="133"/>
      <x:c r="GB46" s="1138"/>
      <x:c r="GC46" s="1138"/>
      <x:c r="GD46" s="1138"/>
      <x:c r="GE46" s="1138"/>
      <x:c r="GF46" s="1138"/>
      <x:c r="GG46" s="1138"/>
      <x:c r="GH46" s="1138"/>
    </x:row>
    <x:row r="47" spans="1:272" ht="12.75" customHeight="1" x14ac:dyDescent="0.2">
      <x:c r="B47" s="533" t="s">
        <x:v>720</x:v>
      </x:c>
      <x:c r="AL47" s="259"/>
      <x:c r="AM47" s="259"/>
      <x:c r="AN47" s="259"/>
      <x:c r="AO47" s="259"/>
      <x:c r="AP47" s="259"/>
      <x:c r="AQ47" s="259"/>
      <x:c r="CA47" s="105"/>
      <x:c r="CB47" s="105"/>
      <x:c r="CC47" s="105"/>
      <x:c r="CD47" s="105"/>
      <x:c r="CE47" s="105"/>
      <x:c r="CF47" s="105"/>
      <x:c r="CG47" s="105"/>
      <x:c r="CH47" s="105"/>
      <x:c r="CI47" s="105"/>
      <x:c r="CJ47" s="105"/>
      <x:c r="CK47" s="105"/>
      <x:c r="CL47" s="105"/>
      <x:c r="CM47" s="105"/>
      <x:c r="CN47" s="105"/>
      <x:c r="CO47" s="105"/>
      <x:c r="CP47" s="105"/>
      <x:c r="CQ47" s="105"/>
      <x:c r="CR47" s="105"/>
      <x:c r="CS47" s="105"/>
      <x:c r="CT47" s="105"/>
      <x:c r="CU47" s="105"/>
      <x:c r="CV47" s="105"/>
      <x:c r="CW47" s="105"/>
      <x:c r="CX47" s="105"/>
      <x:c r="CY47" s="105"/>
      <x:c r="DD47" s="105"/>
      <x:c r="DE47" s="105"/>
      <x:c r="DF47" s="105"/>
      <x:c r="DG47" s="105"/>
      <x:c r="DH47" s="139"/>
      <x:c r="DI47" s="139"/>
      <x:c r="DJ47" s="139"/>
      <x:c r="DK47" s="139"/>
      <x:c r="DL47" s="139"/>
      <x:c r="DM47" s="139"/>
      <x:c r="DN47" s="139"/>
      <x:c r="DO47" s="139"/>
      <x:c r="DP47" s="139"/>
      <x:c r="DQ47" s="139"/>
      <x:c r="DR47" s="139"/>
      <x:c r="DS47" s="139"/>
      <x:c r="DT47" s="139"/>
      <x:c r="DU47" s="139"/>
      <x:c r="DV47" s="139"/>
      <x:c r="DW47" s="139"/>
      <x:c r="DX47" s="139"/>
      <x:c r="DY47" s="139"/>
      <x:c r="DZ47" s="139"/>
      <x:c r="EA47" s="139"/>
      <x:c r="EB47" s="139"/>
      <x:c r="EC47" s="139"/>
      <x:c r="ED47" s="139"/>
      <x:c r="EE47" s="139"/>
      <x:c r="EF47" s="139"/>
      <x:c r="EG47" s="139"/>
      <x:c r="EH47" s="139"/>
      <x:c r="EI47" s="139"/>
      <x:c r="EJ47" s="139"/>
      <x:c r="EK47" s="139"/>
      <x:c r="EL47" s="102"/>
      <x:c r="EM47" s="102"/>
      <x:c r="EN47" s="104"/>
      <x:c r="EO47" s="102"/>
      <x:c r="EP47" s="103"/>
      <x:c r="EQ47" s="103"/>
      <x:c r="ER47" s="103"/>
      <x:c r="ES47" s="106"/>
      <x:c r="ET47" s="102"/>
      <x:c r="EU47" s="102"/>
      <x:c r="EV47" s="102"/>
      <x:c r="EW47" s="102"/>
      <x:c r="EX47" s="102"/>
      <x:c r="EY47" s="102"/>
      <x:c r="EZ47" s="102"/>
      <x:c r="FA47" s="102"/>
      <x:c r="FB47" s="102"/>
      <x:c r="FC47" s="102"/>
      <x:c r="FD47" s="102"/>
      <x:c r="FE47" s="102"/>
      <x:c r="FF47" s="102"/>
      <x:c r="FG47" s="102"/>
      <x:c r="FH47" s="102"/>
      <x:c r="FI47" s="102"/>
      <x:c r="FJ47" s="102"/>
      <x:c r="FK47" s="102"/>
      <x:c r="FL47" s="102"/>
      <x:c r="FM47" s="102"/>
      <x:c r="FN47" s="102"/>
      <x:c r="FO47" s="102"/>
      <x:c r="FP47" s="102"/>
      <x:c r="FQ47" s="102"/>
      <x:c r="FR47" s="102"/>
      <x:c r="FS47" s="102"/>
      <x:c r="FT47" s="102"/>
      <x:c r="FU47" s="102"/>
      <x:c r="FV47" s="102"/>
      <x:c r="FW47" s="102"/>
      <x:c r="FX47" s="102"/>
      <x:c r="FY47" s="102"/>
      <x:c r="FZ47" s="104"/>
      <x:c r="GA47" s="102"/>
      <x:c r="GR47" s="105"/>
      <x:c r="GS47" s="105"/>
      <x:c r="GT47" s="105"/>
      <x:c r="GU47" s="105"/>
      <x:c r="GV47" s="105"/>
      <x:c r="GW47" s="105"/>
      <x:c r="GX47" s="105"/>
      <x:c r="GY47" s="105"/>
      <x:c r="GZ47" s="105"/>
      <x:c r="HA47" s="105"/>
      <x:c r="HB47" s="105"/>
      <x:c r="HC47" s="105"/>
      <x:c r="HD47" s="105"/>
      <x:c r="HE47" s="105"/>
      <x:c r="HF47" s="105"/>
      <x:c r="HG47" s="105"/>
      <x:c r="HH47" s="105"/>
      <x:c r="HI47" s="105"/>
      <x:c r="HJ47" s="105"/>
      <x:c r="HK47" s="105"/>
      <x:c r="HL47" s="105"/>
      <x:c r="HM47" s="105"/>
      <x:c r="HN47" s="105"/>
      <x:c r="HO47" s="105"/>
      <x:c r="HP47" s="139"/>
      <x:c r="HQ47" s="105"/>
      <x:c r="HR47" s="105"/>
      <x:c r="HS47" s="105"/>
      <x:c r="HT47" s="105"/>
      <x:c r="HU47" s="105"/>
      <x:c r="HV47" s="105"/>
      <x:c r="HW47" s="105"/>
      <x:c r="HX47" s="105"/>
      <x:c r="HY47" s="105"/>
      <x:c r="HZ47" s="105"/>
      <x:c r="IA47" s="105"/>
      <x:c r="IB47" s="105"/>
      <x:c r="IC47" s="105"/>
      <x:c r="ID47" s="105"/>
      <x:c r="IE47" s="105"/>
      <x:c r="IF47" s="105"/>
      <x:c r="IG47" s="105"/>
      <x:c r="IH47" s="105"/>
      <x:c r="II47" s="105"/>
      <x:c r="IJ47" s="105"/>
      <x:c r="IK47" s="105"/>
      <x:c r="IL47" s="105"/>
      <x:c r="IM47" s="105"/>
      <x:c r="IN47" s="105"/>
      <x:c r="IO47" s="105"/>
      <x:c r="IP47" s="105"/>
      <x:c r="IQ47" s="105"/>
      <x:c r="IR47" s="105"/>
      <x:c r="IS47" s="105"/>
      <x:c r="IT47" s="105"/>
      <x:c r="IU47" s="105"/>
    </x:row>
    <x:row r="48" spans="1:272" ht="12" hidden="1" customHeight="1" thickTop="1" thickBot="1" x14ac:dyDescent="0.25">
      <x:c r="B48" s="146">
        <x:f>SUM(B14:B45)</x:f>
        <x:v>18</x:v>
      </x:c>
      <x:c r="CA48" s="105"/>
      <x:c r="CB48" s="105"/>
      <x:c r="CC48" s="105"/>
      <x:c r="CD48" s="105"/>
      <x:c r="CE48" s="105"/>
      <x:c r="CF48" s="105"/>
      <x:c r="CG48" s="105"/>
      <x:c r="CH48" s="105"/>
      <x:c r="CI48" s="105"/>
      <x:c r="CJ48" s="105"/>
      <x:c r="CK48" s="105"/>
      <x:c r="CL48" s="105"/>
      <x:c r="CM48" s="105"/>
      <x:c r="CN48" s="105"/>
      <x:c r="CO48" s="105"/>
      <x:c r="CP48" s="105"/>
      <x:c r="CQ48" s="105"/>
      <x:c r="CR48" s="105"/>
      <x:c r="CS48" s="105"/>
      <x:c r="CT48" s="105"/>
      <x:c r="CU48" s="105"/>
      <x:c r="CV48" s="105"/>
      <x:c r="CW48" s="105"/>
      <x:c r="CX48" s="105"/>
      <x:c r="CY48" s="105"/>
      <x:c r="DD48" s="102"/>
      <x:c r="DE48" s="102"/>
      <x:c r="DF48" s="102"/>
      <x:c r="DG48" s="102"/>
      <x:c r="DH48" s="139"/>
      <x:c r="DI48" s="139"/>
      <x:c r="DJ48" s="139"/>
      <x:c r="DK48" s="139"/>
      <x:c r="DL48" s="139"/>
      <x:c r="DM48" s="139"/>
      <x:c r="DN48" s="139"/>
      <x:c r="DO48" s="139"/>
      <x:c r="DP48" s="139"/>
      <x:c r="DQ48" s="139"/>
      <x:c r="DR48" s="139"/>
      <x:c r="DS48" s="139"/>
      <x:c r="DT48" s="139"/>
      <x:c r="DU48" s="139"/>
      <x:c r="DV48" s="139"/>
      <x:c r="DW48" s="139"/>
      <x:c r="DX48" s="139"/>
      <x:c r="DY48" s="139"/>
      <x:c r="DZ48" s="139"/>
      <x:c r="EA48" s="139"/>
      <x:c r="EB48" s="139"/>
      <x:c r="EC48" s="139"/>
      <x:c r="ED48" s="139"/>
      <x:c r="EE48" s="139"/>
      <x:c r="EF48" s="139"/>
      <x:c r="EG48" s="139"/>
      <x:c r="EH48" s="139"/>
      <x:c r="EI48" s="139"/>
      <x:c r="EJ48" s="139"/>
      <x:c r="EK48" s="139"/>
      <x:c r="EL48" s="102"/>
      <x:c r="EM48" s="102"/>
      <x:c r="EN48" s="104"/>
      <x:c r="EO48" s="102"/>
      <x:c r="EP48" s="103"/>
      <x:c r="EQ48" s="103"/>
      <x:c r="ER48" s="103"/>
      <x:c r="ES48" s="106"/>
      <x:c r="ET48" s="102"/>
      <x:c r="EU48" s="102"/>
      <x:c r="EV48" s="102"/>
      <x:c r="EW48" s="102"/>
      <x:c r="EX48" s="102"/>
      <x:c r="EY48" s="102"/>
      <x:c r="EZ48" s="102"/>
      <x:c r="FA48" s="102"/>
      <x:c r="FB48" s="102"/>
      <x:c r="FC48" s="102"/>
      <x:c r="FD48" s="102"/>
      <x:c r="FE48" s="102"/>
      <x:c r="FF48" s="102"/>
      <x:c r="FG48" s="102"/>
      <x:c r="FH48" s="102"/>
      <x:c r="FI48" s="102"/>
      <x:c r="FJ48" s="102"/>
      <x:c r="FK48" s="102"/>
      <x:c r="FL48" s="102"/>
      <x:c r="FM48" s="102"/>
      <x:c r="FZ48" s="921" t="s">
        <x:v>1058</x:v>
      </x:c>
      <x:c r="GA48" s="581" t="str">
        <x:f t="shared" ref="GA48" si="96">IF(GF48="","",CE48)</x:f>
        <x:v/>
      </x:c>
      <x:c r="GB48" s="623" t="str">
        <x:f t="shared" ref="GB48" si="97">IF(GF48="","",CF48)</x:f>
        <x:v/>
      </x:c>
      <x:c r="GC48" s="625" t="str">
        <x:f t="shared" ref="GC48" si="98">IF(GF48="","",IF(CD88="",0,CD88))</x:f>
        <x:v/>
      </x:c>
      <x:c r="GD48" s="626" t="str">
        <x:f t="shared" ref="GD48" si="99">IF(GF48="","",IF(CM88="",0,CM88))</x:f>
        <x:v/>
      </x:c>
      <x:c r="GE48" s="624"/>
      <x:c r="GF48" s="582"/>
      <x:c r="GG48" s="1639"/>
      <x:c r="GH48" s="1642"/>
      <x:c r="GI48" s="1639"/>
      <x:c r="GJ48" s="1642"/>
      <x:c r="GR48" s="156" t="str">
        <x:f>IF(ISERROR(VLOOKUP($CB48,#REF!,HA$7,FALSE)),"",VLOOKUP($CB48,#REF!,HA$7,FALSE))</x:f>
        <x:v/>
      </x:c>
      <x:c r="GS48" s="157" t="str">
        <x:f>IF(ISERROR(VLOOKUP($CB48,#REF!,HB$7,FALSE)),"",IF(VLOOKUP($CB48,#REF!,HB$7,FALSE)="","",VLOOKUP($CB48,#REF!,HB$7,FALSE)))</x:f>
        <x:v/>
      </x:c>
      <x:c r="GT48" s="158" t="str">
        <x:f>IF(ISERROR(VLOOKUP($CB48,#REF!,HC$7,FALSE)),"",IF(VLOOKUP($CB48,#REF!,HC$7,FALSE)="","",VLOOKUP($CB48,#REF!,HC$7,FALSE)))</x:f>
        <x:v/>
      </x:c>
      <x:c r="GU48" s="159" t="str">
        <x:f>IF(ISERROR(VLOOKUP($CB48,#REF!,HD$7,FALSE)),"",IF(VLOOKUP($CB48,#REF!,HD$7,FALSE)="","",VLOOKUP($CB48,#REF!,HD$7,FALSE)))</x:f>
        <x:v/>
      </x:c>
      <x:c r="GV48" s="160" t="str">
        <x:f>IF(ISERROR(VLOOKUP($CB48,#REF!,HE$7,FALSE)),"",IF(VLOOKUP($CB48,#REF!,HE$7,FALSE)="","",VLOOKUP($CB48,#REF!,HE$7,FALSE)))</x:f>
        <x:v/>
      </x:c>
      <x:c r="GW48" s="156" t="str">
        <x:f>IF(ISERROR(VLOOKUP($CB48,#REF!,HF$7,FALSE)),"",IF(VLOOKUP($CB48,#REF!,HF$7,FALSE)="","",VLOOKUP($CB48,#REF!,HF$7,FALSE)))</x:f>
        <x:v/>
      </x:c>
      <x:c r="GX48" s="161" t="str">
        <x:f>IF(ISERROR(VLOOKUP($CB48,#REF!,HG$7,FALSE)),"",IF(VLOOKUP($CB48,#REF!,HG$7,FALSE)="","",VLOOKUP($CB48,#REF!,HG$7,FALSE)))</x:f>
        <x:v/>
      </x:c>
      <x:c r="GY48" s="162" t="str">
        <x:f>IF(ISERROR(VLOOKUP($CB48,#REF!,HH$7,FALSE)),"",IF(VLOOKUP($CB48,#REF!,HH$7,FALSE)="","",VLOOKUP($CB48,#REF!,HH$7,FALSE)))</x:f>
        <x:v/>
      </x:c>
      <x:c r="GZ48" s="161" t="str">
        <x:f>IF(ISERROR(VLOOKUP($CB48,#REF!,HI$7,FALSE)),"",IF(VLOOKUP($CB48,#REF!,HI$7,FALSE)="","",VLOOKUP($CB48,#REF!,HI$7,FALSE)))</x:f>
        <x:v/>
      </x:c>
      <x:c r="HA48" s="162" t="str">
        <x:f>IF(ISERROR(VLOOKUP($CB48,#REF!,HJ$7,FALSE)),"",IF(VLOOKUP($CB48,#REF!,HJ$7,FALSE)="","",VLOOKUP($CB48,#REF!,HJ$7,FALSE)))</x:f>
        <x:v/>
      </x:c>
      <x:c r="HB48" s="163" t="str">
        <x:f>IF(ISERROR(VLOOKUP($CB48,#REF!,HK$7,FALSE)),"",IF(VLOOKUP($CB48,#REF!,HK$7,FALSE)="","",VLOOKUP($CB48,#REF!,HK$7,FALSE)))</x:f>
        <x:v/>
      </x:c>
      <x:c r="HC48" s="164" t="str">
        <x:f>IF(ISERROR(VLOOKUP($CB48,#REF!,HL$7,FALSE)),"",IF(VLOOKUP($CB48,#REF!,HL$7,FALSE)="","",VLOOKUP($CB48,#REF!,HL$7,FALSE)))</x:f>
        <x:v/>
      </x:c>
      <x:c r="HD48" s="156" t="str">
        <x:f>IF(ISERROR(VLOOKUP($CB48,#REF!,HM$7,FALSE)),"",IF(VLOOKUP($CB48,#REF!,HM$7,FALSE)="","",VLOOKUP($CB48,#REF!,HM$7,FALSE)))</x:f>
        <x:v/>
      </x:c>
      <x:c r="HE48" s="161" t="str">
        <x:f>IF(ISERROR(VLOOKUP($CB48,#REF!,HN$7,FALSE)),"",IF(VLOOKUP($CB48,#REF!,HN$7,FALSE)="","",VLOOKUP($CB48,#REF!,HN$7,FALSE)))</x:f>
        <x:v/>
      </x:c>
      <x:c r="HF48" s="162" t="str">
        <x:f>IF(ISERROR(VLOOKUP($CB48,#REF!,HO$7,FALSE)),"",IF(VLOOKUP($CB48,#REF!,HO$7,FALSE)="","",VLOOKUP($CB48,#REF!,HO$7,FALSE)))</x:f>
        <x:v/>
      </x:c>
      <x:c r="HG48" s="161" t="str">
        <x:f>IF(ISERROR(VLOOKUP($CB48,#REF!,HP$7,FALSE)),"",IF(VLOOKUP($CB48,#REF!,HP$7,FALSE)="","",VLOOKUP($CB48,#REF!,HP$7,FALSE)))</x:f>
        <x:v/>
      </x:c>
      <x:c r="HH48" s="162" t="str">
        <x:f>IF(ISERROR(VLOOKUP($CB48,#REF!,HQ$7,FALSE)),"",IF(VLOOKUP($CB48,#REF!,HQ$7,FALSE)="","",VLOOKUP($CB48,#REF!,HQ$7,FALSE)))</x:f>
        <x:v/>
      </x:c>
      <x:c r="HI48" s="163" t="str">
        <x:f>IF(ISERROR(VLOOKUP($CB48,#REF!,HR$7,FALSE)),"",IF(VLOOKUP($CB48,#REF!,HR$7,FALSE)="","",VLOOKUP($CB48,#REF!,HR$7,FALSE)))</x:f>
        <x:v/>
      </x:c>
      <x:c r="HJ48" s="164" t="str">
        <x:f>IF(ISERROR(VLOOKUP($CB48,#REF!,HS$7,FALSE)),"",IF(VLOOKUP($CB48,#REF!,HS$7,FALSE)="","",VLOOKUP($CB48,#REF!,HS$7,FALSE)))</x:f>
        <x:v/>
      </x:c>
      <x:c r="HK48" s="165" t="str">
        <x:f>IF(ISERROR(VLOOKUP($CB48,#REF!,HT$7,FALSE)),"",IF(VLOOKUP($CB48,#REF!,HT$7,FALSE)="","",VLOOKUP($CB48,#REF!,HT$7,FALSE)))</x:f>
        <x:v/>
      </x:c>
      <x:c r="HL48" s="156" t="str">
        <x:f>IF(ISERROR(VLOOKUP($CB48,#REF!,HU$7,FALSE)),"",IF(VLOOKUP($CB48,#REF!,HU$7,FALSE)="","",VLOOKUP($CB48,#REF!,HU$7,FALSE)))</x:f>
        <x:v/>
      </x:c>
      <x:c r="HM48" s="166" t="str">
        <x:f>IF(ISERROR(VLOOKUP($CB48,#REF!,HV$7,FALSE)),"",IF(VLOOKUP($CB48,#REF!,HV$7,FALSE)="","",VLOOKUP($CB48,#REF!,HV$7,FALSE)))</x:f>
        <x:v/>
      </x:c>
      <x:c r="HN48" s="167" t="str">
        <x:f>IF(ISERROR(VLOOKUP($CB48,#REF!,HW$7,FALSE)),"",IF(VLOOKUP($CB48,#REF!,HW$7,FALSE)="","",VLOOKUP($CB48,#REF!,HW$7,FALSE)))</x:f>
        <x:v/>
      </x:c>
      <x:c r="HO48" s="168" t="str">
        <x:f>IF(ISERROR(VLOOKUP($CB48,#REF!,HX$7,FALSE)),"",IF(VLOOKUP($CB48,#REF!,HX$7,FALSE)="","",VLOOKUP($CB48,#REF!,HX$7,FALSE)))</x:f>
        <x:v/>
      </x:c>
      <x:c r="HP48" s="148">
        <x:f>IF(IU48="",0,1)</x:f>
        <x:v>0</x:v>
      </x:c>
      <x:c r="HQ48" s="156" t="str">
        <x:f ca="1">IF($HP48=0,"",IF(ISBLANK(OFFSET(#REF!,MATCH(OFFSET($DH48,($HP48-1)*-1,0),#REF!,0)+($HP48-2),HZ$9-1)),"",OFFSET(#REF!,MATCH(OFFSET($DH48,($HP48-1)*-1,0),#REF!,0)+($HP48-2),HZ$9-1)))</x:f>
        <x:v/>
      </x:c>
      <x:c r="HR48" s="169" t="str">
        <x:f ca="1">IF($HP48=0,"",IF(ISBLANK(OFFSET(#REF!,MATCH(OFFSET($DH48,($HP48-1)*-1,0),#REF!,0)+($HP48-2),IA$9-1)),"",OFFSET(#REF!,MATCH(OFFSET($DH48,($HP48-1)*-1,0),#REF!,0)+($HP48-2),IA$9-1)))</x:f>
        <x:v/>
      </x:c>
      <x:c r="HS48" s="170" t="str">
        <x:f ca="1">IF($HP48=0,"",IF(ISBLANK(OFFSET(#REF!,MATCH(OFFSET($DH48,($HP48-1)*-1,0),#REF!,0)+($HP48-2),IB$9-1)),"",OFFSET(#REF!,MATCH(OFFSET($DH48,($HP48-1)*-1,0),#REF!,0)+($HP48-2),IB$9-1)))</x:f>
        <x:v/>
      </x:c>
      <x:c r="HT48" s="171" t="str">
        <x:f ca="1">IF($HP48=0,"",IF(ISBLANK(OFFSET(#REF!,MATCH(OFFSET($DH48,($HP48-1)*-1,0),#REF!,0)+($HP48-2),IC$9-1)),"",OFFSET(#REF!,MATCH(OFFSET($DH48,($HP48-1)*-1,0),#REF!,0)+($HP48-2),IC$9-1)))</x:f>
        <x:v/>
      </x:c>
      <x:c r="HU48" s="172" t="str">
        <x:f ca="1">IF($HP48=0,"",IF(ISBLANK(OFFSET(#REF!,MATCH(OFFSET($DH48,($HP48-1)*-1,0),#REF!,0)+($HP48-2),ID$9-1)),"",OFFSET(#REF!,MATCH(OFFSET($DH48,($HP48-1)*-1,0),#REF!,0)+($HP48-2),ID$9-1)))</x:f>
        <x:v/>
      </x:c>
      <x:c r="HV48" s="173" t="str">
        <x:f ca="1">IF($HP48=0,"",IF(ISBLANK(OFFSET(#REF!,MATCH(OFFSET($DH48,($HP48-1)*-1,0),#REF!,0)+($HP48-2),IE$9-1)),"",OFFSET(#REF!,MATCH(OFFSET($DH48,($HP48-1)*-1,0),#REF!,0)+($HP48-2),IE$9-1)))</x:f>
        <x:v/>
      </x:c>
      <x:c r="HW48" s="174" t="str">
        <x:f ca="1">IF($HP48=0,"",IF(ISBLANK(OFFSET(#REF!,MATCH(OFFSET($DH48,($HP48-1)*-1,0),#REF!,0)+($HP48-2),IF$9-1)),"",OFFSET(#REF!,MATCH(OFFSET($DH48,($HP48-1)*-1,0),#REF!,0)+($HP48-2),IF$9-1)))</x:f>
        <x:v/>
      </x:c>
      <x:c r="HX48" s="175" t="str">
        <x:f ca="1">IF($HP48=0,"",IF(ISBLANK(OFFSET(#REF!,MATCH(OFFSET($DH48,($HP48-1)*-1,0),#REF!,0)+($HP48-2),IG$9-1)),"",OFFSET(#REF!,MATCH(OFFSET($DH48,($HP48-1)*-1,0),#REF!,0)+($HP48-2),IG$9-1)))</x:f>
        <x:v/>
      </x:c>
      <x:c r="HY48" s="176" t="str">
        <x:f ca="1">IF($HP48=0,"",IF(ISBLANK(OFFSET(#REF!,MATCH(OFFSET($DH48,($HP48-1)*-1,0),#REF!,0)+($HP48-2),IH$9-1)),"",OFFSET(#REF!,MATCH(OFFSET($DH48,($HP48-1)*-1,0),#REF!,0)+($HP48-2),IH$9-1)))</x:f>
        <x:v/>
      </x:c>
      <x:c r="HZ48" s="177" t="str">
        <x:f ca="1">IF($HP48=0,"",IF(ISBLANK(OFFSET(#REF!,MATCH(OFFSET($DH48,($HP48-1)*-1,0),#REF!,0)+($HP48-2),II$9-1)),"",OFFSET(#REF!,MATCH(OFFSET($DH48,($HP48-1)*-1,0),#REF!,0)+($HP48-2),II$9-1)))</x:f>
        <x:v/>
      </x:c>
      <x:c r="IA48" s="177" t="str">
        <x:f ca="1">IF($HP48=0,"",IF(ISBLANK(OFFSET(#REF!,MATCH(OFFSET($DH48,($HP48-1)*-1,0),#REF!,0)+($HP48-2),IJ$9-1)),"",OFFSET(#REF!,MATCH(OFFSET($DH48,($HP48-1)*-1,0),#REF!,0)+($HP48-2),IJ$9-1)))</x:f>
        <x:v/>
      </x:c>
      <x:c r="IB48" s="177" t="str">
        <x:f ca="1">IF($HP48=0,"",IF(ISBLANK(OFFSET(#REF!,MATCH(OFFSET($DH48,($HP48-1)*-1,0),#REF!,0)+($HP48-2),IK$9-1)),"",OFFSET(#REF!,MATCH(OFFSET($DH48,($HP48-1)*-1,0),#REF!,0)+($HP48-2),IK$9-1)))</x:f>
        <x:v/>
      </x:c>
      <x:c r="IC48" s="178" t="str">
        <x:f ca="1">IF($HP48=0,"",IF(ISBLANK(OFFSET(#REF!,MATCH(OFFSET($DH48,($HP48-1)*-1,0),#REF!,0)+($HP48-2),IL$9-1)),"",OFFSET(#REF!,MATCH(OFFSET($DH48,($HP48-1)*-1,0),#REF!,0)+($HP48-2),IL$9-1)))</x:f>
        <x:v/>
      </x:c>
      <x:c r="ID48" s="179" t="str">
        <x:f ca="1">IF($HP48=0,"",IF(ISBLANK(OFFSET(#REF!,MATCH(OFFSET($DH48,($HP48-1)*-1,0),#REF!,0)+($HP48-2),IM$9-1)),"",OFFSET(#REF!,MATCH(OFFSET($DH48,($HP48-1)*-1,0),#REF!,0)+($HP48-2),IM$9-1)))</x:f>
        <x:v/>
      </x:c>
      <x:c r="IE48" s="180" t="str">
        <x:f ca="1">IF($HP48=0,"",IF(ISBLANK(OFFSET(#REF!,MATCH(OFFSET($DH48,($HP48-1)*-1,0),#REF!,0)+($HP48-2),IN$9-1)),"",OFFSET(#REF!,MATCH(OFFSET($DH48,($HP48-1)*-1,0),#REF!,0)+($HP48-2),IN$9-1)))</x:f>
        <x:v/>
      </x:c>
      <x:c r="IF48" s="181" t="str">
        <x:f ca="1">IF($HP48=0,"",IF(ISBLANK(OFFSET(#REF!,MATCH(OFFSET($DH48,($HP48-1)*-1,0),#REF!,0)+($HP48-2),IO$9-1)),"",OFFSET(#REF!,MATCH(OFFSET($DH48,($HP48-1)*-1,0),#REF!,0)+($HP48-2),IO$9-1)))</x:f>
        <x:v/>
      </x:c>
      <x:c r="IG48" s="182" t="str">
        <x:f ca="1">IF($HP48=0,"",IF(ISBLANK(OFFSET(#REF!,MATCH(OFFSET($DH48,($HP48-1)*-1,0),#REF!,0)+($HP48-2),IP$9-1)),"",OFFSET(#REF!,MATCH(OFFSET($DH48,($HP48-1)*-1,0),#REF!,0)+($HP48-2),IP$9-1)))</x:f>
        <x:v/>
      </x:c>
      <x:c r="IH48" s="183" t="str">
        <x:f ca="1">IF($HP48=0,"",IF(ISBLANK(OFFSET(#REF!,MATCH(OFFSET($DH48,($HP48-1)*-1,0),#REF!,0)+($HP48-2),IQ$9-1)),"",OFFSET(#REF!,MATCH(OFFSET($DH48,($HP48-1)*-1,0),#REF!,0)+($HP48-2),IQ$9-1)))</x:f>
        <x:v/>
      </x:c>
      <x:c r="II48" s="180" t="str">
        <x:f ca="1">IF($HP48=0,"",IF(ISBLANK(OFFSET(#REF!,MATCH(OFFSET($DH48,($HP48-1)*-1,0),#REF!,0)+($HP48-2),IR$9-1)),"",OFFSET(#REF!,MATCH(OFFSET($DH48,($HP48-1)*-1,0),#REF!,0)+($HP48-2),IR$9-1)))</x:f>
        <x:v/>
      </x:c>
      <x:c r="IJ48" s="181" t="str">
        <x:f ca="1">IF($HP48=0,"",IF(ISBLANK(OFFSET(#REF!,MATCH(OFFSET($DH48,($HP48-1)*-1,0),#REF!,0)+($HP48-2),IS$9-1)),"",OFFSET(#REF!,MATCH(OFFSET($DH48,($HP48-1)*-1,0),#REF!,0)+($HP48-2),IS$9-1)))</x:f>
        <x:v/>
      </x:c>
      <x:c r="IK48" s="182" t="str">
        <x:f ca="1">IF($HP48=0,"",IF(ISBLANK(OFFSET(#REF!,MATCH(OFFSET($DH48,($HP48-1)*-1,0),#REF!,0)+($HP48-2),IT$9-1)),"",OFFSET(#REF!,MATCH(OFFSET($DH48,($HP48-1)*-1,0),#REF!,0)+($HP48-2),IT$9-1)))</x:f>
        <x:v/>
      </x:c>
      <x:c r="IL48" s="183" t="str">
        <x:f ca="1">IF($HP48=0,"",IF(ISBLANK(OFFSET(#REF!,MATCH(OFFSET($DH48,($HP48-1)*-1,0),#REF!,0)+($HP48-2),IU$9-1)),"",OFFSET(#REF!,MATCH(OFFSET($DH48,($HP48-1)*-1,0),#REF!,0)+($HP48-2),IU$9-1)))</x:f>
        <x:v/>
      </x:c>
      <x:c r="IM48" s="180" t="str">
        <x:f ca="1">IF($HP48=0,"",IF(ISBLANK(OFFSET(#REF!,MATCH(OFFSET($DH48,($HP48-1)*-1,0),#REF!,0)+($HP48-2),IV$9-1)),"",OFFSET(#REF!,MATCH(OFFSET($DH48,($HP48-1)*-1,0),#REF!,0)+($HP48-2),IV$9-1)))</x:f>
        <x:v/>
      </x:c>
      <x:c r="IN48" s="184" t="str">
        <x:f ca="1">IF($HP48=0,"",IF(ISBLANK(OFFSET(#REF!,MATCH(OFFSET($DH48,($HP48-1)*-1,0),#REF!,0)+($HP48-2),IW$9-1)),"",OFFSET(#REF!,MATCH(OFFSET($DH48,($HP48-1)*-1,0),#REF!,0)+($HP48-2),IW$9-1)))</x:f>
        <x:v/>
      </x:c>
      <x:c r="IO48" s="182" t="str">
        <x:f ca="1">IF($HP48=0,"",IF(ISBLANK(OFFSET(#REF!,MATCH(OFFSET($DH48,($HP48-1)*-1,0),#REF!,0)+($HP48-2),IX$9-1)),"",OFFSET(#REF!,MATCH(OFFSET($DH48,($HP48-1)*-1,0),#REF!,0)+($HP48-2),IX$9-1)))</x:f>
        <x:v/>
      </x:c>
      <x:c r="IP48" s="183" t="str">
        <x:f ca="1">IF($HP48=0,"",IF(ISBLANK(OFFSET(#REF!,MATCH(OFFSET($DH48,($HP48-1)*-1,0),#REF!,0)+($HP48-2),IY$9-1)),"",OFFSET(#REF!,MATCH(OFFSET($DH48,($HP48-1)*-1,0),#REF!,0)+($HP48-2),IY$9-1)))</x:f>
        <x:v/>
      </x:c>
      <x:c r="IQ48" s="185" t="str">
        <x:f ca="1">IF($HP48=0,"",IF(ISBLANK(OFFSET(#REF!,MATCH(OFFSET($DH48,($HP48-1)*-1,0),#REF!,0)+($HP48-2),IZ$9-1)),"",OFFSET(#REF!,MATCH(OFFSET($DH48,($HP48-1)*-1,0),#REF!,0)+($HP48-2),IZ$9-1)))</x:f>
        <x:v/>
      </x:c>
      <x:c r="IR48" s="184" t="str">
        <x:f ca="1">IF($HP48=0,"",IF(ISBLANK(OFFSET(#REF!,MATCH(OFFSET($DH48,($HP48-1)*-1,0),#REF!,0)+($HP48-2),JA$9-1)),"",OFFSET(#REF!,MATCH(OFFSET($DH48,($HP48-1)*-1,0),#REF!,0)+($HP48-2),JA$9-1)))</x:f>
        <x:v/>
      </x:c>
      <x:c r="IS48" s="182" t="str">
        <x:f ca="1">IF($HP48=0,"",IF(ISBLANK(OFFSET(#REF!,MATCH(OFFSET($DH48,($HP48-1)*-1,0),#REF!,0)+($HP48-2),JB$9-1)),"",OFFSET(#REF!,MATCH(OFFSET($DH48,($HP48-1)*-1,0),#REF!,0)+($HP48-2),JB$9-1)))</x:f>
        <x:v/>
      </x:c>
      <x:c r="IT48" s="186" t="str">
        <x:f ca="1">IF($HP48=0,"",IF(ISBLANK(OFFSET(#REF!,MATCH(OFFSET($DH48,($HP48-1)*-1,0),#REF!,0)+($HP48-2),JC$9-1)),"",OFFSET(#REF!,MATCH(OFFSET($DH48,($HP48-1)*-1,0),#REF!,0)+($HP48-2),JC$9-1)))</x:f>
        <x:v/>
      </x:c>
      <x:c r="IU48" s="187" t="str">
        <x:f>IF(ISERROR(VLOOKUP($DH48,#REF!,JD$9,FALSE)),"",IF(VLOOKUP($DH48,#REF!,JD$9,FALSE)="","",VLOOKUP($DH48,#REF!,JD$9,FALSE)))</x:f>
        <x:v/>
      </x:c>
    </x:row>
    <x:row r="49" spans="1:193" ht="12.6" hidden="1" customHeight="1" thickBot="1" x14ac:dyDescent="0.25">
      <x:c r="B49" s="237">
        <x:v>0</x:v>
      </x:c>
      <x:c r="C49" s="147"/>
      <x:c r="CI49" s="105"/>
      <x:c r="CJ49" s="105"/>
      <x:c r="CK49" s="105"/>
      <x:c r="CL49" s="105"/>
      <x:c r="CM49" s="105"/>
      <x:c r="CN49" s="105"/>
      <x:c r="CO49" s="105"/>
    </x:row>
    <x:row r="50" spans="1:193" ht="12.6" hidden="1" customHeight="1" thickBot="1" x14ac:dyDescent="0.25">
      <x:c r="BZ50" s="293"/>
      <x:c r="CA50" s="293"/>
      <x:c r="CB50" s="293"/>
      <x:c r="CC50" s="293"/>
      <x:c r="CD50" s="293"/>
      <x:c r="CE50" s="293"/>
      <x:c r="CF50" s="293"/>
      <x:c r="CG50" s="293"/>
      <x:c r="CH50" s="293"/>
      <x:c r="CI50" s="293"/>
      <x:c r="CJ50" s="293"/>
      <x:c r="CK50" s="293"/>
      <x:c r="CL50" s="293"/>
      <x:c r="CM50" s="293"/>
      <x:c r="CN50" s="293"/>
      <x:c r="CO50" s="293"/>
      <x:c r="CP50" s="293"/>
      <x:c r="CQ50" s="293"/>
      <x:c r="CR50" s="293"/>
      <x:c r="CS50" s="293"/>
      <x:c r="CT50" s="293"/>
      <x:c r="CU50" s="309"/>
      <x:c r="CV50" s="336"/>
      <x:c r="CW50" s="336"/>
      <x:c r="CX50" s="293"/>
      <x:c r="CY50" s="293"/>
      <x:c r="CZ50" s="293"/>
      <x:c r="DA50" s="293"/>
      <x:c r="DB50" s="293"/>
      <x:c r="DC50" s="293"/>
      <x:c r="DD50" s="293"/>
      <x:c r="DE50" s="293"/>
      <x:c r="DF50" s="293"/>
      <x:c r="DG50" s="293"/>
      <x:c r="DH50" s="293"/>
      <x:c r="DI50" s="309"/>
      <x:c r="DJ50" s="309"/>
      <x:c r="DK50" s="309"/>
      <x:c r="DL50" s="293"/>
      <x:c r="DM50" s="293"/>
      <x:c r="DN50" s="293"/>
      <x:c r="DO50" s="293"/>
      <x:c r="DP50" s="293"/>
      <x:c r="DQ50" s="293"/>
      <x:c r="DR50" s="293"/>
      <x:c r="DS50" s="293"/>
      <x:c r="DT50" s="293"/>
      <x:c r="DU50" s="293"/>
      <x:c r="DV50" s="293"/>
      <x:c r="DW50" s="293"/>
      <x:c r="DX50" s="293"/>
      <x:c r="DY50" s="293"/>
      <x:c r="DZ50" s="293"/>
      <x:c r="EA50" s="293"/>
      <x:c r="EB50" s="293"/>
      <x:c r="EC50" s="337"/>
      <x:c r="ED50" s="2137" t="s">
        <x:v>472</x:v>
      </x:c>
      <x:c r="EE50" s="2137" t="s">
        <x:v>525</x:v>
      </x:c>
      <x:c r="EF50" s="2137" t="s">
        <x:v>526</x:v>
      </x:c>
      <x:c r="EG50" s="2137" t="s">
        <x:v>527</x:v>
      </x:c>
      <x:c r="EH50" s="2137" t="s">
        <x:v>528</x:v>
      </x:c>
      <x:c r="EI50" s="2137" t="s">
        <x:v>529</x:v>
      </x:c>
      <x:c r="EJ50" s="2137" t="s">
        <x:v>530</x:v>
      </x:c>
      <x:c r="EK50" s="2137" t="s">
        <x:v>531</x:v>
      </x:c>
      <x:c r="EL50" s="2137" t="s">
        <x:v>473</x:v>
      </x:c>
      <x:c r="EM50" s="2137" t="s">
        <x:v>532</x:v>
      </x:c>
      <x:c r="EN50" s="2137" t="s">
        <x:v>583</x:v>
      </x:c>
      <x:c r="EO50" s="2137" t="s">
        <x:v>474</x:v>
      </x:c>
      <x:c r="EP50" s="2137" t="s">
        <x:v>533</x:v>
      </x:c>
      <x:c r="EQ50" s="2137" t="s">
        <x:v>475</x:v>
      </x:c>
      <x:c r="ER50" s="2137" t="s">
        <x:v>534</x:v>
      </x:c>
      <x:c r="ES50" s="2137" t="s">
        <x:v>584</x:v>
      </x:c>
      <x:c r="ET50" s="2137" t="s">
        <x:v>476</x:v>
      </x:c>
      <x:c r="EU50" s="2137" t="s">
        <x:v>477</x:v>
      </x:c>
      <x:c r="EV50" s="293"/>
      <x:c r="EW50" s="293"/>
      <x:c r="EX50" s="293"/>
      <x:c r="EY50" s="293"/>
      <x:c r="EZ50" s="293"/>
      <x:c r="FA50" s="293"/>
      <x:c r="FB50" s="293"/>
      <x:c r="FC50" s="293"/>
      <x:c r="FD50" s="293"/>
      <x:c r="FG50" s="117"/>
      <x:c r="FH50" s="117"/>
      <x:c r="FI50" s="117"/>
      <x:c r="FJ50" s="117"/>
      <x:c r="FK50" s="117"/>
      <x:c r="FL50" s="246"/>
      <x:c r="FM50" s="246"/>
      <x:c r="FN50" s="2210" t="s">
        <x:v>616</x:v>
      </x:c>
      <x:c r="FO50" s="2211"/>
      <x:c r="FP50" s="2211"/>
      <x:c r="FQ50" s="2211"/>
      <x:c r="FR50" s="2211"/>
      <x:c r="FS50" s="2212"/>
      <x:c r="FT50" s="2179" t="s">
        <x:v>617</x:v>
      </x:c>
      <x:c r="FU50" s="2180"/>
      <x:c r="FV50" s="2180"/>
      <x:c r="FW50" s="2180"/>
      <x:c r="FX50" s="2180"/>
      <x:c r="FY50" s="2180"/>
      <x:c r="FZ50" s="2181"/>
      <x:c r="GA50" s="245"/>
      <x:c r="GB50" s="245"/>
      <x:c r="GC50" s="245"/>
      <x:c r="GD50" s="245"/>
      <x:c r="GE50" s="245"/>
      <x:c r="GF50" s="245"/>
      <x:c r="GG50" s="245"/>
      <x:c r="GH50" s="245"/>
      <x:c r="GI50" s="245"/>
      <x:c r="GJ50" s="245"/>
      <x:c r="GK50" s="245"/>
    </x:row>
    <x:row r="51" spans="1:193" ht="12.6" hidden="1" customHeight="1" thickTop="1" thickBot="1" x14ac:dyDescent="0.25">
      <x:c r="BZ51" s="293"/>
      <x:c r="CA51" s="293"/>
      <x:c r="CB51" s="293"/>
      <x:c r="CC51" s="2049" t="s">
        <x:v>614</x:v>
      </x:c>
      <x:c r="CD51" s="2050"/>
      <x:c r="CE51" s="2050"/>
      <x:c r="CF51" s="2050"/>
      <x:c r="CG51" s="2050"/>
      <x:c r="CH51" s="2050"/>
      <x:c r="CI51" s="2050"/>
      <x:c r="CJ51" s="2050"/>
      <x:c r="CK51" s="2051"/>
      <x:c r="CL51" s="2049" t="s">
        <x:v>470</x:v>
      </x:c>
      <x:c r="CM51" s="2050"/>
      <x:c r="CN51" s="2050"/>
      <x:c r="CO51" s="2050"/>
      <x:c r="CP51" s="2050"/>
      <x:c r="CQ51" s="2050"/>
      <x:c r="CR51" s="2050"/>
      <x:c r="CS51" s="2050"/>
      <x:c r="CT51" s="2051"/>
      <x:c r="CU51" s="338"/>
      <x:c r="CV51" s="339"/>
      <x:c r="CW51" s="339"/>
      <x:c r="CX51" s="339"/>
      <x:c r="CY51" s="339"/>
      <x:c r="CZ51" s="339"/>
      <x:c r="DA51" s="339"/>
      <x:c r="DB51" s="339"/>
      <x:c r="DC51" s="339"/>
      <x:c r="DD51" s="339"/>
      <x:c r="DE51" s="339"/>
      <x:c r="DF51" s="339"/>
      <x:c r="DG51" s="339"/>
      <x:c r="DH51" s="339"/>
      <x:c r="DI51" s="339"/>
      <x:c r="DJ51" s="339"/>
      <x:c r="DK51" s="339"/>
      <x:c r="DL51" s="339"/>
      <x:c r="DM51" s="339"/>
      <x:c r="DN51" s="340"/>
      <x:c r="DO51" s="339"/>
      <x:c r="DP51" s="339"/>
      <x:c r="DQ51" s="339"/>
      <x:c r="DR51" s="339"/>
      <x:c r="DS51" s="339"/>
      <x:c r="DT51" s="339"/>
      <x:c r="DU51" s="339"/>
      <x:c r="DV51" s="339"/>
      <x:c r="DW51" s="339"/>
      <x:c r="DX51" s="339"/>
      <x:c r="DY51" s="339"/>
      <x:c r="DZ51" s="339"/>
      <x:c r="EA51" s="339"/>
      <x:c r="EB51" s="341"/>
      <x:c r="EC51" s="342"/>
      <x:c r="ED51" s="2028"/>
      <x:c r="EE51" s="2138"/>
      <x:c r="EF51" s="2138"/>
      <x:c r="EG51" s="2139"/>
      <x:c r="EH51" s="2138"/>
      <x:c r="EI51" s="2138"/>
      <x:c r="EJ51" s="2138"/>
      <x:c r="EK51" s="2028"/>
      <x:c r="EL51" s="2028"/>
      <x:c r="EM51" s="2028"/>
      <x:c r="EN51" s="2138"/>
      <x:c r="EO51" s="2028"/>
      <x:c r="EP51" s="2028"/>
      <x:c r="EQ51" s="2028"/>
      <x:c r="ER51" s="2028"/>
      <x:c r="ES51" s="2028"/>
      <x:c r="ET51" s="2028"/>
      <x:c r="EU51" s="2028"/>
      <x:c r="EV51" s="293"/>
      <x:c r="EW51" s="293"/>
      <x:c r="EX51" s="2200" t="s">
        <x:v>618</x:v>
      </x:c>
      <x:c r="EY51" s="2198" t="s">
        <x:v>619</x:v>
      </x:c>
      <x:c r="EZ51" s="293"/>
      <x:c r="FA51" s="293"/>
      <x:c r="FB51" s="293"/>
      <x:c r="FC51" s="293"/>
      <x:c r="FD51" s="293"/>
      <x:c r="FF51" s="2166" t="s">
        <x:v>947</x:v>
      </x:c>
      <x:c r="FG51" s="2167"/>
      <x:c r="FH51" s="2167"/>
      <x:c r="FI51" s="2167"/>
      <x:c r="FL51" s="246"/>
      <x:c r="FM51" s="246"/>
      <x:c r="FN51" s="2213"/>
      <x:c r="FO51" s="2214"/>
      <x:c r="FP51" s="2214"/>
      <x:c r="FQ51" s="2214"/>
      <x:c r="FR51" s="2214"/>
      <x:c r="FS51" s="2215"/>
      <x:c r="FT51" s="2182"/>
      <x:c r="FU51" s="2183"/>
      <x:c r="FV51" s="2183"/>
      <x:c r="FW51" s="2183"/>
      <x:c r="FX51" s="2183"/>
      <x:c r="FY51" s="2183"/>
      <x:c r="FZ51" s="2184"/>
      <x:c r="GA51" s="245"/>
      <x:c r="GB51" s="245"/>
      <x:c r="GC51" s="245"/>
      <x:c r="GD51" s="245"/>
      <x:c r="GE51" s="245"/>
      <x:c r="GF51" s="245"/>
      <x:c r="GG51" s="245"/>
      <x:c r="GH51" s="245"/>
      <x:c r="GI51" s="245"/>
      <x:c r="GJ51" s="245"/>
      <x:c r="GK51" s="2"/>
    </x:row>
    <x:row r="52" spans="1:193" ht="12.6" hidden="1" customHeight="1" thickTop="1" thickBot="1" x14ac:dyDescent="0.25">
      <x:c r="BZ52" s="293"/>
      <x:c r="CA52" s="293"/>
      <x:c r="CB52" s="2125" t="s">
        <x:v>613</x:v>
      </x:c>
      <x:c r="CC52" s="2042" t="s">
        <x:v>498</x:v>
      </x:c>
      <x:c r="CD52" s="2044" t="s">
        <x:v>499</x:v>
      </x:c>
      <x:c r="CE52" s="2044" t="s">
        <x:v>500</x:v>
      </x:c>
      <x:c r="CF52" s="2044" t="s">
        <x:v>501</x:v>
      </x:c>
      <x:c r="CG52" s="2044" t="s">
        <x:v>560</x:v>
      </x:c>
      <x:c r="CH52" s="2044" t="s">
        <x:v>502</x:v>
      </x:c>
      <x:c r="CI52" s="2044" t="s">
        <x:v>579</x:v>
      </x:c>
      <x:c r="CJ52" s="2044" t="s">
        <x:v>503</x:v>
      </x:c>
      <x:c r="CK52" s="2046" t="s">
        <x:v>504</x:v>
      </x:c>
      <x:c r="CL52" s="2042" t="s">
        <x:v>498</x:v>
      </x:c>
      <x:c r="CM52" s="2044" t="s">
        <x:v>499</x:v>
      </x:c>
      <x:c r="CN52" s="2044" t="s">
        <x:v>505</x:v>
      </x:c>
      <x:c r="CO52" s="2044" t="s">
        <x:v>501</x:v>
      </x:c>
      <x:c r="CP52" s="2044" t="s">
        <x:v>560</x:v>
      </x:c>
      <x:c r="CQ52" s="2044" t="s">
        <x:v>502</x:v>
      </x:c>
      <x:c r="CR52" s="2044" t="s">
        <x:v>579</x:v>
      </x:c>
      <x:c r="CS52" s="2044" t="s">
        <x:v>503</x:v>
      </x:c>
      <x:c r="CT52" s="2046" t="s">
        <x:v>504</x:v>
      </x:c>
      <x:c r="CU52" s="2132" t="s">
        <x:v>491</x:v>
      </x:c>
      <x:c r="CV52" s="2031" t="s">
        <x:v>506</x:v>
      </x:c>
      <x:c r="CW52" s="2031" t="s">
        <x:v>507</x:v>
      </x:c>
      <x:c r="CX52" s="2037" t="s">
        <x:v>508</x:v>
      </x:c>
      <x:c r="CY52" s="2027" t="s">
        <x:v>543</x:v>
      </x:c>
      <x:c r="CZ52" s="2135" t="s">
        <x:v>509</x:v>
      </x:c>
      <x:c r="DA52" s="2136"/>
      <x:c r="DB52" s="2027" t="s">
        <x:v>510</x:v>
      </x:c>
      <x:c r="DC52" s="2031" t="s">
        <x:v>513</x:v>
      </x:c>
      <x:c r="DD52" s="2031" t="s">
        <x:v>514</x:v>
      </x:c>
      <x:c r="DE52" s="2027" t="s">
        <x:v>544</x:v>
      </x:c>
      <x:c r="DF52" s="2135" t="s">
        <x:v>511</x:v>
      </x:c>
      <x:c r="DG52" s="2136"/>
      <x:c r="DH52" s="2031" t="s">
        <x:v>512</x:v>
      </x:c>
      <x:c r="DI52" s="2031" t="s">
        <x:v>515</x:v>
      </x:c>
      <x:c r="DJ52" s="2031" t="s">
        <x:v>516</x:v>
      </x:c>
      <x:c r="DK52" s="2031" t="s">
        <x:v>517</x:v>
      </x:c>
      <x:c r="DL52" s="2031" t="s">
        <x:v>545</x:v>
      </x:c>
      <x:c r="DM52" s="2029" t="s">
        <x:v>546</x:v>
      </x:c>
      <x:c r="DN52" s="2030"/>
      <x:c r="DO52" s="2029" t="s">
        <x:v>547</x:v>
      </x:c>
      <x:c r="DP52" s="2036"/>
      <x:c r="DQ52" s="2037" t="s">
        <x:v>548</x:v>
      </x:c>
      <x:c r="DR52" s="2038"/>
      <x:c r="DS52" s="2031" t="s">
        <x:v>568</x:v>
      </x:c>
      <x:c r="DT52" s="2029" t="s">
        <x:v>549</x:v>
      </x:c>
      <x:c r="DU52" s="2030"/>
      <x:c r="DV52" s="2029" t="s">
        <x:v>550</x:v>
      </x:c>
      <x:c r="DW52" s="2036"/>
      <x:c r="DX52" s="2037" t="s">
        <x:v>551</x:v>
      </x:c>
      <x:c r="DY52" s="2038"/>
      <x:c r="DZ52" s="2031" t="s">
        <x:v>12</x:v>
      </x:c>
      <x:c r="EA52" s="2031" t="s">
        <x:v>13</x:v>
      </x:c>
      <x:c r="EB52" s="2031" t="s">
        <x:v>582</x:v>
      </x:c>
      <x:c r="EC52" s="2031" t="s">
        <x:v>581</x:v>
      </x:c>
      <x:c r="ED52" s="2028"/>
      <x:c r="EE52" s="2138"/>
      <x:c r="EF52" s="2138"/>
      <x:c r="EG52" s="2139"/>
      <x:c r="EH52" s="2138"/>
      <x:c r="EI52" s="2138"/>
      <x:c r="EJ52" s="2138"/>
      <x:c r="EK52" s="2028"/>
      <x:c r="EL52" s="2028"/>
      <x:c r="EM52" s="2028"/>
      <x:c r="EN52" s="2138"/>
      <x:c r="EO52" s="2028"/>
      <x:c r="EP52" s="2028"/>
      <x:c r="EQ52" s="2028"/>
      <x:c r="ER52" s="2028"/>
      <x:c r="ES52" s="2028"/>
      <x:c r="ET52" s="2028"/>
      <x:c r="EU52" s="2028"/>
      <x:c r="EV52" s="2031" t="s">
        <x:v>590</x:v>
      </x:c>
      <x:c r="EW52" s="2031" t="s">
        <x:v>591</x:v>
      </x:c>
      <x:c r="EX52" s="2201"/>
      <x:c r="EY52" s="2198"/>
      <x:c r="EZ52" s="2161" t="s">
        <x:v>518</x:v>
      </x:c>
      <x:c r="FA52" s="2163" t="s">
        <x:v>519</x:v>
      </x:c>
      <x:c r="FB52" s="2202" t="s">
        <x:v>682</x:v>
      </x:c>
      <x:c r="FC52" s="2202" t="s">
        <x:v>683</x:v>
      </x:c>
      <x:c r="FD52" s="2159" t="s">
        <x:v>787</x:v>
      </x:c>
      <x:c r="FE52" s="2160"/>
      <x:c r="FF52" s="246" t="s">
        <x:v>948</x:v>
      </x:c>
      <x:c r="FK52" s="2145" t="s">
        <x:v>789</x:v>
      </x:c>
      <x:c r="FL52" s="2147" t="s">
        <x:v>620</x:v>
      </x:c>
      <x:c r="FM52" s="2149" t="s">
        <x:v>490</x:v>
      </x:c>
      <x:c r="FN52" s="2157" t="s">
        <x:v>492</x:v>
      </x:c>
      <x:c r="FO52" s="2272" t="s">
        <x:v>493</x:v>
      </x:c>
      <x:c r="FP52" s="2263" t="s">
        <x:v>494</x:v>
      </x:c>
      <x:c r="FQ52" s="2263" t="s">
        <x:v>495</x:v>
      </x:c>
      <x:c r="FR52" s="2268" t="s">
        <x:v>496</x:v>
      </x:c>
      <x:c r="FS52" s="2265" t="s">
        <x:v>497</x:v>
      </x:c>
      <x:c r="FT52" s="2143" t="s">
        <x:v>642</x:v>
      </x:c>
      <x:c r="FU52" s="2141" t="s">
        <x:v>484</x:v>
      </x:c>
      <x:c r="FV52" s="2141" t="s">
        <x:v>645</x:v>
      </x:c>
      <x:c r="FW52" s="2141" t="s">
        <x:v>644</x:v>
      </x:c>
      <x:c r="FX52" s="2141" t="s">
        <x:v>485</x:v>
      </x:c>
      <x:c r="FY52" s="2141" t="s">
        <x:v>643</x:v>
      </x:c>
      <x:c r="FZ52" s="2141" t="s">
        <x:v>646</x:v>
      </x:c>
      <x:c r="GA52" s="2141" t="s">
        <x:v>486</x:v>
      </x:c>
      <x:c r="GB52" s="2208" t="s">
        <x:v>487</x:v>
      </x:c>
      <x:c r="GC52" s="2206" t="s">
        <x:v>625</x:v>
      </x:c>
      <x:c r="GD52" s="207"/>
      <x:c r="GE52" s="133"/>
      <x:c r="GF52" s="133"/>
      <x:c r="GG52" s="137"/>
      <x:c r="GH52" s="137"/>
      <x:c r="GI52" s="138"/>
      <x:c r="GJ52" s="2204" t="s">
        <x:v>647</x:v>
      </x:c>
      <x:c r="GK52" s="2"/>
    </x:row>
    <x:row r="53" spans="1:193" ht="12.6" hidden="1" customHeight="1" thickTop="1" thickBot="1" x14ac:dyDescent="0.25">
      <x:c r="BZ53" s="293"/>
      <x:c r="CA53" s="293"/>
      <x:c r="CB53" s="2126"/>
      <x:c r="CC53" s="2043"/>
      <x:c r="CD53" s="2048"/>
      <x:c r="CE53" s="2048"/>
      <x:c r="CF53" s="2045"/>
      <x:c r="CG53" s="2045"/>
      <x:c r="CH53" s="2045"/>
      <x:c r="CI53" s="2045"/>
      <x:c r="CJ53" s="2045"/>
      <x:c r="CK53" s="2047"/>
      <x:c r="CL53" s="2043"/>
      <x:c r="CM53" s="2048"/>
      <x:c r="CN53" s="2048"/>
      <x:c r="CO53" s="2045"/>
      <x:c r="CP53" s="2045"/>
      <x:c r="CQ53" s="2045"/>
      <x:c r="CR53" s="2045"/>
      <x:c r="CS53" s="2045"/>
      <x:c r="CT53" s="2047"/>
      <x:c r="CU53" s="2133"/>
      <x:c r="CV53" s="2032"/>
      <x:c r="CW53" s="2131"/>
      <x:c r="CX53" s="2134"/>
      <x:c r="CY53" s="2028"/>
      <x:c r="CZ53" s="343" t="s">
        <x:v>554</x:v>
      </x:c>
      <x:c r="DA53" s="343" t="s">
        <x:v>555</x:v>
      </x:c>
      <x:c r="DB53" s="2028"/>
      <x:c r="DC53" s="2032"/>
      <x:c r="DD53" s="2032"/>
      <x:c r="DE53" s="2028"/>
      <x:c r="DF53" s="343" t="s">
        <x:v>554</x:v>
      </x:c>
      <x:c r="DG53" s="343" t="s">
        <x:v>555</x:v>
      </x:c>
      <x:c r="DH53" s="2032"/>
      <x:c r="DI53" s="2032"/>
      <x:c r="DJ53" s="2032"/>
      <x:c r="DK53" s="2032"/>
      <x:c r="DL53" s="2032"/>
      <x:c r="DM53" s="344" t="s">
        <x:v>521</x:v>
      </x:c>
      <x:c r="DN53" s="344" t="s">
        <x:v>522</x:v>
      </x:c>
      <x:c r="DO53" s="344" t="s">
        <x:v>521</x:v>
      </x:c>
      <x:c r="DP53" s="344" t="s">
        <x:v>522</x:v>
      </x:c>
      <x:c r="DQ53" s="344" t="s">
        <x:v>521</x:v>
      </x:c>
      <x:c r="DR53" s="344" t="s">
        <x:v>522</x:v>
      </x:c>
      <x:c r="DS53" s="2032"/>
      <x:c r="DT53" s="344" t="s">
        <x:v>521</x:v>
      </x:c>
      <x:c r="DU53" s="344" t="s">
        <x:v>522</x:v>
      </x:c>
      <x:c r="DV53" s="344" t="s">
        <x:v>521</x:v>
      </x:c>
      <x:c r="DW53" s="344" t="s">
        <x:v>522</x:v>
      </x:c>
      <x:c r="DX53" s="344" t="s">
        <x:v>521</x:v>
      </x:c>
      <x:c r="DY53" s="344" t="s">
        <x:v>522</x:v>
      </x:c>
      <x:c r="DZ53" s="2032"/>
      <x:c r="EA53" s="2032"/>
      <x:c r="EB53" s="2140"/>
      <x:c r="EC53" s="2140"/>
      <x:c r="ED53" s="2028"/>
      <x:c r="EE53" s="2138"/>
      <x:c r="EF53" s="2138"/>
      <x:c r="EG53" s="2139"/>
      <x:c r="EH53" s="2138"/>
      <x:c r="EI53" s="2138"/>
      <x:c r="EJ53" s="2138"/>
      <x:c r="EK53" s="2028"/>
      <x:c r="EL53" s="2028"/>
      <x:c r="EM53" s="2028"/>
      <x:c r="EN53" s="2138"/>
      <x:c r="EO53" s="2028"/>
      <x:c r="EP53" s="2028"/>
      <x:c r="EQ53" s="2028"/>
      <x:c r="ER53" s="2028"/>
      <x:c r="ES53" s="2028"/>
      <x:c r="ET53" s="2028"/>
      <x:c r="EU53" s="2028"/>
      <x:c r="EV53" s="2032"/>
      <x:c r="EW53" s="2032"/>
      <x:c r="EX53" s="2201"/>
      <x:c r="EY53" s="2199"/>
      <x:c r="EZ53" s="2162"/>
      <x:c r="FA53" s="2047"/>
      <x:c r="FB53" s="2203"/>
      <x:c r="FC53" s="2203"/>
      <x:c r="FD53" s="508" t="s">
        <x:v>606</x:v>
      </x:c>
      <x:c r="FE53" s="509" t="s">
        <x:v>607</x:v>
      </x:c>
      <x:c r="FF53" s="251" t="s">
        <x:v>949</x:v>
      </x:c>
      <x:c r="FG53" s="251" t="s">
        <x:v>950</x:v>
      </x:c>
      <x:c r="FH53" s="251" t="s">
        <x:v>951</x:v>
      </x:c>
      <x:c r="FI53" s="251" t="s">
        <x:v>952</x:v>
      </x:c>
      <x:c r="FK53" s="2146"/>
      <x:c r="FL53" s="2148"/>
      <x:c r="FM53" s="2150"/>
      <x:c r="FN53" s="2158"/>
      <x:c r="FO53" s="2264"/>
      <x:c r="FP53" s="2264"/>
      <x:c r="FQ53" s="2264"/>
      <x:c r="FR53" s="2264"/>
      <x:c r="FS53" s="2266"/>
      <x:c r="FT53" s="2267"/>
      <x:c r="FU53" s="2269"/>
      <x:c r="FV53" s="2269"/>
      <x:c r="FW53" s="2269"/>
      <x:c r="FX53" s="2269"/>
      <x:c r="FY53" s="2269"/>
      <x:c r="FZ53" s="2269"/>
      <x:c r="GA53" s="2274"/>
      <x:c r="GB53" s="2262"/>
      <x:c r="GC53" s="2275"/>
      <x:c r="GD53" s="208" t="s">
        <x:v>623</x:v>
      </x:c>
      <x:c r="GE53" s="142" t="s">
        <x:v>624</x:v>
      </x:c>
      <x:c r="GF53" s="135" t="s">
        <x:v>626</x:v>
      </x:c>
      <x:c r="GG53" s="135" t="s">
        <x:v>627</x:v>
      </x:c>
      <x:c r="GH53" s="135" t="s">
        <x:v>628</x:v>
      </x:c>
      <x:c r="GI53" s="136" t="s">
        <x:v>629</x:v>
      </x:c>
      <x:c r="GJ53" s="2205"/>
      <x:c r="GK53" s="757" t="s">
        <x:v>953</x:v>
      </x:c>
    </x:row>
    <x:row r="54" spans="1:193" ht="12.6" hidden="1" customHeight="1" thickTop="1" x14ac:dyDescent="0.2">
      <x:c r="BZ54" s="293"/>
      <x:c r="CA54" s="293"/>
      <x:c r="CB54" s="365" t="str">
        <x:f t="shared" ref="CB54:CB85" si="100">IF(CB14="","",CB14)</x:f>
        <x:v/>
      </x:c>
      <x:c r="CC54" s="366" t="str">
        <x:f>IF(CG14="","",VLOOKUP(CG14,SectInfo!$B:$N,12,FALSE))</x:f>
        <x:v/>
      </x:c>
      <x:c r="CD54" s="1305" t="str">
        <x:f>IF(ISBLANK(CN14),IF(CG14="","",VLOOKUP(CG14,SectInfo!$B:$N,13,FALSE)),CN14)</x:f>
        <x:v/>
      </x:c>
      <x:c r="CE54" s="1305" t="str">
        <x:f>IF(CG14="","",IF(VLOOKUP(CG14,SectInfo!$B:$N,5,FALSE)="","R",UPPER(VLOOKUP(CG14,SectInfo!$B:$N,5,FALSE))))</x:f>
        <x:v/>
      </x:c>
      <x:c r="CF54" s="1305" t="str">
        <x:f>IF(ISBLANK(CP14),IF(CG14="","",VLOOKUP(CG14,SectInfo!$B:$N,6,FALSE)),CP14)</x:f>
        <x:v/>
      </x:c>
      <x:c r="CG54" s="1305" t="str">
        <x:f>IF(CG14="","",IF(VLOOKUP(CG14,SectInfo!$B:$N,10,FALSE)="","",(VLOOKUP(CG14,SectInfo!$B:$N,10,FALSE)*-1)))</x:f>
        <x:v/>
      </x:c>
      <x:c r="CH54" s="1305" t="str">
        <x:f>IF(CG14="","",IF(VLOOKUP(CG14,SectInfo!$B:$N,7,FALSE)="","",(VLOOKUP(CG14,SectInfo!$B:$N,7,FALSE)*-1)))</x:f>
        <x:v/>
      </x:c>
      <x:c r="CI54" s="1305" t="str">
        <x:f>IF(CG14="","",IF(VLOOKUP(CG14,SectInfo!$B:$N,8,FALSE)="",$FC$4,(VLOOKUP(CG14,SectInfo!$B:$N,8,FALSE))))</x:f>
        <x:v/>
      </x:c>
      <x:c r="CJ54" s="1305" t="str">
        <x:f>IF(CG14="","",VLOOKUP(CG14,SectInfo!$B:$N,9,FALSE))</x:f>
        <x:v/>
      </x:c>
      <x:c r="CK54" s="1306">
        <x:f t="shared" ref="CK54:CK85" si="101">CM14*-1</x:f>
        <x:v>0</x:v>
      </x:c>
      <x:c r="CL54" s="1304" t="str">
        <x:f>IF(CQ14="","",VLOOKUP(CQ14,SectInfo!$B:$N,12,FALSE))</x:f>
        <x:v/>
      </x:c>
      <x:c r="CM54" s="1305" t="str">
        <x:f>IF(ISBLANK(CX14),IF(CQ14="","",VLOOKUP(CQ14,SectInfo!$B:$N,13,FALSE)),CX14)</x:f>
        <x:v/>
      </x:c>
      <x:c r="CN54" s="1305" t="str">
        <x:f>IF(CQ14="","",IF(VLOOKUP(CQ14,SectInfo!$B:$N,5,FALSE)="","R",UPPER(VLOOKUP(CQ14,SectInfo!$B:$N,5,FALSE))))</x:f>
        <x:v/>
      </x:c>
      <x:c r="CO54" s="1305" t="str">
        <x:f>IF(ISBLANK(CZ14),IF(CQ14="","",VLOOKUP(CQ14,SectInfo!$B:$N,6,FALSE)),CZ14)</x:f>
        <x:v/>
      </x:c>
      <x:c r="CP54" s="1305" t="str">
        <x:f>IF(CQ14="","",IF(VLOOKUP(CQ14,SectInfo!$B:$N,10,FALSE)="","",(VLOOKUP(CQ14,SectInfo!$B:$N,10,FALSE)*-1)))</x:f>
        <x:v/>
      </x:c>
      <x:c r="CQ54" s="1305" t="str">
        <x:f>IF(CQ14="","",IF(VLOOKUP(CQ14,SectInfo!$B:$N,7,FALSE)="","",(VLOOKUP(CQ14,SectInfo!$B:$N,7,FALSE)*-1)))</x:f>
        <x:v/>
      </x:c>
      <x:c r="CR54" s="1305" t="str">
        <x:f>IF(CQ14="","",IF(VLOOKUP(CQ14,SectInfo!$B:$N,8,FALSE)="",$FC$4,(VLOOKUP(CQ14,SectInfo!$B:$N,8,FALSE))))</x:f>
        <x:v/>
      </x:c>
      <x:c r="CS54" s="1305" t="str">
        <x:f>IF(CQ14="","",VLOOKUP(CQ14,SectInfo!$B:$N,9,FALSE))</x:f>
        <x:v/>
      </x:c>
      <x:c r="CT54" s="1306">
        <x:f t="shared" ref="CT54:CT85" si="102">CW14*-1</x:f>
        <x:v>0</x:v>
      </x:c>
      <x:c r="CU54" s="1316">
        <x:f t="shared" ref="CU54:CU85" si="103">IF(DA14="",0,ATAN(DA14/12))</x:f>
        <x:v>0</x:v>
      </x:c>
      <x:c r="CV54" s="1310" t="str">
        <x:f t="shared" ref="CV54:CV85" si="104">IF(OR(CD54="",CE14="",CM54=""),"",CEILING(IF(AND(CE14="",CF14=""),"",((CE14*12+CF14)+CD54+CM54)/COS(EU54))-0.0625,0.125))</x:f>
        <x:v/>
      </x:c>
      <x:c r="CW54" s="1310" t="str">
        <x:f t="shared" ref="CW54:CW85" si="105">IF(CF54="","",IF(ABS(EM54)&lt;ABS($FA$2),CF54,IF(EM54=0,CF54,CEILING((CF54+((DC54-CD54)/12)*EM54)-0.0625,0.125))))</x:f>
        <x:v/>
      </x:c>
      <x:c r="CX54" s="1310" t="str">
        <x:f t="shared" ref="CX54:CX85" si="106">IF(CO54="","",IF(ABS(ER54)&lt;ABS($FA$2),CO54,IF(ER54=0,CO54,CEILING((CO54+((DI54-CM54)/12)*ER54)-0.0625,0.125))))</x:f>
        <x:v/>
      </x:c>
      <x:c r="CY54" s="1312">
        <x:f t="shared" ref="CY54:CY85" si="107">RADIANS(ABS(CL14))</x:f>
        <x:v>0</x:v>
      </x:c>
      <x:c r="CZ54" s="1312">
        <x:f t="shared" ref="CZ54:CZ85" si="108">MIN(IF(CH14&gt;0,CH14/2,MAX(CI14/2,CJ54)),IF(CI14&gt;0,CI14/2,MAX(CH14/2,CJ54)),IF(CJ54&gt;0,CJ54,MAX(CI14/2,CH14/2)))/IF(OR(CC54="C",AND(CC54="M",$FG$1="N")),1,COS(CY54))</x:f>
        <x:v>0</x:v>
      </x:c>
      <x:c r="DA54" s="1312" t="str">
        <x:f t="shared" ref="DA54:DA85" si="109">IF(CD54="","",IF(CJ54&gt;=0,MAX(CH14/2,CI14/2,CJ54),CJ54)/IF(OR(CC54="C",AND(CC54="M",$FG$1="N")),1,COS(CY54)))</x:f>
        <x:v/>
      </x:c>
      <x:c r="DB54" s="1310" t="str">
        <x:f>IF(CD54="","",CD54+DA54+($EY$4*TAN(CY54)))</x:f>
        <x:v/>
      </x:c>
      <x:c r="DC54" s="1310" t="str">
        <x:f t="shared" ref="DC54:DC85" si="110">IF(CD54="","",IF(NOT(ISBLANK(CO14)),CD54-CO14,MAX(IF(AND(CZ54&gt;=$FB$4,DA54&lt;=$FA$4,OR($FA$1=1,$FA$1=4)),CD54,IF(OR($FA$1=3,$FA$1=4),DB54-$FA$4,DB54+MAX(($FA$4-$FB$4)-(DA54-CZ54)-$EY$4/2*TAN(CY54),0)-$FA$4))-EO54,0)))</x:f>
        <x:v/>
      </x:c>
      <x:c r="DD54" s="875">
        <x:f>IF(CD54="",0,IF(DC54/COS(EU54)&lt;0.0625,0,CEILING(DC54/COS(EU54)-0.03125,0.125)))</x:f>
        <x:v>0</x:v>
      </x:c>
      <x:c r="DE54" s="873">
        <x:f t="shared" ref="DE54:DE85" si="111">RADIANS(ABS(CV14))</x:f>
        <x:v>0</x:v>
      </x:c>
      <x:c r="DF54" s="874">
        <x:f t="shared" ref="DF54:DF85" si="112">MIN(IF(CR14&gt;0,CR14/2,MAX(CS14/2,CS54)),IF(CS14&gt;0,CS14/2,MAX(CR14/2,CS54)),IF(CS54&gt;0,CS54,MAX(CS14/2,CR14/2)))/IF(OR(CL54="C",AND(CL54="M",$FG$1="N")),1,COS(DE54))</x:f>
        <x:v>0</x:v>
      </x:c>
      <x:c r="DG54" s="874" t="str">
        <x:f t="shared" ref="DG54:DG85" si="113">IF(CM54="","",IF(CS54&gt;=0,MAX(CR14/2,CS14/2,CS54),CS54)/IF(OR(CL54="C",AND(CL54="M",$FG$1="N")),1,COS(DE54)))</x:f>
        <x:v/>
      </x:c>
      <x:c r="DH54" s="1310" t="str">
        <x:f>IF(CM54="","",CM54+DG54+($EY$4*TAN(DE54)))</x:f>
        <x:v/>
      </x:c>
      <x:c r="DI54" s="1310" t="str">
        <x:f t="shared" ref="DI54:DI85" si="114">IF(CM54="","",IF(NOT(ISBLANK(CY14)),CM54-CY14,MAX(IF(AND(DF54&gt;=$FB$4,DG54&lt;=$FA$4,OR($FA$1=1,$FA$1=4)),CM54,IF(OR($FA$1=3,$FA$1=4),DH54-$FA$4,DH54+MAX(($FA$4-$FB$4)-(DG54-DF54)-$EY$4/2*TAN(DE54),0)-$FA$4))-ET54,0)-CY14))</x:f>
        <x:v/>
      </x:c>
      <x:c r="DJ54" s="1311">
        <x:f>IF(CM54="",0,IF(DI54/COS(EU54)&lt;0.0625,0,CEILING(DI54/COS(EU54)-0.03125,0.125)))</x:f>
        <x:v>0</x:v>
      </x:c>
      <x:c r="DK54" s="1310" t="str">
        <x:f t="shared" ref="DK54:DK85" si="115">IF(CV54="","",CEILING(CV54-DD54-DJ54-0.0625,0.125))</x:f>
        <x:v/>
      </x:c>
      <x:c r="DL54" s="1310" t="str">
        <x:f t="shared" ref="DL54:DL85" si="116">IF(AND(EG54="",CH54=""),"",IF(EG54="ERR","ERR",IF(ISNUMBER(EG54),(EG54/2)*-1,CH54)))</x:f>
        <x:v/>
      </x:c>
      <x:c r="DM54" s="1310" t="str">
        <x:f t="shared" ref="DM54:DM85" si="117">IF(DL54="ERR","ERR",IF(DL54="","",IF(CR54*TAN(CY54)&lt;=($FE$4-($FD$4-0.0625)),CD54-(DL54-EO54)/IF(OR(CC54="C",AND(CC54="M",$FG$1="N")),1,COS(CY54))-IF(MID(CE54,1,1)="R",0,DC54),(ABS(DL54-EO54)/IF(OR(CC54="C",AND(CC54="M",$FG$1="N")),1,COS(CY54))+CD54)-((CR54/2)*TAN(CY54))-IF(MID(CE54,1,1)="R",0,DC54))))</x:f>
        <x:v/>
      </x:c>
      <x:c r="DN54" s="1310" t="str">
        <x:f t="shared" ref="DN54:DN85" si="118">IF(DL54="ERR","ERR",IF(DL54="","",IF(CI54*TAN(CY54)&lt;=($FE$4-($FD$4-0.0625)),CD54-(DL54-EO54)/IF(OR(CC54="C",AND(CC54="M",$FG$1="N")),1,COS(CY54))-IF(MID(CE54,1,1)="R",0,DC54),(ABS(DL54-EO54)/IF(OR(CC54="C",AND(CC54="M",$FG$1="N")),1,COS(CY54))+CD54)+((CI54/2)*TAN(CY54))-IF(MID(CE54,1,1)="R",0,DC54))))</x:f>
        <x:v/>
      </x:c>
      <x:c r="DO54" s="889" t="str">
        <x:f t="shared" ref="DO54:DO85" si="119">IF(ISBLANK(CO14),IF(DM54&lt;$EX$6+($FD$4-0.0625)/2,"ERR",IF(DM54&lt;$EX$6+$FE$4/2,($FE$4/2+$EX$6),IF(DM54&lt;$FA$4+IF(MID(CE54,1,1)="R",DC54+CO14,0)-$FE$4/2-$EX$6,DM54,IF(DM54&lt;=$FA$4+IF(MID(CE54,1,1)="R",DC54,0)-($FD$4-0.0625)/2-$EX$6,$FA$4+IF(MID(CE54,1,1)="R",DC54,0)-($FE$4/2+$EX$6),"ERR")))),DM54)</x:f>
        <x:v>ERR</x:v>
      </x:c>
      <x:c r="DP54" s="889" t="str">
        <x:f t="shared" ref="DP54:DP85" si="120">IF(ISBLANK(CO14),IF(DN54&lt;$EX$6+($FD$4-0.0625)/2,"ERR",IF(DN54&lt;0.5+$FE$4/2,($FE$4/2+$EX$6),IF(DN54&lt;$FA$4+IF(MID(CE54,1,1)="R",DC54+CO14,0)-$FE$4/2-$EX$6,DN54,IF(DN54&lt;=$FA$4+IF(MID(CE54,1,1)="R",DC54,0)-($FD$4-0.0625)/2-$EX$6,$FA$4+IF(MID(CE54,1,1)="R",DC54,0)-($FE$4/2+$EX$6),"ERR")))),DN54)</x:f>
        <x:v>ERR</x:v>
      </x:c>
      <x:c r="DQ54" s="1310" t="str">
        <x:f t="shared" ref="DQ54:DR85" si="121">IF(ISERROR(DM54),"ERR",IF(DM54="","",IF(DO54="ERR","ERR",CEILING(DO54-0.0625,0.125))))</x:f>
        <x:v/>
      </x:c>
      <x:c r="DR54" s="1310" t="str">
        <x:f t="shared" si="121"/>
        <x:v/>
      </x:c>
      <x:c r="DS54" s="1310" t="str">
        <x:f t="shared" ref="DS54:DS85" si="122">IF(AND(EJ54="",CQ54=""),"",IF(EJ54="ERR","ERR",IF(ISNUMBER(EJ54),(EJ54/2)*-1,CQ54)))</x:f>
        <x:v/>
      </x:c>
      <x:c r="DT54" s="1310" t="str">
        <x:f t="shared" ref="DT54:DT85" si="123">IF(DS54="ERR","ERR",IF(DS54="","",IF(CR54*TAN(DE54)&lt;=($FE$4-($FD$4-0.0625)),CM54-(DS54-ET54)/IF(OR(CL54="C",AND(CL54="M",$FG$1="N")),1,COS(DE54))-IF(MID(CN54,1,1)="R",0,DI54),(ABS(DS54-ET54)/IF(OR(CL54="C",AND(CL54="M",$FG$1="N")),1,COS(DE54))+CM54)-((CR54/2)*TAN(DE54))-IF(MID(CN54,1,1)="R",0,DI54))))</x:f>
        <x:v/>
      </x:c>
      <x:c r="DU54" s="1310" t="str">
        <x:f t="shared" ref="DU54:DU85" si="124">IF(DS54="ERR","ERR",IF(DS54="","",IF(CR54*TAN(DE54)&lt;=($FE$4-($FD$4-0.0625)),CM54-(DS54-ET54)/IF(OR(CL54="C",AND(CL54="M",$FG$1="N")),1,COS(DE54))-IF(MID(CN54,1,1)="R",0,DI54),(ABS(DS54-ET54)/IF(OR(CL54="C",AND(CL54="M",$FG$1="N")),1,COS(DE54))+CM54)+((CR54/2)*TAN(DE54))-IF(MID(CN54,1,1)="R",0,DI54))))</x:f>
        <x:v/>
      </x:c>
      <x:c r="DV54" s="889" t="str">
        <x:f t="shared" ref="DV54:DV85" si="125">IF(ISBLANK(CY14),IF(DT54&lt;$EX$6+($FD$4-0.0625)/2,"ERR",IF(DT54&lt;$EX$6+$FE$4/2,($FE$4/2+$EX$6),IF(DT54&lt;$FA$4+IF(MID(CN54,1,1)="R",DI54+CY14,0)-$FE$4/2-$EX$6,DT54,IF(DT54&lt;=$FA$4+IF(MID(CN54,1,1)="R",DI54,0)-($FD$4-0.0625)/2-$EX$6,$FA$4+IF(MID(CN54,1,1)="R",DI54,0)-($FE$4/2+$EX$6),"ERR")))),DT54)</x:f>
        <x:v>ERR</x:v>
      </x:c>
      <x:c r="DW54" s="889" t="str">
        <x:f t="shared" ref="DW54:DW85" si="126">IF(ISBLANK(CY14),IF(DU54&lt;$EX$6+($FD$4-0.0625)/2,"ERR",IF(DU54&lt;0.5+$FE$4/2,($FE$4/2+$EX$6),IF(DU54&lt;$FA$4+IF(MID(CN54,1,1)="R",DI54+CY14,0)-$FE$4/2-$EX$6,DU54,IF(DU54&lt;=$FA$4+IF(MID(CN54,1,1)="R",DI54,0)-($FD$4-0.0625)/2-$EX$6,$FA$4+IF(MID(CN54,1,1)="R",DI54,0)-($FE$4/2+$EX$6),"ERR")))),DU54)</x:f>
        <x:v>ERR</x:v>
      </x:c>
      <x:c r="DX54" s="873" t="str">
        <x:f t="shared" ref="DX54:DY74" si="127">IF(ISERROR(DT54),"ERR",IF(DT54="","",IF(DV54="ERR","ERR",CEILING(DV54-0.0625,0.125))))</x:f>
        <x:v/>
      </x:c>
      <x:c r="DY54" s="873" t="str">
        <x:f t="shared" si="127"/>
        <x:v/>
      </x:c>
      <x:c r="DZ54" s="873" t="str">
        <x:f t="shared" ref="DZ54:DZ84" si="128">IF(CG54="","",IF((CD54-CG54)/COS(CU54)-FB54&lt;=-0.0625,CEILING((CD54-CG54)/COS(CU54)-FB54+0.0625,-0.125),IF((CD54-CG54)/COS(CU54)-FB54&gt;=0.0625,CEILING((CD54-CG54)/COS(CU54)-FB54-0.0625,0.125),0)))</x:f>
        <x:v/>
      </x:c>
      <x:c r="EA54" s="873" t="str">
        <x:f t="shared" ref="EA54:EA84" si="129">IF(CP54="","",IF((CM54-CP54)/COS(CU54)-FC54&lt;=-0.0625,CEILING((CM54-CP54)/COS(CU54)-FC54+0.0625,-0.125),IF((CM54-CP54)/COS(CU54)-FC54&gt;=0.0625,CEILING((CM54-CP54)/COS(CU54)-FC54-0.0625,0.125),0)))</x:f>
        <x:v/>
      </x:c>
      <x:c r="EB54" s="876" t="str">
        <x:f t="shared" ref="EB54:EB85" si="130">IF(CD14="","",$FC$4)</x:f>
        <x:v/>
      </x:c>
      <x:c r="EC54" s="877" t="str">
        <x:f t="shared" ref="EC54:EC85" si="131">IF(AND(DR54="",DY54=""),"",IF(OR(CI54=EB54,CR54=EB54),EB54,CI54))</x:f>
        <x:v/>
      </x:c>
      <x:c r="ED54" s="876" t="str">
        <x:f t="shared" ref="ED54:ED85" si="132">IF(DA14="","",CEILING(($EZ$4/COS(CU54)+$FA$4/12*ABS(DA14)+0.5),0.125))</x:f>
        <x:v/>
      </x:c>
      <x:c r="EE54" s="876" t="str">
        <x:f t="shared" ref="EE54:EE85" si="133">(IF(CC54="B",MIN(CJ14:CK14),""))</x:f>
        <x:v/>
      </x:c>
      <x:c r="EF54" s="876" t="str">
        <x:f t="shared" ref="EF54:EF85" si="134">(IF(CC54="B",MAX(CJ14:CK14),""))</x:f>
        <x:v/>
      </x:c>
      <x:c r="EG54" s="876" t="str">
        <x:f t="shared" ref="EG54:EG85" si="135">IF(EE54="","",IF((EF54-EE54)/2&lt;=($FE$4-($FD$4-0.0625)),(EE54+EF54)/2,"ERR"))</x:f>
        <x:v/>
      </x:c>
      <x:c r="EH54" s="876" t="str">
        <x:f t="shared" ref="EH54:EH85" si="136">IF(CL54="B",MIN(CT14:CU14),"")</x:f>
        <x:v/>
      </x:c>
      <x:c r="EI54" s="876" t="str">
        <x:f t="shared" ref="EI54:EI85" si="137">IF(CL54="B",MAX(CT14:CU14),"")</x:f>
        <x:v/>
      </x:c>
      <x:c r="EJ54" s="876" t="str">
        <x:f t="shared" ref="EJ54:EJ85" si="138">IF(EH54="","",IF((EI54-EH54)/2&lt;=($FE$4-($FD$4-0.0625)),(EH54+EI54)/2,"ERR"))</x:f>
        <x:v/>
      </x:c>
      <x:c r="EK54" s="874">
        <x:f t="shared" ref="EK54:EK85" si="139">IF(CK54="",0,ATAN(CK54/12))</x:f>
        <x:v>0</x:v>
      </x:c>
      <x:c r="EL54" s="874">
        <x:f t="shared" ref="EL54:EL85" si="140">CU54-EK54</x:f>
        <x:v>0</x:v>
      </x:c>
      <x:c r="EM54" s="874">
        <x:f t="shared" ref="EM54:EM85" si="141">TAN(EL54)*12</x:f>
        <x:v>0</x:v>
      </x:c>
      <x:c r="EN54" s="874" t="str">
        <x:f t="shared" ref="EN54:EN85" si="142">IF(ABS(EM54)&lt;$FA$2,"",IF(EM54&gt;0,CEILING(EM54-0.0625,0.125),CEILING(EM54+0.0625,-0.125)))</x:f>
        <x:v/>
      </x:c>
      <x:c r="EO54" s="873" t="str">
        <x:f t="shared" ref="EO54:EO85" si="143">IF(CF54="","",CF54*TAN(EK54))</x:f>
        <x:v/>
      </x:c>
      <x:c r="EP54" s="874">
        <x:f t="shared" ref="EP54:EP85" si="144">IF(CT54="",0,ATAN(CT54/12))</x:f>
        <x:v>0</x:v>
      </x:c>
      <x:c r="EQ54" s="874">
        <x:f t="shared" ref="EQ54:EQ85" si="145">CU54+EP54</x:f>
        <x:v>0</x:v>
      </x:c>
      <x:c r="ER54" s="874">
        <x:f t="shared" ref="ER54:ER85" si="146">TAN(EQ54)*-12</x:f>
        <x:v>0</x:v>
      </x:c>
      <x:c r="ES54" s="874" t="str">
        <x:f t="shared" ref="ES54:ES85" si="147">IF(ABS(ER54)&lt;$FA$2,"",IF(ER54&gt;0,CEILING(ER54-0.0625,0.125),CEILING(ER54+0.0625,-0.125)))</x:f>
        <x:v/>
      </x:c>
      <x:c r="ET54" s="873" t="str">
        <x:f t="shared" ref="ET54:ET85" si="148">IF(CO54="","",CO54*TAN(EP54))</x:f>
        <x:v/>
      </x:c>
      <x:c r="EU54" s="873">
        <x:f t="shared" ref="EU54:EU85" si="149">IF((CE14*12+CF14)/COS(CU54)-(CE14*12+CF14)&lt;$FE$2,0,CU54)</x:f>
        <x:v>0</x:v>
      </x:c>
      <x:c r="EV54" s="876" t="e">
        <x:f t="shared" ref="EV54:EV85" si="150">MIN(IF(CH14&gt;0,CH14/2,MAX(CI14/2,CJ54)),IF(CI14&gt;0,CI14/2,MAX(CH14/2,CJ54)),IF(CJ54&gt;0,CJ54,MAX(CI14/2,CH14/2)))/COS(CY54)+CD54-DC54</x:f>
        <x:v>#VALUE!</x:v>
      </x:c>
      <x:c r="EW54" s="876" t="e">
        <x:f t="shared" ref="EW54:EW85" si="151">MIN(IF(CR14&gt;0,CR14/2,MAX(CS14/2,CS54)),IF(CS14&gt;0,CS14/2,MAX(CR14/2,CS54)),IF(CS54&gt;0,CS54,MAX(CS14/2,CR14/2)))/COS(DE54)+CM54-DI54</x:f>
        <x:v>#VALUE!</x:v>
      </x:c>
      <x:c r="EX54" s="878" t="str">
        <x:f t="shared" ref="EX54:EX85" si="152">IF(CD14="","",IF(EZ54&lt;1.2,5+$EX$4,IF(EZ54&lt;1.79,6+$EX$4,IF(EZ54&lt;2.3,7+$EX$4,IF(EZ54&lt;3.76,8+$EX$4,IF(EZ54&lt;4.76,10+$EX$4,IF(EZ54&lt;8.45,12+$EX$4,"ERR")))))))</x:f>
        <x:v/>
      </x:c>
      <x:c r="EY54" s="879">
        <x:f t="shared" ref="EY54:EY85" si="153">TRUNC(IF(FA54&lt;1.03,25.667,IF(FA54&lt;1.2,29.667,IF(FA54&lt;1.79,33.583,IF(FA54&lt;2.3,37.75,IF(FA54&lt;3.76,42,IF(FA54&lt;4.76,50.167,IF(FA54&lt;8.45,58.167,"ERR"))))))))</x:f>
        <x:v>25</x:v>
      </x:c>
      <x:c r="EZ54" s="959">
        <x:f t="shared" ref="EZ54:EZ85" si="154">(0.03*BP14*((CE14+CF14/12)/BO14)*(BO14^2-IF(ISEVEN(BO14),0,1)))/BM14</x:f>
        <x:v>0</x:v>
      </x:c>
      <x:c r="FA54" s="960">
        <x:f t="shared" ref="FA54:FA85" si="155">(0.026*BP14*((CE14+CF14/12)/BO14)*(BO14^2-IF(ISEVEN(BO14),0,1)))/BM14</x:f>
        <x:v>0</x:v>
      </x:c>
      <x:c r="FB54" s="880" t="str">
        <x:f t="shared" ref="FB54:FB85" si="156">IF(CG54="","",IF(ABS(DA14*((BM14-IF(DA14&gt;0,$FF$4,0))/12))&gt;$CX$2,DA14*((BM14-IF(DA14&gt;0,$FF$4,0))/12),0))</x:f>
        <x:v/>
      </x:c>
      <x:c r="FC54" s="881" t="str">
        <x:f t="shared" ref="FC54:FC85" si="157">IF(CP54="","",IF(ABS(DA14*((BM14-IF(DA14&lt;0,$FF$4,0))/12))&gt;$CX$2,DA14*((BM14-IF(DA14&lt;0,$FF$4,0))/12)*-1,0))</x:f>
        <x:v/>
      </x:c>
      <x:c r="FD54" s="890">
        <x:f t="shared" ref="FD54:FD85" si="158">IF(CF54="",0,MAX(0,DB54-$FA$4))</x:f>
        <x:v>0</x:v>
      </x:c>
      <x:c r="FE54" s="833">
        <x:f t="shared" ref="FE54:FE85" si="159">IF(CO54="",0,MAX(0,DH54-$FA$4))</x:f>
        <x:v>0</x:v>
      </x:c>
      <x:c r="FF54" s="754" t="b">
        <x:f t="shared" ref="FF54:FF85" si="160">IF(ISERROR(AR14),TRUE,IF(OR(AR14="",ISBLANK(AR14)),FALSE,IF(ISTEXT(AR14),IF(AND(AR14="P",LEFT(AS14,1)="#"),FALSE,TRUE),IF(ISTEXT(AS14),TRUE,FALSE))))</x:f>
        <x:v>0</x:v>
      </x:c>
      <x:c r="FG54" s="754" t="b">
        <x:f t="shared" ref="FG54:FG85" si="161">IF(ISERROR(AV14),TRUE,IF(OR(AV14="",ISBLANK(AV14)),FALSE,IF(ISTEXT(AV14),IF(AND(AV14="P",LEFT(AW14,1)="#"),FALSE,TRUE),IF(ISTEXT(AW14),TRUE,FALSE))))</x:f>
        <x:v>0</x:v>
      </x:c>
      <x:c r="FH54" s="754" t="b">
        <x:f t="shared" ref="FH54:FH85" si="162">IF(ISERROR(AZ14),TRUE,IF(OR(AZ14="",ISBLANK(AZ14)),FALSE,IF(ISTEXT(AZ14),IF(AND(AZ14="P",LEFT(BA14,1)="#"),FALSE,TRUE),IF(ISTEXT(BA14),TRUE,FALSE))))</x:f>
        <x:v>0</x:v>
      </x:c>
      <x:c r="FI54" s="754" t="b">
        <x:f t="shared" ref="FI54:FI85" si="163">IF(ISERROR(BD14),TRUE,IF(OR(BD14="",ISBLANK(BD14)),FALSE,IF(ISTEXT(BD14),IF(AND(BD14="P",LEFT(BE14,1)="#"),FALSE,TRUE),IF(ISTEXT(BE14),TRUE,FALSE))))</x:f>
        <x:v>0</x:v>
      </x:c>
      <x:c r="FJ54" s="782"/>
      <x:c r="FK54" s="532" t="str">
        <x:f>IF(ISBLANK(DH14),"",DH14)</x:f>
        <x:v/>
      </x:c>
      <x:c r="FL54" s="311" t="e">
        <x:f>VLOOKUP(DH14,$CB$54:$DK$85,36,FALSE)</x:f>
        <x:v>#N/A</x:v>
      </x:c>
      <x:c r="FM54" s="312" t="str">
        <x:f t="shared" ref="FM54:FM85" si="164">IF(ISBLANK(DH15),IF(SUM(DJ15:DN15)=0,"",IF(ISBLANK(DI15),"X","")),"")</x:f>
        <x:v/>
      </x:c>
      <x:c r="FN54" s="263" t="str">
        <x:f>IF(SUM(DJ14:DN14)=0,"",IF(OR(FS54=0,DL14=""),"",CEILING(IF(AND(DJ14="",DK14=""),IF(AND(DM14="",DN14=""),(FS54-FO54*FP54)/2,(DJ14*12+DK14+(DL14*(DM14*12+DN14)))-FO54*FP54),(DJ14*12+DK14))-0.0625,0.125)))</x:f>
        <x:v/>
      </x:c>
      <x:c r="FO54" s="264" t="str">
        <x:f>IF(SUM(DJ14:DN14)=0,"",IF(OR(FS54=0,DL14=""),"",DL14-IF(AND(DJ14="",DK14=""),1,0)-IF(AND(DM14="",DN14="",FM54=""),1,0)))</x:f>
        <x:v/>
      </x:c>
      <x:c r="FP54" s="265" t="str">
        <x:f>IF(SUM(DJ14:DN14)=0,"",IF(OR(FS54=0,DL14=""),"",CEILING(IF(AND(DM14="",DN14=""),IF(DL14=FO54,(FS54-FN54-FQ54)/FO54,(FS54-IF(AND(DJ14="",DK14=""),0,FN54)-IF(FM54="",0,FQ54))/DL14),DM14*12+DN14)-0.0625,0.125)))</x:f>
        <x:v/>
      </x:c>
      <x:c r="FQ54" s="265" t="str">
        <x:f>IF(SUM(DJ14:DN14)=0,"",IF(OR(FS54=0,DL14=""),"",IF(UPPER(FM54)="X",0,FS54-FN54-FO54*FP54)))</x:f>
        <x:v/>
      </x:c>
      <x:c r="FR54" s="313">
        <x:f>IF(FS54="",0,IF(OR(FS54=0,DL14=""),0,FS54-(FN54+FO54*FP54+FQ54)))</x:f>
        <x:v>0</x:v>
      </x:c>
      <x:c r="FS54" s="314" t="str">
        <x:f>IF(SUM(DJ14:DN14)=0,"",VLOOKUP(DH14,CB14:CF45,4,FALSE)*12+VLOOKUP(DH14,CB14:CF45,5,FALSE))</x:f>
        <x:v/>
      </x:c>
      <x:c r="FT54" s="263" t="str">
        <x:f>IF(SUM(DJ14:DN14)=0,"",IF(FU54="","",FL54))</x:f>
        <x:v/>
      </x:c>
      <x:c r="FU54" s="266" t="str">
        <x:f>IF(SUM(DJ14:DN14)=0,"",1)</x:f>
        <x:v/>
      </x:c>
      <x:c r="FV54" s="315" t="str">
        <x:f t="shared" ref="FV54:FV85" si="165">IF(FW54="","",CEILING(FW54+GJ54-0.0625,0.125))</x:f>
        <x:v/>
      </x:c>
      <x:c r="FW54" s="267" t="str">
        <x:f>IF(SUM(DJ14:DN14)=0,"",IF(OR(FN54=0,FN54=""),"",(FN54+VLOOKUP(DH14,CB54:CD85,3,FALSE)-VLOOKUP(DH14,CB54:DD85,29,FALSE))/COS(VLOOKUP(DH14,$CB$54:$EU$85,72,FALSE))))</x:f>
        <x:v/>
      </x:c>
      <x:c r="FX54" s="267" t="str">
        <x:f>IF(SUM(DJ14:DN14)=0,"",IF(FO54=0,0,IF(FP54="","",CEILING(FP54/COS(VLOOKUP(FK54,$CB$54:$EU$85,72,FALSE))-0.0625,0.125))))</x:f>
        <x:v/>
      </x:c>
      <x:c r="FY54" s="267" t="str">
        <x:f>IF(SUM(DJ14:DN14)=0,"",IF(OR(FQ54=0,FQ54=""),"",FT54-IF(FW54="",0,FW54)-FO54*FX54))</x:f>
        <x:v/>
      </x:c>
      <x:c r="FZ54" s="276" t="str">
        <x:f>IF(FY54="","",CEILING(FT54-IF(FV54="",0,FV54)-(FO54*FX54)-0.0625,0.125))</x:f>
        <x:v/>
      </x:c>
      <x:c r="GA54" s="267" t="str">
        <x:f>IF(SUM(DJ14:DN14)=0,"",IF(FW54="",0,FW54)+FO54*FX54+IF(FY54="",0,FY54))</x:f>
        <x:v/>
      </x:c>
      <x:c r="GB54" s="268" t="str">
        <x:f ca="1">IF(SUM(DJ14:DN14)=0,"",IF(FY54="","",2+SUM(FO54:OFFSET(FO54,(FU54-1)*-1,0))))</x:f>
        <x:v/>
      </x:c>
      <x:c r="GC54" s="316" t="e">
        <x:f>VLOOKUP(DH14,$CB$54:$CD$85,3,FALSE)</x:f>
        <x:v>#N/A</x:v>
      </x:c>
      <x:c r="GD54" s="317" t="str">
        <x:f t="shared" ref="GD54:GD85" si="166">IF(ISBLANK(DT14),"",MAX(0,DT14+VLOOKUP(FK54,$CB$54:$CD$85,3,FALSE)))</x:f>
        <x:v/>
      </x:c>
      <x:c r="GE54" s="318" t="str">
        <x:f t="shared" ref="GE54:GE85" si="167">IF(ISBLANK(DU14),"",MAX(0,DU14+VLOOKUP(FK54,$CB$54:$CM$85,12,FALSE)))</x:f>
        <x:v/>
      </x:c>
      <x:c r="GF54" s="269" t="str">
        <x:f t="shared" ref="GF54:GF85" si="168">IF(AND(ISBLANK(DV14),ISBLANK(DW14)),"",IF(DV14="P",IF(ISNUMBER(DW14),CONCATENATE("#", DW14),DW14),CEILING((DV14*12+DW14+GC54)/COS(VLOOKUP(FK54,$CB$54:$EU$85,72,FALSE))-0.0625,0.125)))</x:f>
        <x:v/>
      </x:c>
      <x:c r="GG54" s="270" t="str">
        <x:f t="shared" ref="GG54:GG85" si="169">IF(AND(ISBLANK(DZ14),ISBLANK(EA14)),"",IF(DZ14="P",IF(ISNUMBER(EA14),CONCATENATE("#", EA14),EA14),CEILING((DZ14*12+EA14+GC54)/COS(VLOOKUP(FK54,$CB$54:$EU$85,72,FALSE))-0.0625,0.125)))</x:f>
        <x:v/>
      </x:c>
      <x:c r="GH54" s="270" t="str">
        <x:f t="shared" ref="GH54:GH85" si="170">IF(AND(ISBLANK(ED14),ISBLANK(EE14)),"",IF(ED14="P",IF(ISNUMBER(EE14),CONCATENATE("#", EE14),EE14),CEILING((ED14*12+EE14+GC54)/COS(VLOOKUP(FK54,$CB$54:$EU$85,72,FALSE))-0.0625,0.125)))</x:f>
        <x:v/>
      </x:c>
      <x:c r="GI54" s="271" t="str">
        <x:f t="shared" ref="GI54:GI85" si="171">IF(AND(ISBLANK(EH14),ISBLANK(EI14)),"",IF(EH14="P",IF(ISNUMBER(EI14),CONCATENATE("#", EI14),EI14),CEILING((EH14*12+EI14+GC54)/COS(VLOOKUP(FK54,$CB$54:$EU$85,72,FALSE))-0.0625,0.125)))</x:f>
        <x:v/>
      </x:c>
      <x:c r="GJ54" s="529">
        <x:f t="shared" ref="GJ54:GJ84" ca="1" si="172">IF(FY54="",GJ55,(FY54-(FQ54+VLOOKUP(FK54,$CB$54:$EU$85,12,FALSE)-VLOOKUP(FK54,$CB$54:$EU$85,34,FALSE))/COS(VLOOKUP(FK54,$CB$54:$EU$85,72,FALSE)))/2)</x:f>
        <x:v>0</x:v>
      </x:c>
      <x:c r="GK54" s="895" t="str">
        <x:f ca="1">CONCATENATE(IF(AND(AD14&lt;&gt;"",AE14&lt;&gt;""),IF(AD14*12+AE14+IF(VLOOKUP(BX14,$BJ$14:$BN$45,5,FALSE)="BG",AG14*12+AH14,0)&lt;VLOOKUP(BX14,$BJ$14:$BM$45,4,FALSE)/$EX$5,"A",""),""),IF(AND(AI14&lt;&gt;"",AJ14&lt;&gt;""),IF(AI14*12+AJ14+IF(VLOOKUP(BX14,$BJ$14:$BN$45,5,FALSE)="BG",AG14*12+AH14,0)&lt;VLOOKUP(BX14,$BJ$14:$BM$45,4,FALSE)/$EX$5,"B",""),""))</x:f>
        <x:v/>
      </x:c>
    </x:row>
    <x:row r="55" spans="1:193" ht="12.6" hidden="1" customHeight="1" x14ac:dyDescent="0.2">
      <x:c r="BZ55" s="293"/>
      <x:c r="CA55" s="293"/>
      <x:c r="CB55" s="365" t="str">
        <x:f t="shared" si="100"/>
        <x:v/>
      </x:c>
      <x:c r="CC55" s="366" t="str">
        <x:f>IF(CG15="","",VLOOKUP(CG15,SectInfo!$B:$N,12,FALSE))</x:f>
        <x:v/>
      </x:c>
      <x:c r="CD55" s="1305" t="str">
        <x:f>IF(ISBLANK(CN15),IF(CG15="","",VLOOKUP(CG15,SectInfo!$B:$N,13,FALSE)),CN15)</x:f>
        <x:v/>
      </x:c>
      <x:c r="CE55" s="1305" t="str">
        <x:f>IF(CG15="","",IF(VLOOKUP(CG15,SectInfo!$B:$N,5,FALSE)="","R",UPPER(VLOOKUP(CG15,SectInfo!$B:$N,5,FALSE))))</x:f>
        <x:v/>
      </x:c>
      <x:c r="CF55" s="1305" t="str">
        <x:f>IF(ISBLANK(CP15),IF(CG15="","",VLOOKUP(CG15,SectInfo!$B:$N,6,FALSE)),CP15)</x:f>
        <x:v/>
      </x:c>
      <x:c r="CG55" s="1305" t="str">
        <x:f>IF(CG15="","",IF(VLOOKUP(CG15,SectInfo!$B:$N,10,FALSE)="","",(VLOOKUP(CG15,SectInfo!$B:$N,10,FALSE)*-1)))</x:f>
        <x:v/>
      </x:c>
      <x:c r="CH55" s="1305" t="str">
        <x:f>IF(CG15="","",IF(VLOOKUP(CG15,SectInfo!$B:$N,7,FALSE)="","",(VLOOKUP(CG15,SectInfo!$B:$N,7,FALSE)*-1)))</x:f>
        <x:v/>
      </x:c>
      <x:c r="CI55" s="1305" t="str">
        <x:f>IF(CG15="","",IF(VLOOKUP(CG15,SectInfo!$B:$N,8,FALSE)="",$FC$4,(VLOOKUP(CG15,SectInfo!$B:$N,8,FALSE))))</x:f>
        <x:v/>
      </x:c>
      <x:c r="CJ55" s="1305" t="str">
        <x:f>IF(CG15="","",VLOOKUP(CG15,SectInfo!$B:$N,9,FALSE))</x:f>
        <x:v/>
      </x:c>
      <x:c r="CK55" s="1306">
        <x:f t="shared" si="101"/>
        <x:v>0</x:v>
      </x:c>
      <x:c r="CL55" s="1304" t="str">
        <x:f>IF(CQ15="","",VLOOKUP(CQ15,SectInfo!$B:$N,12,FALSE))</x:f>
        <x:v/>
      </x:c>
      <x:c r="CM55" s="1305" t="str">
        <x:f>IF(ISBLANK(CX15),IF(CQ15="","",VLOOKUP(CQ15,SectInfo!$B:$N,13,FALSE)),CX15)</x:f>
        <x:v/>
      </x:c>
      <x:c r="CN55" s="1305" t="str">
        <x:f>IF(CQ15="","",IF(VLOOKUP(CQ15,SectInfo!$B:$N,5,FALSE)="","R",UPPER(VLOOKUP(CQ15,SectInfo!$B:$N,5,FALSE))))</x:f>
        <x:v/>
      </x:c>
      <x:c r="CO55" s="1305" t="str">
        <x:f>IF(ISBLANK(CZ15),IF(CQ15="","",VLOOKUP(CQ15,SectInfo!$B:$N,6,FALSE)),CZ15)</x:f>
        <x:v/>
      </x:c>
      <x:c r="CP55" s="1305" t="str">
        <x:f>IF(CQ15="","",IF(VLOOKUP(CQ15,SectInfo!$B:$N,10,FALSE)="","",(VLOOKUP(CQ15,SectInfo!$B:$N,10,FALSE)*-1)))</x:f>
        <x:v/>
      </x:c>
      <x:c r="CQ55" s="1305" t="str">
        <x:f>IF(CQ15="","",IF(VLOOKUP(CQ15,SectInfo!$B:$N,7,FALSE)="","",(VLOOKUP(CQ15,SectInfo!$B:$N,7,FALSE)*-1)))</x:f>
        <x:v/>
      </x:c>
      <x:c r="CR55" s="1305" t="str">
        <x:f>IF(CQ15="","",IF(VLOOKUP(CQ15,SectInfo!$B:$N,8,FALSE)="",$FC$4,(VLOOKUP(CQ15,SectInfo!$B:$N,8,FALSE))))</x:f>
        <x:v/>
      </x:c>
      <x:c r="CS55" s="1305" t="str">
        <x:f>IF(CQ15="","",VLOOKUP(CQ15,SectInfo!$B:$N,9,FALSE))</x:f>
        <x:v/>
      </x:c>
      <x:c r="CT55" s="1306">
        <x:f t="shared" si="102"/>
        <x:v>0</x:v>
      </x:c>
      <x:c r="CU55" s="1316">
        <x:f t="shared" si="103"/>
        <x:v>0</x:v>
      </x:c>
      <x:c r="CV55" s="1310" t="str">
        <x:f t="shared" si="104"/>
        <x:v/>
      </x:c>
      <x:c r="CW55" s="1310" t="str">
        <x:f t="shared" si="105"/>
        <x:v/>
      </x:c>
      <x:c r="CX55" s="1310" t="str">
        <x:f t="shared" si="106"/>
        <x:v/>
      </x:c>
      <x:c r="CY55" s="1312">
        <x:f t="shared" si="107"/>
        <x:v>0</x:v>
      </x:c>
      <x:c r="CZ55" s="1312">
        <x:f t="shared" si="108"/>
        <x:v>0</x:v>
      </x:c>
      <x:c r="DA55" s="1312" t="str">
        <x:f t="shared" si="109"/>
        <x:v/>
      </x:c>
      <x:c r="DB55" s="1310" t="str">
        <x:f t="shared" ref="DB55:DB85" si="173">IF(CD55="","",CD55+DA55+($EY$4*TAN(CY55)))</x:f>
        <x:v/>
      </x:c>
      <x:c r="DC55" s="1310" t="str">
        <x:f t="shared" si="110"/>
        <x:v/>
      </x:c>
      <x:c r="DD55" s="875">
        <x:f t="shared" ref="DD55:DD85" si="174">IF(CD55="",0,IF(DC55/COS(EU55)&lt;0.0625,0,CEILING(DC55/COS(EU55)-0.03125,0.125)))</x:f>
        <x:v>0</x:v>
      </x:c>
      <x:c r="DE55" s="873">
        <x:f t="shared" si="111"/>
        <x:v>0</x:v>
      </x:c>
      <x:c r="DF55" s="874">
        <x:f t="shared" si="112"/>
        <x:v>0</x:v>
      </x:c>
      <x:c r="DG55" s="874" t="str">
        <x:f t="shared" si="113"/>
        <x:v/>
      </x:c>
      <x:c r="DH55" s="1310" t="str">
        <x:f t="shared" ref="DH55:DH85" si="175">IF(CM55="","",CM55+DG55+($EY$4*TAN(DE55)))</x:f>
        <x:v/>
      </x:c>
      <x:c r="DI55" s="1310" t="str">
        <x:f t="shared" si="114"/>
        <x:v/>
      </x:c>
      <x:c r="DJ55" s="1311">
        <x:f t="shared" ref="DJ55:DJ85" si="176">IF(CM55="",0,IF(DI55/COS(EU55)&lt;0.0625,0,CEILING(DI55/COS(EU55)-0.03125,0.125)))</x:f>
        <x:v>0</x:v>
      </x:c>
      <x:c r="DK55" s="1310" t="str">
        <x:f t="shared" si="115"/>
        <x:v/>
      </x:c>
      <x:c r="DL55" s="1310" t="str">
        <x:f t="shared" si="116"/>
        <x:v/>
      </x:c>
      <x:c r="DM55" s="1310" t="str">
        <x:f t="shared" si="117"/>
        <x:v/>
      </x:c>
      <x:c r="DN55" s="1310" t="str">
        <x:f t="shared" si="118"/>
        <x:v/>
      </x:c>
      <x:c r="DO55" s="889" t="str">
        <x:f t="shared" si="119"/>
        <x:v>ERR</x:v>
      </x:c>
      <x:c r="DP55" s="889" t="str">
        <x:f t="shared" si="120"/>
        <x:v>ERR</x:v>
      </x:c>
      <x:c r="DQ55" s="1310" t="str">
        <x:f t="shared" si="121"/>
        <x:v/>
      </x:c>
      <x:c r="DR55" s="1310" t="str">
        <x:f t="shared" si="121"/>
        <x:v/>
      </x:c>
      <x:c r="DS55" s="1310" t="str">
        <x:f t="shared" si="122"/>
        <x:v/>
      </x:c>
      <x:c r="DT55" s="1310" t="str">
        <x:f t="shared" si="123"/>
        <x:v/>
      </x:c>
      <x:c r="DU55" s="1310" t="str">
        <x:f t="shared" si="124"/>
        <x:v/>
      </x:c>
      <x:c r="DV55" s="889" t="str">
        <x:f t="shared" si="125"/>
        <x:v>ERR</x:v>
      </x:c>
      <x:c r="DW55" s="889" t="str">
        <x:f t="shared" si="126"/>
        <x:v>ERR</x:v>
      </x:c>
      <x:c r="DX55" s="873" t="str">
        <x:f t="shared" si="127"/>
        <x:v/>
      </x:c>
      <x:c r="DY55" s="873" t="str">
        <x:f t="shared" si="127"/>
        <x:v/>
      </x:c>
      <x:c r="DZ55" s="873" t="str">
        <x:f t="shared" si="128"/>
        <x:v/>
      </x:c>
      <x:c r="EA55" s="873" t="str">
        <x:f t="shared" si="129"/>
        <x:v/>
      </x:c>
      <x:c r="EB55" s="876" t="str">
        <x:f t="shared" si="130"/>
        <x:v/>
      </x:c>
      <x:c r="EC55" s="877" t="str">
        <x:f t="shared" si="131"/>
        <x:v/>
      </x:c>
      <x:c r="ED55" s="876" t="str">
        <x:f t="shared" si="132"/>
        <x:v/>
      </x:c>
      <x:c r="EE55" s="876" t="str">
        <x:f t="shared" si="133"/>
        <x:v/>
      </x:c>
      <x:c r="EF55" s="876" t="str">
        <x:f t="shared" si="134"/>
        <x:v/>
      </x:c>
      <x:c r="EG55" s="876" t="str">
        <x:f t="shared" si="135"/>
        <x:v/>
      </x:c>
      <x:c r="EH55" s="876" t="str">
        <x:f t="shared" si="136"/>
        <x:v/>
      </x:c>
      <x:c r="EI55" s="876" t="str">
        <x:f t="shared" si="137"/>
        <x:v/>
      </x:c>
      <x:c r="EJ55" s="876" t="str">
        <x:f t="shared" si="138"/>
        <x:v/>
      </x:c>
      <x:c r="EK55" s="874">
        <x:f t="shared" si="139"/>
        <x:v>0</x:v>
      </x:c>
      <x:c r="EL55" s="874">
        <x:f t="shared" si="140"/>
        <x:v>0</x:v>
      </x:c>
      <x:c r="EM55" s="874">
        <x:f t="shared" si="141"/>
        <x:v>0</x:v>
      </x:c>
      <x:c r="EN55" s="874" t="str">
        <x:f t="shared" si="142"/>
        <x:v/>
      </x:c>
      <x:c r="EO55" s="873" t="str">
        <x:f t="shared" si="143"/>
        <x:v/>
      </x:c>
      <x:c r="EP55" s="874">
        <x:f t="shared" si="144"/>
        <x:v>0</x:v>
      </x:c>
      <x:c r="EQ55" s="874">
        <x:f t="shared" si="145"/>
        <x:v>0</x:v>
      </x:c>
      <x:c r="ER55" s="874">
        <x:f t="shared" si="146"/>
        <x:v>0</x:v>
      </x:c>
      <x:c r="ES55" s="874" t="str">
        <x:f t="shared" si="147"/>
        <x:v/>
      </x:c>
      <x:c r="ET55" s="873" t="str">
        <x:f t="shared" si="148"/>
        <x:v/>
      </x:c>
      <x:c r="EU55" s="873">
        <x:f t="shared" si="149"/>
        <x:v>0</x:v>
      </x:c>
      <x:c r="EV55" s="876" t="e">
        <x:f t="shared" si="150"/>
        <x:v>#VALUE!</x:v>
      </x:c>
      <x:c r="EW55" s="876" t="e">
        <x:f t="shared" si="151"/>
        <x:v>#VALUE!</x:v>
      </x:c>
      <x:c r="EX55" s="878" t="str">
        <x:f t="shared" si="152"/>
        <x:v/>
      </x:c>
      <x:c r="EY55" s="879">
        <x:f t="shared" si="153"/>
        <x:v>25</x:v>
      </x:c>
      <x:c r="EZ55" s="959">
        <x:f t="shared" si="154"/>
        <x:v>0</x:v>
      </x:c>
      <x:c r="FA55" s="960">
        <x:f t="shared" si="155"/>
        <x:v>0</x:v>
      </x:c>
      <x:c r="FB55" s="880" t="str">
        <x:f t="shared" si="156"/>
        <x:v/>
      </x:c>
      <x:c r="FC55" s="881" t="str">
        <x:f t="shared" si="157"/>
        <x:v/>
      </x:c>
      <x:c r="FD55" s="890">
        <x:f t="shared" si="158"/>
        <x:v>0</x:v>
      </x:c>
      <x:c r="FE55" s="833">
        <x:f t="shared" si="159"/>
        <x:v>0</x:v>
      </x:c>
      <x:c r="FF55" s="754" t="b">
        <x:f t="shared" si="160"/>
        <x:v>0</x:v>
      </x:c>
      <x:c r="FG55" s="754" t="b">
        <x:f t="shared" si="161"/>
        <x:v>0</x:v>
      </x:c>
      <x:c r="FH55" s="754" t="b">
        <x:f t="shared" si="162"/>
        <x:v>0</x:v>
      </x:c>
      <x:c r="FI55" s="754" t="b">
        <x:f t="shared" si="163"/>
        <x:v>0</x:v>
      </x:c>
      <x:c r="FJ55" s="920" t="str">
        <x:f t="shared" ref="FJ55:FJ85" si="177">IF(AND(COUNTA(DH15:EK15)&gt;0,FK55=FK54,FK55&lt;&gt;""),"G","")</x:f>
        <x:v/>
      </x:c>
      <x:c r="FK55" s="919" t="str">
        <x:f t="shared" ref="FK55:FK85" si="178">IF(ISBLANK(DH15),FK54,DH15)</x:f>
        <x:v/>
      </x:c>
      <x:c r="FL55" s="320" t="e">
        <x:f t="shared" ref="FL55:FL85" si="179">IF(ISERROR(VLOOKUP(DH15,$CB$54:$DK$85,36,FALSE)),FL54,VLOOKUP(DH15,$CB$54:$DK$85,36,FALSE))</x:f>
        <x:v>#N/A</x:v>
      </x:c>
      <x:c r="FM55" s="312" t="str">
        <x:f t="shared" si="164"/>
        <x:v/>
      </x:c>
      <x:c r="FN55" s="272" t="str">
        <x:f t="shared" ref="FN55:FN85" ca="1" si="180">IF(OR(FS55=0,DL15=""),"",IF(UPPER(FM54)="X",0,CEILING(IF(AND(DJ15="",DK15=""),IF(UPPER(FM55)="X",FP55,IF(AND(DM15="",DN15=""),(FS55-FO55*FP55)/2,(DJ15*12+DK15+(DL15*(DM15*12+DN15)))-FO55*FP55)),(DJ15*12+DK15))-0.0625,0.125)))</x:f>
        <x:v/>
      </x:c>
      <x:c r="FO55" s="273" t="str">
        <x:f t="shared" ref="FO55:FO85" ca="1" si="181">IF(OR(FS55=0,DL15=""),"",DL15-IF(AND(DJ15="",DK15="",FM54&lt;&gt;"X"),1,0)-IF(AND(DM15="",DN15="",FM55=""),1,0))</x:f>
        <x:v/>
      </x:c>
      <x:c r="FP55" s="274" t="str">
        <x:f t="shared" ref="FP55:FP85" ca="1" si="182">IF(OR(FS55=0,DL15=""),"",CEILING(IF(AND(DM15="",DN15=""),IF(DL15=FO55,(FS55-FN55-FQ55)/FO55,(FS55-IF(AND(DJ15="",DK15=""),0,FN55)-IF(FM55="",0,FQ55))/DL15),DM15*12+DN15)-0.0625,0.125))</x:f>
        <x:v/>
      </x:c>
      <x:c r="FQ55" s="274" t="str">
        <x:f t="shared" ref="FQ55:FQ85" ca="1" si="183">IF(OR(FS55=0,DL15=""),"",IF(UPPER(FM55)="X",0,FS55-FN55-FO55*FP55))</x:f>
        <x:v/>
      </x:c>
      <x:c r="FR55" s="321">
        <x:f t="shared" ref="FR55:FR85" ca="1" si="184">IF(OR(FS55=0,DL15=""),0,FS55-(FN55+FO55*FP55+FQ55))</x:f>
        <x:v>0</x:v>
      </x:c>
      <x:c r="FS55" s="322">
        <x:f t="shared" ref="FS55:FS85" ca="1" si="185">IF(ISBLANK(DH15),IF(FR54=0,IF(OR(DI15="F",DI15="N"),OFFSET(FS54,(-1*(FU54-1)),0),0),FR54),VLOOKUP(DH15,$CB$14:$CF$45,4,FALSE)*12+VLOOKUP(DH15,$CB$14:$CF$45,5,FALSE))</x:f>
        <x:v>0</x:v>
      </x:c>
      <x:c r="FT55" s="272" t="str">
        <x:f t="shared" ref="FT55:FT85" ca="1" si="186">IF(FU55="","",IF(FU55=1,IF(FL55="",OFFSET(FL55,(-1*FU54),0),FL55),FT54-GA54))</x:f>
        <x:v/>
      </x:c>
      <x:c r="FU55" s="275" t="str">
        <x:f t="shared" ref="FU55:FU85" ca="1" si="187">IF(FS55=0,"",IF(FR54=0,1,FU54+1))</x:f>
        <x:v/>
      </x:c>
      <x:c r="FV55" s="323" t="str">
        <x:f t="shared" ca="1" si="165"/>
        <x:v/>
      </x:c>
      <x:c r="FW55" s="276" t="str">
        <x:f t="shared" ref="FW55:FW85" ca="1" si="188">IF(OR(FN55=0,FN55=""),"",(FN55+VLOOKUP(FK55,$CB$54:$CD$85,3,FALSE)-VLOOKUP(FK55,$CB$54:$DD$85,29,FALSE))/COS(VLOOKUP(FK55,$CB$54:$EU$85,72,FALSE)))</x:f>
        <x:v/>
      </x:c>
      <x:c r="FX55" s="276" t="str">
        <x:f t="shared" ref="FX55:FX85" ca="1" si="189">IF(FO55=0,0,IF(FP55="","",CEILING(FP55/COS(VLOOKUP(FK55,$CB$54:$EU$85,72,FALSE))-0.0625,0.125)))</x:f>
        <x:v/>
      </x:c>
      <x:c r="FY55" s="276" t="str">
        <x:f t="shared" ref="FY55:FY85" ca="1" si="190">IF(OR(FQ55=0,FQ55=""),"",FT55-IF(FW55="",0,FW55)-FO55*FX55)</x:f>
        <x:v/>
      </x:c>
      <x:c r="FZ55" s="276" t="str">
        <x:f t="shared" ref="FZ55:FZ85" ca="1" si="191">IF(FY55="","",CEILING(FT55-IF(FV55="",0,FV55)-(FO55*FX55)-0.0625,0.125))</x:f>
        <x:v/>
      </x:c>
      <x:c r="GA55" s="276" t="str">
        <x:f t="shared" ref="GA55:GA85" ca="1" si="192">IF(FP55="","",IF(FW55="",0,FW55)+FO55*FX55+IF(FY55="",0,FY55))</x:f>
        <x:v/>
      </x:c>
      <x:c r="GB55" s="277" t="str">
        <x:f ca="1">IF(FY55="","",2+SUM(FO55:OFFSET(FO55,(FU55-1)*-1,0)))</x:f>
        <x:v/>
      </x:c>
      <x:c r="GC55" s="316" t="e">
        <x:f t="shared" ref="GC55:GC85" si="193">IF(ISERROR(VLOOKUP(DH15,$CB$54:$CD$85,3,FALSE)),GC54,VLOOKUP(DH15,$CB$54:$CD$85,3,FALSE))</x:f>
        <x:v>#N/A</x:v>
      </x:c>
      <x:c r="GD55" s="324" t="str">
        <x:f t="shared" si="166"/>
        <x:v/>
      </x:c>
      <x:c r="GE55" s="325" t="str">
        <x:f t="shared" si="167"/>
        <x:v/>
      </x:c>
      <x:c r="GF55" s="278" t="str">
        <x:f t="shared" si="168"/>
        <x:v/>
      </x:c>
      <x:c r="GG55" s="279" t="str">
        <x:f t="shared" si="169"/>
        <x:v/>
      </x:c>
      <x:c r="GH55" s="279" t="str">
        <x:f t="shared" si="170"/>
        <x:v/>
      </x:c>
      <x:c r="GI55" s="280" t="str">
        <x:f t="shared" si="171"/>
        <x:v/>
      </x:c>
      <x:c r="GJ55" s="530">
        <x:f t="shared" ca="1" si="172"/>
        <x:v>0</x:v>
      </x:c>
      <x:c r="GK55" s="895" t="str">
        <x:f t="shared" ref="GK55:GK85" ca="1" si="194">CONCATENATE(IF(AND(AD15&lt;&gt;"",AE15&lt;&gt;""),IF(AD15*12+AE15+IF(VLOOKUP(BX15,$BJ$14:$BN$45,5,FALSE)="BG",AG15*12+AH15,0)&lt;VLOOKUP(BX15,$BJ$14:$BM$45,4,FALSE)/$EX$5,"A",""),""),IF(AND(AI15&lt;&gt;"",AJ15&lt;&gt;""),IF(AI15*12+AJ15+IF(VLOOKUP(BX15,$BJ$14:$BN$45,5,FALSE)="BG",AG15*12+AH15,0)&lt;VLOOKUP(BX15,$BJ$14:$BM$45,4,FALSE)/$EX$5,"B",""),""))</x:f>
        <x:v/>
      </x:c>
    </x:row>
    <x:row r="56" spans="1:193" ht="12.6" hidden="1" customHeight="1" x14ac:dyDescent="0.2">
      <x:c r="BZ56" s="293"/>
      <x:c r="CA56" s="293"/>
      <x:c r="CB56" s="365" t="str">
        <x:f t="shared" si="100"/>
        <x:v/>
      </x:c>
      <x:c r="CC56" s="366" t="str">
        <x:f>IF(CG16="","",VLOOKUP(CG16,SectInfo!$B:$N,12,FALSE))</x:f>
        <x:v/>
      </x:c>
      <x:c r="CD56" s="1305" t="str">
        <x:f>IF(ISBLANK(CN16),IF(CG16="","",VLOOKUP(CG16,SectInfo!$B:$N,13,FALSE)),CN16)</x:f>
        <x:v/>
      </x:c>
      <x:c r="CE56" s="1305" t="str">
        <x:f>IF(CG16="","",IF(VLOOKUP(CG16,SectInfo!$B:$N,5,FALSE)="","R",UPPER(VLOOKUP(CG16,SectInfo!$B:$N,5,FALSE))))</x:f>
        <x:v/>
      </x:c>
      <x:c r="CF56" s="1305" t="str">
        <x:f>IF(ISBLANK(CP16),IF(CG16="","",VLOOKUP(CG16,SectInfo!$B:$N,6,FALSE)),CP16)</x:f>
        <x:v/>
      </x:c>
      <x:c r="CG56" s="1305" t="str">
        <x:f>IF(CG16="","",IF(VLOOKUP(CG16,SectInfo!$B:$N,10,FALSE)="","",(VLOOKUP(CG16,SectInfo!$B:$N,10,FALSE)*-1)))</x:f>
        <x:v/>
      </x:c>
      <x:c r="CH56" s="1305" t="str">
        <x:f>IF(CG16="","",IF(VLOOKUP(CG16,SectInfo!$B:$N,7,FALSE)="","",(VLOOKUP(CG16,SectInfo!$B:$N,7,FALSE)*-1)))</x:f>
        <x:v/>
      </x:c>
      <x:c r="CI56" s="1305" t="str">
        <x:f>IF(CG16="","",IF(VLOOKUP(CG16,SectInfo!$B:$N,8,FALSE)="",$FC$4,(VLOOKUP(CG16,SectInfo!$B:$N,8,FALSE))))</x:f>
        <x:v/>
      </x:c>
      <x:c r="CJ56" s="1305" t="str">
        <x:f>IF(CG16="","",VLOOKUP(CG16,SectInfo!$B:$N,9,FALSE))</x:f>
        <x:v/>
      </x:c>
      <x:c r="CK56" s="1306">
        <x:f t="shared" si="101"/>
        <x:v>0</x:v>
      </x:c>
      <x:c r="CL56" s="1304" t="str">
        <x:f>IF(CQ16="","",VLOOKUP(CQ16,SectInfo!$B:$N,12,FALSE))</x:f>
        <x:v/>
      </x:c>
      <x:c r="CM56" s="1305" t="str">
        <x:f>IF(ISBLANK(CX16),IF(CQ16="","",VLOOKUP(CQ16,SectInfo!$B:$N,13,FALSE)),CX16)</x:f>
        <x:v/>
      </x:c>
      <x:c r="CN56" s="1305" t="str">
        <x:f>IF(CQ16="","",IF(VLOOKUP(CQ16,SectInfo!$B:$N,5,FALSE)="","R",UPPER(VLOOKUP(CQ16,SectInfo!$B:$N,5,FALSE))))</x:f>
        <x:v/>
      </x:c>
      <x:c r="CO56" s="1305" t="str">
        <x:f>IF(ISBLANK(CZ16),IF(CQ16="","",VLOOKUP(CQ16,SectInfo!$B:$N,6,FALSE)),CZ16)</x:f>
        <x:v/>
      </x:c>
      <x:c r="CP56" s="1305" t="str">
        <x:f>IF(CQ16="","",IF(VLOOKUP(CQ16,SectInfo!$B:$N,10,FALSE)="","",(VLOOKUP(CQ16,SectInfo!$B:$N,10,FALSE)*-1)))</x:f>
        <x:v/>
      </x:c>
      <x:c r="CQ56" s="1305" t="str">
        <x:f>IF(CQ16="","",IF(VLOOKUP(CQ16,SectInfo!$B:$N,7,FALSE)="","",(VLOOKUP(CQ16,SectInfo!$B:$N,7,FALSE)*-1)))</x:f>
        <x:v/>
      </x:c>
      <x:c r="CR56" s="1305" t="str">
        <x:f>IF(CQ16="","",IF(VLOOKUP(CQ16,SectInfo!$B:$N,8,FALSE)="",$FC$4,(VLOOKUP(CQ16,SectInfo!$B:$N,8,FALSE))))</x:f>
        <x:v/>
      </x:c>
      <x:c r="CS56" s="1305" t="str">
        <x:f>IF(CQ16="","",VLOOKUP(CQ16,SectInfo!$B:$N,9,FALSE))</x:f>
        <x:v/>
      </x:c>
      <x:c r="CT56" s="1306">
        <x:f t="shared" si="102"/>
        <x:v>0</x:v>
      </x:c>
      <x:c r="CU56" s="1316">
        <x:f t="shared" si="103"/>
        <x:v>0</x:v>
      </x:c>
      <x:c r="CV56" s="1310" t="str">
        <x:f t="shared" si="104"/>
        <x:v/>
      </x:c>
      <x:c r="CW56" s="1310" t="str">
        <x:f t="shared" si="105"/>
        <x:v/>
      </x:c>
      <x:c r="CX56" s="1310" t="str">
        <x:f t="shared" si="106"/>
        <x:v/>
      </x:c>
      <x:c r="CY56" s="1312">
        <x:f t="shared" si="107"/>
        <x:v>0</x:v>
      </x:c>
      <x:c r="CZ56" s="1312">
        <x:f t="shared" si="108"/>
        <x:v>0</x:v>
      </x:c>
      <x:c r="DA56" s="1312" t="str">
        <x:f t="shared" si="109"/>
        <x:v/>
      </x:c>
      <x:c r="DB56" s="1310" t="str">
        <x:f t="shared" si="173"/>
        <x:v/>
      </x:c>
      <x:c r="DC56" s="1310" t="str">
        <x:f t="shared" si="110"/>
        <x:v/>
      </x:c>
      <x:c r="DD56" s="875">
        <x:f t="shared" si="174"/>
        <x:v>0</x:v>
      </x:c>
      <x:c r="DE56" s="873">
        <x:f t="shared" si="111"/>
        <x:v>0</x:v>
      </x:c>
      <x:c r="DF56" s="874">
        <x:f t="shared" si="112"/>
        <x:v>0</x:v>
      </x:c>
      <x:c r="DG56" s="874" t="str">
        <x:f t="shared" si="113"/>
        <x:v/>
      </x:c>
      <x:c r="DH56" s="1310" t="str">
        <x:f t="shared" si="175"/>
        <x:v/>
      </x:c>
      <x:c r="DI56" s="1310" t="str">
        <x:f t="shared" si="114"/>
        <x:v/>
      </x:c>
      <x:c r="DJ56" s="1311">
        <x:f t="shared" si="176"/>
        <x:v>0</x:v>
      </x:c>
      <x:c r="DK56" s="1310" t="str">
        <x:f t="shared" si="115"/>
        <x:v/>
      </x:c>
      <x:c r="DL56" s="1310" t="str">
        <x:f t="shared" si="116"/>
        <x:v/>
      </x:c>
      <x:c r="DM56" s="1310" t="str">
        <x:f t="shared" si="117"/>
        <x:v/>
      </x:c>
      <x:c r="DN56" s="1310" t="str">
        <x:f t="shared" si="118"/>
        <x:v/>
      </x:c>
      <x:c r="DO56" s="889" t="str">
        <x:f t="shared" si="119"/>
        <x:v>ERR</x:v>
      </x:c>
      <x:c r="DP56" s="889" t="str">
        <x:f t="shared" si="120"/>
        <x:v>ERR</x:v>
      </x:c>
      <x:c r="DQ56" s="1310" t="str">
        <x:f t="shared" si="121"/>
        <x:v/>
      </x:c>
      <x:c r="DR56" s="1310" t="str">
        <x:f t="shared" si="121"/>
        <x:v/>
      </x:c>
      <x:c r="DS56" s="1310" t="str">
        <x:f t="shared" si="122"/>
        <x:v/>
      </x:c>
      <x:c r="DT56" s="1310" t="str">
        <x:f t="shared" si="123"/>
        <x:v/>
      </x:c>
      <x:c r="DU56" s="1310" t="str">
        <x:f t="shared" si="124"/>
        <x:v/>
      </x:c>
      <x:c r="DV56" s="889" t="str">
        <x:f t="shared" si="125"/>
        <x:v>ERR</x:v>
      </x:c>
      <x:c r="DW56" s="889" t="str">
        <x:f t="shared" si="126"/>
        <x:v>ERR</x:v>
      </x:c>
      <x:c r="DX56" s="873" t="str">
        <x:f t="shared" si="127"/>
        <x:v/>
      </x:c>
      <x:c r="DY56" s="873" t="str">
        <x:f t="shared" si="127"/>
        <x:v/>
      </x:c>
      <x:c r="DZ56" s="873" t="str">
        <x:f t="shared" si="128"/>
        <x:v/>
      </x:c>
      <x:c r="EA56" s="873" t="str">
        <x:f t="shared" si="129"/>
        <x:v/>
      </x:c>
      <x:c r="EB56" s="876" t="str">
        <x:f t="shared" si="130"/>
        <x:v/>
      </x:c>
      <x:c r="EC56" s="877" t="str">
        <x:f t="shared" si="131"/>
        <x:v/>
      </x:c>
      <x:c r="ED56" s="876" t="str">
        <x:f t="shared" si="132"/>
        <x:v/>
      </x:c>
      <x:c r="EE56" s="876" t="str">
        <x:f t="shared" si="133"/>
        <x:v/>
      </x:c>
      <x:c r="EF56" s="876" t="str">
        <x:f t="shared" si="134"/>
        <x:v/>
      </x:c>
      <x:c r="EG56" s="876" t="str">
        <x:f t="shared" si="135"/>
        <x:v/>
      </x:c>
      <x:c r="EH56" s="876" t="str">
        <x:f t="shared" si="136"/>
        <x:v/>
      </x:c>
      <x:c r="EI56" s="876" t="str">
        <x:f t="shared" si="137"/>
        <x:v/>
      </x:c>
      <x:c r="EJ56" s="876" t="str">
        <x:f t="shared" si="138"/>
        <x:v/>
      </x:c>
      <x:c r="EK56" s="874">
        <x:f t="shared" si="139"/>
        <x:v>0</x:v>
      </x:c>
      <x:c r="EL56" s="874">
        <x:f t="shared" si="140"/>
        <x:v>0</x:v>
      </x:c>
      <x:c r="EM56" s="874">
        <x:f t="shared" si="141"/>
        <x:v>0</x:v>
      </x:c>
      <x:c r="EN56" s="874" t="str">
        <x:f t="shared" si="142"/>
        <x:v/>
      </x:c>
      <x:c r="EO56" s="873" t="str">
        <x:f t="shared" si="143"/>
        <x:v/>
      </x:c>
      <x:c r="EP56" s="874">
        <x:f t="shared" si="144"/>
        <x:v>0</x:v>
      </x:c>
      <x:c r="EQ56" s="874">
        <x:f t="shared" si="145"/>
        <x:v>0</x:v>
      </x:c>
      <x:c r="ER56" s="874">
        <x:f t="shared" si="146"/>
        <x:v>0</x:v>
      </x:c>
      <x:c r="ES56" s="874" t="str">
        <x:f t="shared" si="147"/>
        <x:v/>
      </x:c>
      <x:c r="ET56" s="873" t="str">
        <x:f t="shared" si="148"/>
        <x:v/>
      </x:c>
      <x:c r="EU56" s="873">
        <x:f t="shared" si="149"/>
        <x:v>0</x:v>
      </x:c>
      <x:c r="EV56" s="876" t="e">
        <x:f t="shared" si="150"/>
        <x:v>#VALUE!</x:v>
      </x:c>
      <x:c r="EW56" s="876" t="e">
        <x:f t="shared" si="151"/>
        <x:v>#VALUE!</x:v>
      </x:c>
      <x:c r="EX56" s="878" t="str">
        <x:f t="shared" si="152"/>
        <x:v/>
      </x:c>
      <x:c r="EY56" s="879">
        <x:f t="shared" si="153"/>
        <x:v>25</x:v>
      </x:c>
      <x:c r="EZ56" s="959">
        <x:f t="shared" si="154"/>
        <x:v>0</x:v>
      </x:c>
      <x:c r="FA56" s="960">
        <x:f t="shared" si="155"/>
        <x:v>0</x:v>
      </x:c>
      <x:c r="FB56" s="880" t="str">
        <x:f t="shared" si="156"/>
        <x:v/>
      </x:c>
      <x:c r="FC56" s="881" t="str">
        <x:f t="shared" si="157"/>
        <x:v/>
      </x:c>
      <x:c r="FD56" s="890">
        <x:f t="shared" si="158"/>
        <x:v>0</x:v>
      </x:c>
      <x:c r="FE56" s="833">
        <x:f t="shared" si="159"/>
        <x:v>0</x:v>
      </x:c>
      <x:c r="FF56" s="754" t="b">
        <x:f t="shared" si="160"/>
        <x:v>0</x:v>
      </x:c>
      <x:c r="FG56" s="754" t="b">
        <x:f t="shared" si="161"/>
        <x:v>0</x:v>
      </x:c>
      <x:c r="FH56" s="754" t="b">
        <x:f t="shared" si="162"/>
        <x:v>0</x:v>
      </x:c>
      <x:c r="FI56" s="754" t="b">
        <x:f t="shared" si="163"/>
        <x:v>0</x:v>
      </x:c>
      <x:c r="FJ56" s="920" t="str">
        <x:f t="shared" si="177"/>
        <x:v/>
      </x:c>
      <x:c r="FK56" s="919" t="str">
        <x:f t="shared" si="178"/>
        <x:v/>
      </x:c>
      <x:c r="FL56" s="320" t="e">
        <x:f t="shared" si="179"/>
        <x:v>#N/A</x:v>
      </x:c>
      <x:c r="FM56" s="312" t="str">
        <x:f t="shared" si="164"/>
        <x:v/>
      </x:c>
      <x:c r="FN56" s="272" t="str">
        <x:f t="shared" ca="1" si="180"/>
        <x:v/>
      </x:c>
      <x:c r="FO56" s="273" t="str">
        <x:f t="shared" ca="1" si="181"/>
        <x:v/>
      </x:c>
      <x:c r="FP56" s="274" t="str">
        <x:f t="shared" ca="1" si="182"/>
        <x:v/>
      </x:c>
      <x:c r="FQ56" s="274" t="str">
        <x:f t="shared" ca="1" si="183"/>
        <x:v/>
      </x:c>
      <x:c r="FR56" s="321">
        <x:f t="shared" ca="1" si="184"/>
        <x:v>0</x:v>
      </x:c>
      <x:c r="FS56" s="322">
        <x:f t="shared" ca="1" si="185"/>
        <x:v>0</x:v>
      </x:c>
      <x:c r="FT56" s="272" t="str">
        <x:f t="shared" ca="1" si="186"/>
        <x:v/>
      </x:c>
      <x:c r="FU56" s="275" t="str">
        <x:f t="shared" ca="1" si="187"/>
        <x:v/>
      </x:c>
      <x:c r="FV56" s="323" t="str">
        <x:f t="shared" ca="1" si="165"/>
        <x:v/>
      </x:c>
      <x:c r="FW56" s="276" t="str">
        <x:f t="shared" ca="1" si="188"/>
        <x:v/>
      </x:c>
      <x:c r="FX56" s="276" t="str">
        <x:f t="shared" ca="1" si="189"/>
        <x:v/>
      </x:c>
      <x:c r="FY56" s="276" t="str">
        <x:f t="shared" ca="1" si="190"/>
        <x:v/>
      </x:c>
      <x:c r="FZ56" s="276" t="str">
        <x:f t="shared" ca="1" si="191"/>
        <x:v/>
      </x:c>
      <x:c r="GA56" s="276" t="str">
        <x:f t="shared" ca="1" si="192"/>
        <x:v/>
      </x:c>
      <x:c r="GB56" s="277" t="str">
        <x:f ca="1">IF(FY56="","",2+SUM(FO56:OFFSET(FO56,(FU56-1)*-1,0)))</x:f>
        <x:v/>
      </x:c>
      <x:c r="GC56" s="316" t="e">
        <x:f t="shared" si="193"/>
        <x:v>#N/A</x:v>
      </x:c>
      <x:c r="GD56" s="324" t="str">
        <x:f t="shared" si="166"/>
        <x:v/>
      </x:c>
      <x:c r="GE56" s="325" t="str">
        <x:f t="shared" si="167"/>
        <x:v/>
      </x:c>
      <x:c r="GF56" s="278" t="str">
        <x:f t="shared" si="168"/>
        <x:v/>
      </x:c>
      <x:c r="GG56" s="279" t="str">
        <x:f t="shared" si="169"/>
        <x:v/>
      </x:c>
      <x:c r="GH56" s="279" t="str">
        <x:f t="shared" si="170"/>
        <x:v/>
      </x:c>
      <x:c r="GI56" s="280" t="str">
        <x:f t="shared" si="171"/>
        <x:v/>
      </x:c>
      <x:c r="GJ56" s="530">
        <x:f t="shared" ca="1" si="172"/>
        <x:v>0</x:v>
      </x:c>
      <x:c r="GK56" s="895" t="str">
        <x:f t="shared" ca="1" si="194"/>
        <x:v/>
      </x:c>
    </x:row>
    <x:row r="57" spans="1:193" ht="12.6" hidden="1" customHeight="1" x14ac:dyDescent="0.2">
      <x:c r="BZ57" s="293"/>
      <x:c r="CA57" s="293"/>
      <x:c r="CB57" s="365" t="str">
        <x:f t="shared" si="100"/>
        <x:v/>
      </x:c>
      <x:c r="CC57" s="366" t="str">
        <x:f>IF(CG17="","",VLOOKUP(CG17,SectInfo!$B:$N,12,FALSE))</x:f>
        <x:v/>
      </x:c>
      <x:c r="CD57" s="1305" t="str">
        <x:f>IF(ISBLANK(CN17),IF(CG17="","",VLOOKUP(CG17,SectInfo!$B:$N,13,FALSE)),CN17)</x:f>
        <x:v/>
      </x:c>
      <x:c r="CE57" s="1305" t="str">
        <x:f>IF(CG17="","",IF(VLOOKUP(CG17,SectInfo!$B:$N,5,FALSE)="","R",UPPER(VLOOKUP(CG17,SectInfo!$B:$N,5,FALSE))))</x:f>
        <x:v/>
      </x:c>
      <x:c r="CF57" s="1305" t="str">
        <x:f>IF(ISBLANK(CP17),IF(CG17="","",VLOOKUP(CG17,SectInfo!$B:$N,6,FALSE)),CP17)</x:f>
        <x:v/>
      </x:c>
      <x:c r="CG57" s="1305" t="str">
        <x:f>IF(CG17="","",IF(VLOOKUP(CG17,SectInfo!$B:$N,10,FALSE)="","",(VLOOKUP(CG17,SectInfo!$B:$N,10,FALSE)*-1)))</x:f>
        <x:v/>
      </x:c>
      <x:c r="CH57" s="1305" t="str">
        <x:f>IF(CG17="","",IF(VLOOKUP(CG17,SectInfo!$B:$N,7,FALSE)="","",(VLOOKUP(CG17,SectInfo!$B:$N,7,FALSE)*-1)))</x:f>
        <x:v/>
      </x:c>
      <x:c r="CI57" s="1305" t="str">
        <x:f>IF(CG17="","",IF(VLOOKUP(CG17,SectInfo!$B:$N,8,FALSE)="",$FC$4,(VLOOKUP(CG17,SectInfo!$B:$N,8,FALSE))))</x:f>
        <x:v/>
      </x:c>
      <x:c r="CJ57" s="1305" t="str">
        <x:f>IF(CG17="","",VLOOKUP(CG17,SectInfo!$B:$N,9,FALSE))</x:f>
        <x:v/>
      </x:c>
      <x:c r="CK57" s="1306">
        <x:f t="shared" si="101"/>
        <x:v>0</x:v>
      </x:c>
      <x:c r="CL57" s="1304" t="str">
        <x:f>IF(CQ17="","",VLOOKUP(CQ17,SectInfo!$B:$N,12,FALSE))</x:f>
        <x:v/>
      </x:c>
      <x:c r="CM57" s="1305" t="str">
        <x:f>IF(ISBLANK(CX17),IF(CQ17="","",VLOOKUP(CQ17,SectInfo!$B:$N,13,FALSE)),CX17)</x:f>
        <x:v/>
      </x:c>
      <x:c r="CN57" s="1305" t="str">
        <x:f>IF(CQ17="","",IF(VLOOKUP(CQ17,SectInfo!$B:$N,5,FALSE)="","R",UPPER(VLOOKUP(CQ17,SectInfo!$B:$N,5,FALSE))))</x:f>
        <x:v/>
      </x:c>
      <x:c r="CO57" s="1305" t="str">
        <x:f>IF(ISBLANK(CZ17),IF(CQ17="","",VLOOKUP(CQ17,SectInfo!$B:$N,6,FALSE)),CZ17)</x:f>
        <x:v/>
      </x:c>
      <x:c r="CP57" s="1305" t="str">
        <x:f>IF(CQ17="","",IF(VLOOKUP(CQ17,SectInfo!$B:$N,10,FALSE)="","",(VLOOKUP(CQ17,SectInfo!$B:$N,10,FALSE)*-1)))</x:f>
        <x:v/>
      </x:c>
      <x:c r="CQ57" s="1305" t="str">
        <x:f>IF(CQ17="","",IF(VLOOKUP(CQ17,SectInfo!$B:$N,7,FALSE)="","",(VLOOKUP(CQ17,SectInfo!$B:$N,7,FALSE)*-1)))</x:f>
        <x:v/>
      </x:c>
      <x:c r="CR57" s="1305" t="str">
        <x:f>IF(CQ17="","",IF(VLOOKUP(CQ17,SectInfo!$B:$N,8,FALSE)="",$FC$4,(VLOOKUP(CQ17,SectInfo!$B:$N,8,FALSE))))</x:f>
        <x:v/>
      </x:c>
      <x:c r="CS57" s="1305" t="str">
        <x:f>IF(CQ17="","",VLOOKUP(CQ17,SectInfo!$B:$N,9,FALSE))</x:f>
        <x:v/>
      </x:c>
      <x:c r="CT57" s="1306">
        <x:f t="shared" si="102"/>
        <x:v>0</x:v>
      </x:c>
      <x:c r="CU57" s="1316">
        <x:f t="shared" si="103"/>
        <x:v>0</x:v>
      </x:c>
      <x:c r="CV57" s="1310" t="str">
        <x:f t="shared" si="104"/>
        <x:v/>
      </x:c>
      <x:c r="CW57" s="1310" t="str">
        <x:f t="shared" si="105"/>
        <x:v/>
      </x:c>
      <x:c r="CX57" s="1310" t="str">
        <x:f t="shared" si="106"/>
        <x:v/>
      </x:c>
      <x:c r="CY57" s="1312">
        <x:f t="shared" si="107"/>
        <x:v>0</x:v>
      </x:c>
      <x:c r="CZ57" s="1312">
        <x:f t="shared" si="108"/>
        <x:v>0</x:v>
      </x:c>
      <x:c r="DA57" s="1312" t="str">
        <x:f t="shared" si="109"/>
        <x:v/>
      </x:c>
      <x:c r="DB57" s="1310" t="str">
        <x:f t="shared" si="173"/>
        <x:v/>
      </x:c>
      <x:c r="DC57" s="1310" t="str">
        <x:f t="shared" si="110"/>
        <x:v/>
      </x:c>
      <x:c r="DD57" s="875">
        <x:f t="shared" si="174"/>
        <x:v>0</x:v>
      </x:c>
      <x:c r="DE57" s="873">
        <x:f t="shared" si="111"/>
        <x:v>0</x:v>
      </x:c>
      <x:c r="DF57" s="874">
        <x:f t="shared" si="112"/>
        <x:v>0</x:v>
      </x:c>
      <x:c r="DG57" s="874" t="str">
        <x:f t="shared" si="113"/>
        <x:v/>
      </x:c>
      <x:c r="DH57" s="1310" t="str">
        <x:f t="shared" si="175"/>
        <x:v/>
      </x:c>
      <x:c r="DI57" s="1310" t="str">
        <x:f t="shared" si="114"/>
        <x:v/>
      </x:c>
      <x:c r="DJ57" s="1311">
        <x:f t="shared" si="176"/>
        <x:v>0</x:v>
      </x:c>
      <x:c r="DK57" s="1310" t="str">
        <x:f t="shared" si="115"/>
        <x:v/>
      </x:c>
      <x:c r="DL57" s="1310" t="str">
        <x:f t="shared" si="116"/>
        <x:v/>
      </x:c>
      <x:c r="DM57" s="1310" t="str">
        <x:f t="shared" si="117"/>
        <x:v/>
      </x:c>
      <x:c r="DN57" s="1310" t="str">
        <x:f t="shared" si="118"/>
        <x:v/>
      </x:c>
      <x:c r="DO57" s="889" t="str">
        <x:f t="shared" si="119"/>
        <x:v>ERR</x:v>
      </x:c>
      <x:c r="DP57" s="889" t="str">
        <x:f t="shared" si="120"/>
        <x:v>ERR</x:v>
      </x:c>
      <x:c r="DQ57" s="1310" t="str">
        <x:f t="shared" si="121"/>
        <x:v/>
      </x:c>
      <x:c r="DR57" s="1310" t="str">
        <x:f t="shared" si="121"/>
        <x:v/>
      </x:c>
      <x:c r="DS57" s="1310" t="str">
        <x:f t="shared" si="122"/>
        <x:v/>
      </x:c>
      <x:c r="DT57" s="1310" t="str">
        <x:f t="shared" si="123"/>
        <x:v/>
      </x:c>
      <x:c r="DU57" s="1310" t="str">
        <x:f t="shared" si="124"/>
        <x:v/>
      </x:c>
      <x:c r="DV57" s="889" t="str">
        <x:f t="shared" si="125"/>
        <x:v>ERR</x:v>
      </x:c>
      <x:c r="DW57" s="889" t="str">
        <x:f t="shared" si="126"/>
        <x:v>ERR</x:v>
      </x:c>
      <x:c r="DX57" s="873" t="str">
        <x:f t="shared" si="127"/>
        <x:v/>
      </x:c>
      <x:c r="DY57" s="873" t="str">
        <x:f t="shared" si="127"/>
        <x:v/>
      </x:c>
      <x:c r="DZ57" s="873" t="str">
        <x:f t="shared" si="128"/>
        <x:v/>
      </x:c>
      <x:c r="EA57" s="873" t="str">
        <x:f t="shared" si="129"/>
        <x:v/>
      </x:c>
      <x:c r="EB57" s="876" t="str">
        <x:f t="shared" si="130"/>
        <x:v/>
      </x:c>
      <x:c r="EC57" s="877" t="str">
        <x:f t="shared" si="131"/>
        <x:v/>
      </x:c>
      <x:c r="ED57" s="876" t="str">
        <x:f t="shared" si="132"/>
        <x:v/>
      </x:c>
      <x:c r="EE57" s="876" t="str">
        <x:f t="shared" si="133"/>
        <x:v/>
      </x:c>
      <x:c r="EF57" s="876" t="str">
        <x:f t="shared" si="134"/>
        <x:v/>
      </x:c>
      <x:c r="EG57" s="876" t="str">
        <x:f t="shared" si="135"/>
        <x:v/>
      </x:c>
      <x:c r="EH57" s="876" t="str">
        <x:f t="shared" si="136"/>
        <x:v/>
      </x:c>
      <x:c r="EI57" s="876" t="str">
        <x:f t="shared" si="137"/>
        <x:v/>
      </x:c>
      <x:c r="EJ57" s="876" t="str">
        <x:f t="shared" si="138"/>
        <x:v/>
      </x:c>
      <x:c r="EK57" s="874">
        <x:f t="shared" si="139"/>
        <x:v>0</x:v>
      </x:c>
      <x:c r="EL57" s="874">
        <x:f t="shared" si="140"/>
        <x:v>0</x:v>
      </x:c>
      <x:c r="EM57" s="874">
        <x:f t="shared" si="141"/>
        <x:v>0</x:v>
      </x:c>
      <x:c r="EN57" s="874" t="str">
        <x:f t="shared" si="142"/>
        <x:v/>
      </x:c>
      <x:c r="EO57" s="873" t="str">
        <x:f t="shared" si="143"/>
        <x:v/>
      </x:c>
      <x:c r="EP57" s="874">
        <x:f t="shared" si="144"/>
        <x:v>0</x:v>
      </x:c>
      <x:c r="EQ57" s="874">
        <x:f t="shared" si="145"/>
        <x:v>0</x:v>
      </x:c>
      <x:c r="ER57" s="874">
        <x:f t="shared" si="146"/>
        <x:v>0</x:v>
      </x:c>
      <x:c r="ES57" s="874" t="str">
        <x:f t="shared" si="147"/>
        <x:v/>
      </x:c>
      <x:c r="ET57" s="873" t="str">
        <x:f t="shared" si="148"/>
        <x:v/>
      </x:c>
      <x:c r="EU57" s="873">
        <x:f t="shared" si="149"/>
        <x:v>0</x:v>
      </x:c>
      <x:c r="EV57" s="876" t="e">
        <x:f t="shared" si="150"/>
        <x:v>#VALUE!</x:v>
      </x:c>
      <x:c r="EW57" s="876" t="e">
        <x:f t="shared" si="151"/>
        <x:v>#VALUE!</x:v>
      </x:c>
      <x:c r="EX57" s="878" t="str">
        <x:f t="shared" si="152"/>
        <x:v/>
      </x:c>
      <x:c r="EY57" s="879">
        <x:f t="shared" si="153"/>
        <x:v>25</x:v>
      </x:c>
      <x:c r="EZ57" s="959">
        <x:f t="shared" si="154"/>
        <x:v>0</x:v>
      </x:c>
      <x:c r="FA57" s="960">
        <x:f t="shared" si="155"/>
        <x:v>0</x:v>
      </x:c>
      <x:c r="FB57" s="880" t="str">
        <x:f t="shared" si="156"/>
        <x:v/>
      </x:c>
      <x:c r="FC57" s="881" t="str">
        <x:f t="shared" si="157"/>
        <x:v/>
      </x:c>
      <x:c r="FD57" s="890">
        <x:f t="shared" si="158"/>
        <x:v>0</x:v>
      </x:c>
      <x:c r="FE57" s="833">
        <x:f t="shared" si="159"/>
        <x:v>0</x:v>
      </x:c>
      <x:c r="FF57" s="754" t="b">
        <x:f t="shared" si="160"/>
        <x:v>0</x:v>
      </x:c>
      <x:c r="FG57" s="754" t="b">
        <x:f t="shared" si="161"/>
        <x:v>0</x:v>
      </x:c>
      <x:c r="FH57" s="754" t="b">
        <x:f t="shared" si="162"/>
        <x:v>0</x:v>
      </x:c>
      <x:c r="FI57" s="754" t="b">
        <x:f t="shared" si="163"/>
        <x:v>0</x:v>
      </x:c>
      <x:c r="FJ57" s="920" t="str">
        <x:f t="shared" si="177"/>
        <x:v/>
      </x:c>
      <x:c r="FK57" s="919" t="str">
        <x:f t="shared" si="178"/>
        <x:v/>
      </x:c>
      <x:c r="FL57" s="320" t="e">
        <x:f t="shared" si="179"/>
        <x:v>#N/A</x:v>
      </x:c>
      <x:c r="FM57" s="312" t="str">
        <x:f t="shared" si="164"/>
        <x:v/>
      </x:c>
      <x:c r="FN57" s="272" t="str">
        <x:f t="shared" ca="1" si="180"/>
        <x:v/>
      </x:c>
      <x:c r="FO57" s="273" t="str">
        <x:f t="shared" ca="1" si="181"/>
        <x:v/>
      </x:c>
      <x:c r="FP57" s="274" t="str">
        <x:f t="shared" ca="1" si="182"/>
        <x:v/>
      </x:c>
      <x:c r="FQ57" s="274" t="str">
        <x:f t="shared" ca="1" si="183"/>
        <x:v/>
      </x:c>
      <x:c r="FR57" s="321">
        <x:f t="shared" ca="1" si="184"/>
        <x:v>0</x:v>
      </x:c>
      <x:c r="FS57" s="322">
        <x:f t="shared" ca="1" si="185"/>
        <x:v>0</x:v>
      </x:c>
      <x:c r="FT57" s="272" t="str">
        <x:f t="shared" ca="1" si="186"/>
        <x:v/>
      </x:c>
      <x:c r="FU57" s="275" t="str">
        <x:f t="shared" ca="1" si="187"/>
        <x:v/>
      </x:c>
      <x:c r="FV57" s="323" t="str">
        <x:f t="shared" ca="1" si="165"/>
        <x:v/>
      </x:c>
      <x:c r="FW57" s="276" t="str">
        <x:f t="shared" ca="1" si="188"/>
        <x:v/>
      </x:c>
      <x:c r="FX57" s="276" t="str">
        <x:f t="shared" ca="1" si="189"/>
        <x:v/>
      </x:c>
      <x:c r="FY57" s="276" t="str">
        <x:f t="shared" ca="1" si="190"/>
        <x:v/>
      </x:c>
      <x:c r="FZ57" s="276" t="str">
        <x:f t="shared" ca="1" si="191"/>
        <x:v/>
      </x:c>
      <x:c r="GA57" s="276" t="str">
        <x:f t="shared" ca="1" si="192"/>
        <x:v/>
      </x:c>
      <x:c r="GB57" s="277" t="str">
        <x:f ca="1">IF(FY57="","",2+SUM(FO57:OFFSET(FO57,(FU57-1)*-1,0)))</x:f>
        <x:v/>
      </x:c>
      <x:c r="GC57" s="316" t="e">
        <x:f t="shared" si="193"/>
        <x:v>#N/A</x:v>
      </x:c>
      <x:c r="GD57" s="324" t="str">
        <x:f t="shared" si="166"/>
        <x:v/>
      </x:c>
      <x:c r="GE57" s="325" t="str">
        <x:f t="shared" si="167"/>
        <x:v/>
      </x:c>
      <x:c r="GF57" s="278" t="str">
        <x:f t="shared" si="168"/>
        <x:v/>
      </x:c>
      <x:c r="GG57" s="279" t="str">
        <x:f t="shared" si="169"/>
        <x:v/>
      </x:c>
      <x:c r="GH57" s="279" t="str">
        <x:f t="shared" si="170"/>
        <x:v/>
      </x:c>
      <x:c r="GI57" s="280" t="str">
        <x:f t="shared" si="171"/>
        <x:v/>
      </x:c>
      <x:c r="GJ57" s="530">
        <x:f t="shared" ca="1" si="172"/>
        <x:v>0</x:v>
      </x:c>
      <x:c r="GK57" s="895" t="str">
        <x:f t="shared" ca="1" si="194"/>
        <x:v/>
      </x:c>
    </x:row>
    <x:row r="58" spans="1:193" ht="12.6" hidden="1" customHeight="1" x14ac:dyDescent="0.2">
      <x:c r="BZ58" s="293"/>
      <x:c r="CA58" s="293"/>
      <x:c r="CB58" s="365" t="str">
        <x:f t="shared" si="100"/>
        <x:v/>
      </x:c>
      <x:c r="CC58" s="366" t="str">
        <x:f>IF(CG18="","",VLOOKUP(CG18,SectInfo!$B:$N,12,FALSE))</x:f>
        <x:v/>
      </x:c>
      <x:c r="CD58" s="1305" t="str">
        <x:f>IF(ISBLANK(CN18),IF(CG18="","",VLOOKUP(CG18,SectInfo!$B:$N,13,FALSE)),CN18)</x:f>
        <x:v/>
      </x:c>
      <x:c r="CE58" s="1305" t="str">
        <x:f>IF(CG18="","",IF(VLOOKUP(CG18,SectInfo!$B:$N,5,FALSE)="","R",UPPER(VLOOKUP(CG18,SectInfo!$B:$N,5,FALSE))))</x:f>
        <x:v/>
      </x:c>
      <x:c r="CF58" s="1305" t="str">
        <x:f>IF(ISBLANK(CP18),IF(CG18="","",VLOOKUP(CG18,SectInfo!$B:$N,6,FALSE)),CP18)</x:f>
        <x:v/>
      </x:c>
      <x:c r="CG58" s="1305" t="str">
        <x:f>IF(CG18="","",IF(VLOOKUP(CG18,SectInfo!$B:$N,10,FALSE)="","",(VLOOKUP(CG18,SectInfo!$B:$N,10,FALSE)*-1)))</x:f>
        <x:v/>
      </x:c>
      <x:c r="CH58" s="1305" t="str">
        <x:f>IF(CG18="","",IF(VLOOKUP(CG18,SectInfo!$B:$N,7,FALSE)="","",(VLOOKUP(CG18,SectInfo!$B:$N,7,FALSE)*-1)))</x:f>
        <x:v/>
      </x:c>
      <x:c r="CI58" s="1305" t="str">
        <x:f>IF(CG18="","",IF(VLOOKUP(CG18,SectInfo!$B:$N,8,FALSE)="",$FC$4,(VLOOKUP(CG18,SectInfo!$B:$N,8,FALSE))))</x:f>
        <x:v/>
      </x:c>
      <x:c r="CJ58" s="1305" t="str">
        <x:f>IF(CG18="","",VLOOKUP(CG18,SectInfo!$B:$N,9,FALSE))</x:f>
        <x:v/>
      </x:c>
      <x:c r="CK58" s="1306">
        <x:f t="shared" si="101"/>
        <x:v>0</x:v>
      </x:c>
      <x:c r="CL58" s="1304" t="str">
        <x:f>IF(CQ18="","",VLOOKUP(CQ18,SectInfo!$B:$N,12,FALSE))</x:f>
        <x:v/>
      </x:c>
      <x:c r="CM58" s="1305" t="str">
        <x:f>IF(ISBLANK(CX18),IF(CQ18="","",VLOOKUP(CQ18,SectInfo!$B:$N,13,FALSE)),CX18)</x:f>
        <x:v/>
      </x:c>
      <x:c r="CN58" s="1305" t="str">
        <x:f>IF(CQ18="","",IF(VLOOKUP(CQ18,SectInfo!$B:$N,5,FALSE)="","R",UPPER(VLOOKUP(CQ18,SectInfo!$B:$N,5,FALSE))))</x:f>
        <x:v/>
      </x:c>
      <x:c r="CO58" s="1305" t="str">
        <x:f>IF(ISBLANK(CZ18),IF(CQ18="","",VLOOKUP(CQ18,SectInfo!$B:$N,6,FALSE)),CZ18)</x:f>
        <x:v/>
      </x:c>
      <x:c r="CP58" s="1305" t="str">
        <x:f>IF(CQ18="","",IF(VLOOKUP(CQ18,SectInfo!$B:$N,10,FALSE)="","",(VLOOKUP(CQ18,SectInfo!$B:$N,10,FALSE)*-1)))</x:f>
        <x:v/>
      </x:c>
      <x:c r="CQ58" s="1305" t="str">
        <x:f>IF(CQ18="","",IF(VLOOKUP(CQ18,SectInfo!$B:$N,7,FALSE)="","",(VLOOKUP(CQ18,SectInfo!$B:$N,7,FALSE)*-1)))</x:f>
        <x:v/>
      </x:c>
      <x:c r="CR58" s="1305" t="str">
        <x:f>IF(CQ18="","",IF(VLOOKUP(CQ18,SectInfo!$B:$N,8,FALSE)="",$FC$4,(VLOOKUP(CQ18,SectInfo!$B:$N,8,FALSE))))</x:f>
        <x:v/>
      </x:c>
      <x:c r="CS58" s="1305" t="str">
        <x:f>IF(CQ18="","",VLOOKUP(CQ18,SectInfo!$B:$N,9,FALSE))</x:f>
        <x:v/>
      </x:c>
      <x:c r="CT58" s="1306">
        <x:f t="shared" si="102"/>
        <x:v>0</x:v>
      </x:c>
      <x:c r="CU58" s="1316">
        <x:f t="shared" si="103"/>
        <x:v>0</x:v>
      </x:c>
      <x:c r="CV58" s="1310" t="str">
        <x:f t="shared" si="104"/>
        <x:v/>
      </x:c>
      <x:c r="CW58" s="1310" t="str">
        <x:f t="shared" si="105"/>
        <x:v/>
      </x:c>
      <x:c r="CX58" s="1310" t="str">
        <x:f t="shared" si="106"/>
        <x:v/>
      </x:c>
      <x:c r="CY58" s="1312">
        <x:f t="shared" si="107"/>
        <x:v>0</x:v>
      </x:c>
      <x:c r="CZ58" s="1312">
        <x:f t="shared" si="108"/>
        <x:v>0</x:v>
      </x:c>
      <x:c r="DA58" s="1312" t="str">
        <x:f t="shared" si="109"/>
        <x:v/>
      </x:c>
      <x:c r="DB58" s="1310" t="str">
        <x:f t="shared" si="173"/>
        <x:v/>
      </x:c>
      <x:c r="DC58" s="1310" t="str">
        <x:f t="shared" si="110"/>
        <x:v/>
      </x:c>
      <x:c r="DD58" s="875">
        <x:f t="shared" si="174"/>
        <x:v>0</x:v>
      </x:c>
      <x:c r="DE58" s="873">
        <x:f t="shared" si="111"/>
        <x:v>0</x:v>
      </x:c>
      <x:c r="DF58" s="874">
        <x:f t="shared" si="112"/>
        <x:v>0</x:v>
      </x:c>
      <x:c r="DG58" s="874" t="str">
        <x:f t="shared" si="113"/>
        <x:v/>
      </x:c>
      <x:c r="DH58" s="1310" t="str">
        <x:f t="shared" si="175"/>
        <x:v/>
      </x:c>
      <x:c r="DI58" s="1310" t="str">
        <x:f t="shared" si="114"/>
        <x:v/>
      </x:c>
      <x:c r="DJ58" s="1311">
        <x:f t="shared" si="176"/>
        <x:v>0</x:v>
      </x:c>
      <x:c r="DK58" s="1310" t="str">
        <x:f t="shared" si="115"/>
        <x:v/>
      </x:c>
      <x:c r="DL58" s="1310" t="str">
        <x:f t="shared" si="116"/>
        <x:v/>
      </x:c>
      <x:c r="DM58" s="1310" t="str">
        <x:f t="shared" si="117"/>
        <x:v/>
      </x:c>
      <x:c r="DN58" s="1310" t="str">
        <x:f t="shared" si="118"/>
        <x:v/>
      </x:c>
      <x:c r="DO58" s="889" t="str">
        <x:f t="shared" si="119"/>
        <x:v>ERR</x:v>
      </x:c>
      <x:c r="DP58" s="889" t="str">
        <x:f t="shared" si="120"/>
        <x:v>ERR</x:v>
      </x:c>
      <x:c r="DQ58" s="1310" t="str">
        <x:f t="shared" si="121"/>
        <x:v/>
      </x:c>
      <x:c r="DR58" s="1310" t="str">
        <x:f t="shared" si="121"/>
        <x:v/>
      </x:c>
      <x:c r="DS58" s="1310" t="str">
        <x:f t="shared" si="122"/>
        <x:v/>
      </x:c>
      <x:c r="DT58" s="1310" t="str">
        <x:f t="shared" si="123"/>
        <x:v/>
      </x:c>
      <x:c r="DU58" s="1310" t="str">
        <x:f t="shared" si="124"/>
        <x:v/>
      </x:c>
      <x:c r="DV58" s="889" t="str">
        <x:f t="shared" si="125"/>
        <x:v>ERR</x:v>
      </x:c>
      <x:c r="DW58" s="889" t="str">
        <x:f t="shared" si="126"/>
        <x:v>ERR</x:v>
      </x:c>
      <x:c r="DX58" s="873" t="str">
        <x:f t="shared" si="127"/>
        <x:v/>
      </x:c>
      <x:c r="DY58" s="873" t="str">
        <x:f t="shared" si="127"/>
        <x:v/>
      </x:c>
      <x:c r="DZ58" s="873" t="str">
        <x:f t="shared" si="128"/>
        <x:v/>
      </x:c>
      <x:c r="EA58" s="873" t="str">
        <x:f t="shared" si="129"/>
        <x:v/>
      </x:c>
      <x:c r="EB58" s="876" t="str">
        <x:f t="shared" si="130"/>
        <x:v/>
      </x:c>
      <x:c r="EC58" s="877" t="str">
        <x:f t="shared" si="131"/>
        <x:v/>
      </x:c>
      <x:c r="ED58" s="876" t="str">
        <x:f t="shared" si="132"/>
        <x:v/>
      </x:c>
      <x:c r="EE58" s="876" t="str">
        <x:f t="shared" si="133"/>
        <x:v/>
      </x:c>
      <x:c r="EF58" s="876" t="str">
        <x:f t="shared" si="134"/>
        <x:v/>
      </x:c>
      <x:c r="EG58" s="876" t="str">
        <x:f t="shared" si="135"/>
        <x:v/>
      </x:c>
      <x:c r="EH58" s="876" t="str">
        <x:f t="shared" si="136"/>
        <x:v/>
      </x:c>
      <x:c r="EI58" s="876" t="str">
        <x:f t="shared" si="137"/>
        <x:v/>
      </x:c>
      <x:c r="EJ58" s="876" t="str">
        <x:f t="shared" si="138"/>
        <x:v/>
      </x:c>
      <x:c r="EK58" s="874">
        <x:f t="shared" si="139"/>
        <x:v>0</x:v>
      </x:c>
      <x:c r="EL58" s="874">
        <x:f t="shared" si="140"/>
        <x:v>0</x:v>
      </x:c>
      <x:c r="EM58" s="874">
        <x:f t="shared" si="141"/>
        <x:v>0</x:v>
      </x:c>
      <x:c r="EN58" s="874" t="str">
        <x:f t="shared" si="142"/>
        <x:v/>
      </x:c>
      <x:c r="EO58" s="873" t="str">
        <x:f t="shared" si="143"/>
        <x:v/>
      </x:c>
      <x:c r="EP58" s="874">
        <x:f t="shared" si="144"/>
        <x:v>0</x:v>
      </x:c>
      <x:c r="EQ58" s="874">
        <x:f t="shared" si="145"/>
        <x:v>0</x:v>
      </x:c>
      <x:c r="ER58" s="874">
        <x:f t="shared" si="146"/>
        <x:v>0</x:v>
      </x:c>
      <x:c r="ES58" s="874" t="str">
        <x:f t="shared" si="147"/>
        <x:v/>
      </x:c>
      <x:c r="ET58" s="873" t="str">
        <x:f t="shared" si="148"/>
        <x:v/>
      </x:c>
      <x:c r="EU58" s="873">
        <x:f t="shared" si="149"/>
        <x:v>0</x:v>
      </x:c>
      <x:c r="EV58" s="876" t="e">
        <x:f t="shared" si="150"/>
        <x:v>#VALUE!</x:v>
      </x:c>
      <x:c r="EW58" s="876" t="e">
        <x:f t="shared" si="151"/>
        <x:v>#VALUE!</x:v>
      </x:c>
      <x:c r="EX58" s="878" t="str">
        <x:f t="shared" si="152"/>
        <x:v/>
      </x:c>
      <x:c r="EY58" s="879">
        <x:f t="shared" si="153"/>
        <x:v>25</x:v>
      </x:c>
      <x:c r="EZ58" s="959">
        <x:f t="shared" si="154"/>
        <x:v>0</x:v>
      </x:c>
      <x:c r="FA58" s="960">
        <x:f t="shared" si="155"/>
        <x:v>0</x:v>
      </x:c>
      <x:c r="FB58" s="880" t="str">
        <x:f t="shared" si="156"/>
        <x:v/>
      </x:c>
      <x:c r="FC58" s="881" t="str">
        <x:f t="shared" si="157"/>
        <x:v/>
      </x:c>
      <x:c r="FD58" s="890">
        <x:f t="shared" si="158"/>
        <x:v>0</x:v>
      </x:c>
      <x:c r="FE58" s="833">
        <x:f t="shared" si="159"/>
        <x:v>0</x:v>
      </x:c>
      <x:c r="FF58" s="754" t="b">
        <x:f t="shared" si="160"/>
        <x:v>0</x:v>
      </x:c>
      <x:c r="FG58" s="754" t="b">
        <x:f t="shared" si="161"/>
        <x:v>0</x:v>
      </x:c>
      <x:c r="FH58" s="754" t="b">
        <x:f t="shared" si="162"/>
        <x:v>0</x:v>
      </x:c>
      <x:c r="FI58" s="754" t="b">
        <x:f t="shared" si="163"/>
        <x:v>0</x:v>
      </x:c>
      <x:c r="FJ58" s="920" t="str">
        <x:f t="shared" si="177"/>
        <x:v/>
      </x:c>
      <x:c r="FK58" s="919" t="str">
        <x:f t="shared" si="178"/>
        <x:v/>
      </x:c>
      <x:c r="FL58" s="320" t="e">
        <x:f t="shared" si="179"/>
        <x:v>#N/A</x:v>
      </x:c>
      <x:c r="FM58" s="312" t="str">
        <x:f t="shared" si="164"/>
        <x:v/>
      </x:c>
      <x:c r="FN58" s="272" t="str">
        <x:f t="shared" ca="1" si="180"/>
        <x:v/>
      </x:c>
      <x:c r="FO58" s="273" t="str">
        <x:f t="shared" ca="1" si="181"/>
        <x:v/>
      </x:c>
      <x:c r="FP58" s="274" t="str">
        <x:f t="shared" ca="1" si="182"/>
        <x:v/>
      </x:c>
      <x:c r="FQ58" s="274" t="str">
        <x:f t="shared" ca="1" si="183"/>
        <x:v/>
      </x:c>
      <x:c r="FR58" s="321">
        <x:f t="shared" ca="1" si="184"/>
        <x:v>0</x:v>
      </x:c>
      <x:c r="FS58" s="322">
        <x:f t="shared" ca="1" si="185"/>
        <x:v>0</x:v>
      </x:c>
      <x:c r="FT58" s="272" t="str">
        <x:f t="shared" ca="1" si="186"/>
        <x:v/>
      </x:c>
      <x:c r="FU58" s="275" t="str">
        <x:f t="shared" ca="1" si="187"/>
        <x:v/>
      </x:c>
      <x:c r="FV58" s="323" t="str">
        <x:f t="shared" ca="1" si="165"/>
        <x:v/>
      </x:c>
      <x:c r="FW58" s="276" t="str">
        <x:f t="shared" ca="1" si="188"/>
        <x:v/>
      </x:c>
      <x:c r="FX58" s="276" t="str">
        <x:f t="shared" ca="1" si="189"/>
        <x:v/>
      </x:c>
      <x:c r="FY58" s="276" t="str">
        <x:f t="shared" ca="1" si="190"/>
        <x:v/>
      </x:c>
      <x:c r="FZ58" s="276" t="str">
        <x:f t="shared" ca="1" si="191"/>
        <x:v/>
      </x:c>
      <x:c r="GA58" s="276" t="str">
        <x:f t="shared" ca="1" si="192"/>
        <x:v/>
      </x:c>
      <x:c r="GB58" s="277" t="str">
        <x:f ca="1">IF(FY58="","",2+SUM(FO58:OFFSET(FO58,(FU58-1)*-1,0)))</x:f>
        <x:v/>
      </x:c>
      <x:c r="GC58" s="316" t="e">
        <x:f t="shared" si="193"/>
        <x:v>#N/A</x:v>
      </x:c>
      <x:c r="GD58" s="324" t="str">
        <x:f t="shared" si="166"/>
        <x:v/>
      </x:c>
      <x:c r="GE58" s="325" t="str">
        <x:f t="shared" si="167"/>
        <x:v/>
      </x:c>
      <x:c r="GF58" s="278" t="str">
        <x:f t="shared" si="168"/>
        <x:v/>
      </x:c>
      <x:c r="GG58" s="279" t="str">
        <x:f t="shared" si="169"/>
        <x:v/>
      </x:c>
      <x:c r="GH58" s="279" t="str">
        <x:f t="shared" si="170"/>
        <x:v/>
      </x:c>
      <x:c r="GI58" s="280" t="str">
        <x:f t="shared" si="171"/>
        <x:v/>
      </x:c>
      <x:c r="GJ58" s="530">
        <x:f t="shared" ca="1" si="172"/>
        <x:v>0</x:v>
      </x:c>
      <x:c r="GK58" s="895" t="str">
        <x:f t="shared" ca="1" si="194"/>
        <x:v/>
      </x:c>
    </x:row>
    <x:row r="59" spans="1:193" ht="12.6" hidden="1" customHeight="1" x14ac:dyDescent="0.2">
      <x:c r="BZ59" s="293"/>
      <x:c r="CA59" s="293"/>
      <x:c r="CB59" s="365" t="str">
        <x:f t="shared" si="100"/>
        <x:v/>
      </x:c>
      <x:c r="CC59" s="366" t="str">
        <x:f>IF(CG19="","",VLOOKUP(CG19,SectInfo!$B:$N,12,FALSE))</x:f>
        <x:v/>
      </x:c>
      <x:c r="CD59" s="1305" t="str">
        <x:f>IF(ISBLANK(CN19),IF(CG19="","",VLOOKUP(CG19,SectInfo!$B:$N,13,FALSE)),CN19)</x:f>
        <x:v/>
      </x:c>
      <x:c r="CE59" s="1305" t="str">
        <x:f>IF(CG19="","",IF(VLOOKUP(CG19,SectInfo!$B:$N,5,FALSE)="","R",UPPER(VLOOKUP(CG19,SectInfo!$B:$N,5,FALSE))))</x:f>
        <x:v/>
      </x:c>
      <x:c r="CF59" s="1305" t="str">
        <x:f>IF(ISBLANK(CP19),IF(CG19="","",VLOOKUP(CG19,SectInfo!$B:$N,6,FALSE)),CP19)</x:f>
        <x:v/>
      </x:c>
      <x:c r="CG59" s="1305" t="str">
        <x:f>IF(CG19="","",IF(VLOOKUP(CG19,SectInfo!$B:$N,10,FALSE)="","",(VLOOKUP(CG19,SectInfo!$B:$N,10,FALSE)*-1)))</x:f>
        <x:v/>
      </x:c>
      <x:c r="CH59" s="1305" t="str">
        <x:f>IF(CG19="","",IF(VLOOKUP(CG19,SectInfo!$B:$N,7,FALSE)="","",(VLOOKUP(CG19,SectInfo!$B:$N,7,FALSE)*-1)))</x:f>
        <x:v/>
      </x:c>
      <x:c r="CI59" s="1305" t="str">
        <x:f>IF(CG19="","",IF(VLOOKUP(CG19,SectInfo!$B:$N,8,FALSE)="",$FC$4,(VLOOKUP(CG19,SectInfo!$B:$N,8,FALSE))))</x:f>
        <x:v/>
      </x:c>
      <x:c r="CJ59" s="1305" t="str">
        <x:f>IF(CG19="","",VLOOKUP(CG19,SectInfo!$B:$N,9,FALSE))</x:f>
        <x:v/>
      </x:c>
      <x:c r="CK59" s="1306">
        <x:f t="shared" si="101"/>
        <x:v>0</x:v>
      </x:c>
      <x:c r="CL59" s="1304" t="str">
        <x:f>IF(CQ19="","",VLOOKUP(CQ19,SectInfo!$B:$N,12,FALSE))</x:f>
        <x:v/>
      </x:c>
      <x:c r="CM59" s="1305" t="str">
        <x:f>IF(ISBLANK(CX19),IF(CQ19="","",VLOOKUP(CQ19,SectInfo!$B:$N,13,FALSE)),CX19)</x:f>
        <x:v/>
      </x:c>
      <x:c r="CN59" s="1305" t="str">
        <x:f>IF(CQ19="","",IF(VLOOKUP(CQ19,SectInfo!$B:$N,5,FALSE)="","R",UPPER(VLOOKUP(CQ19,SectInfo!$B:$N,5,FALSE))))</x:f>
        <x:v/>
      </x:c>
      <x:c r="CO59" s="1305" t="str">
        <x:f>IF(ISBLANK(CZ19),IF(CQ19="","",VLOOKUP(CQ19,SectInfo!$B:$N,6,FALSE)),CZ19)</x:f>
        <x:v/>
      </x:c>
      <x:c r="CP59" s="1305" t="str">
        <x:f>IF(CQ19="","",IF(VLOOKUP(CQ19,SectInfo!$B:$N,10,FALSE)="","",(VLOOKUP(CQ19,SectInfo!$B:$N,10,FALSE)*-1)))</x:f>
        <x:v/>
      </x:c>
      <x:c r="CQ59" s="1305" t="str">
        <x:f>IF(CQ19="","",IF(VLOOKUP(CQ19,SectInfo!$B:$N,7,FALSE)="","",(VLOOKUP(CQ19,SectInfo!$B:$N,7,FALSE)*-1)))</x:f>
        <x:v/>
      </x:c>
      <x:c r="CR59" s="1305" t="str">
        <x:f>IF(CQ19="","",IF(VLOOKUP(CQ19,SectInfo!$B:$N,8,FALSE)="",$FC$4,(VLOOKUP(CQ19,SectInfo!$B:$N,8,FALSE))))</x:f>
        <x:v/>
      </x:c>
      <x:c r="CS59" s="1305" t="str">
        <x:f>IF(CQ19="","",VLOOKUP(CQ19,SectInfo!$B:$N,9,FALSE))</x:f>
        <x:v/>
      </x:c>
      <x:c r="CT59" s="1306">
        <x:f t="shared" si="102"/>
        <x:v>0</x:v>
      </x:c>
      <x:c r="CU59" s="1316">
        <x:f t="shared" si="103"/>
        <x:v>0</x:v>
      </x:c>
      <x:c r="CV59" s="1310" t="str">
        <x:f t="shared" si="104"/>
        <x:v/>
      </x:c>
      <x:c r="CW59" s="1310" t="str">
        <x:f t="shared" si="105"/>
        <x:v/>
      </x:c>
      <x:c r="CX59" s="1310" t="str">
        <x:f t="shared" si="106"/>
        <x:v/>
      </x:c>
      <x:c r="CY59" s="1312">
        <x:f t="shared" si="107"/>
        <x:v>0</x:v>
      </x:c>
      <x:c r="CZ59" s="1312">
        <x:f t="shared" si="108"/>
        <x:v>0</x:v>
      </x:c>
      <x:c r="DA59" s="1312" t="str">
        <x:f t="shared" si="109"/>
        <x:v/>
      </x:c>
      <x:c r="DB59" s="1310" t="str">
        <x:f t="shared" si="173"/>
        <x:v/>
      </x:c>
      <x:c r="DC59" s="1310" t="str">
        <x:f t="shared" si="110"/>
        <x:v/>
      </x:c>
      <x:c r="DD59" s="875">
        <x:f t="shared" si="174"/>
        <x:v>0</x:v>
      </x:c>
      <x:c r="DE59" s="873">
        <x:f t="shared" si="111"/>
        <x:v>0</x:v>
      </x:c>
      <x:c r="DF59" s="874">
        <x:f t="shared" si="112"/>
        <x:v>0</x:v>
      </x:c>
      <x:c r="DG59" s="874" t="str">
        <x:f t="shared" si="113"/>
        <x:v/>
      </x:c>
      <x:c r="DH59" s="1310" t="str">
        <x:f t="shared" si="175"/>
        <x:v/>
      </x:c>
      <x:c r="DI59" s="1310" t="str">
        <x:f t="shared" si="114"/>
        <x:v/>
      </x:c>
      <x:c r="DJ59" s="1311">
        <x:f t="shared" si="176"/>
        <x:v>0</x:v>
      </x:c>
      <x:c r="DK59" s="1310" t="str">
        <x:f t="shared" si="115"/>
        <x:v/>
      </x:c>
      <x:c r="DL59" s="1310" t="str">
        <x:f t="shared" si="116"/>
        <x:v/>
      </x:c>
      <x:c r="DM59" s="1310" t="str">
        <x:f t="shared" si="117"/>
        <x:v/>
      </x:c>
      <x:c r="DN59" s="1310" t="str">
        <x:f t="shared" si="118"/>
        <x:v/>
      </x:c>
      <x:c r="DO59" s="889" t="str">
        <x:f t="shared" si="119"/>
        <x:v>ERR</x:v>
      </x:c>
      <x:c r="DP59" s="889" t="str">
        <x:f t="shared" si="120"/>
        <x:v>ERR</x:v>
      </x:c>
      <x:c r="DQ59" s="1310" t="str">
        <x:f t="shared" si="121"/>
        <x:v/>
      </x:c>
      <x:c r="DR59" s="1310" t="str">
        <x:f t="shared" si="121"/>
        <x:v/>
      </x:c>
      <x:c r="DS59" s="1310" t="str">
        <x:f t="shared" si="122"/>
        <x:v/>
      </x:c>
      <x:c r="DT59" s="1310" t="str">
        <x:f t="shared" si="123"/>
        <x:v/>
      </x:c>
      <x:c r="DU59" s="1310" t="str">
        <x:f t="shared" si="124"/>
        <x:v/>
      </x:c>
      <x:c r="DV59" s="889" t="str">
        <x:f t="shared" si="125"/>
        <x:v>ERR</x:v>
      </x:c>
      <x:c r="DW59" s="889" t="str">
        <x:f t="shared" si="126"/>
        <x:v>ERR</x:v>
      </x:c>
      <x:c r="DX59" s="873" t="str">
        <x:f t="shared" si="127"/>
        <x:v/>
      </x:c>
      <x:c r="DY59" s="873" t="str">
        <x:f t="shared" si="127"/>
        <x:v/>
      </x:c>
      <x:c r="DZ59" s="873" t="str">
        <x:f t="shared" si="128"/>
        <x:v/>
      </x:c>
      <x:c r="EA59" s="873" t="str">
        <x:f t="shared" si="129"/>
        <x:v/>
      </x:c>
      <x:c r="EB59" s="876" t="str">
        <x:f t="shared" si="130"/>
        <x:v/>
      </x:c>
      <x:c r="EC59" s="877" t="str">
        <x:f t="shared" si="131"/>
        <x:v/>
      </x:c>
      <x:c r="ED59" s="876" t="str">
        <x:f t="shared" si="132"/>
        <x:v/>
      </x:c>
      <x:c r="EE59" s="876" t="str">
        <x:f t="shared" si="133"/>
        <x:v/>
      </x:c>
      <x:c r="EF59" s="876" t="str">
        <x:f t="shared" si="134"/>
        <x:v/>
      </x:c>
      <x:c r="EG59" s="876" t="str">
        <x:f t="shared" si="135"/>
        <x:v/>
      </x:c>
      <x:c r="EH59" s="876" t="str">
        <x:f t="shared" si="136"/>
        <x:v/>
      </x:c>
      <x:c r="EI59" s="876" t="str">
        <x:f t="shared" si="137"/>
        <x:v/>
      </x:c>
      <x:c r="EJ59" s="876" t="str">
        <x:f t="shared" si="138"/>
        <x:v/>
      </x:c>
      <x:c r="EK59" s="874">
        <x:f t="shared" si="139"/>
        <x:v>0</x:v>
      </x:c>
      <x:c r="EL59" s="874">
        <x:f t="shared" si="140"/>
        <x:v>0</x:v>
      </x:c>
      <x:c r="EM59" s="874">
        <x:f t="shared" si="141"/>
        <x:v>0</x:v>
      </x:c>
      <x:c r="EN59" s="874" t="str">
        <x:f t="shared" si="142"/>
        <x:v/>
      </x:c>
      <x:c r="EO59" s="873" t="str">
        <x:f t="shared" si="143"/>
        <x:v/>
      </x:c>
      <x:c r="EP59" s="874">
        <x:f t="shared" si="144"/>
        <x:v>0</x:v>
      </x:c>
      <x:c r="EQ59" s="874">
        <x:f t="shared" si="145"/>
        <x:v>0</x:v>
      </x:c>
      <x:c r="ER59" s="874">
        <x:f t="shared" si="146"/>
        <x:v>0</x:v>
      </x:c>
      <x:c r="ES59" s="874" t="str">
        <x:f t="shared" si="147"/>
        <x:v/>
      </x:c>
      <x:c r="ET59" s="873" t="str">
        <x:f t="shared" si="148"/>
        <x:v/>
      </x:c>
      <x:c r="EU59" s="873">
        <x:f t="shared" si="149"/>
        <x:v>0</x:v>
      </x:c>
      <x:c r="EV59" s="876" t="e">
        <x:f t="shared" si="150"/>
        <x:v>#VALUE!</x:v>
      </x:c>
      <x:c r="EW59" s="876" t="e">
        <x:f t="shared" si="151"/>
        <x:v>#VALUE!</x:v>
      </x:c>
      <x:c r="EX59" s="878" t="str">
        <x:f t="shared" si="152"/>
        <x:v/>
      </x:c>
      <x:c r="EY59" s="879">
        <x:f t="shared" si="153"/>
        <x:v>25</x:v>
      </x:c>
      <x:c r="EZ59" s="959">
        <x:f t="shared" si="154"/>
        <x:v>0</x:v>
      </x:c>
      <x:c r="FA59" s="960">
        <x:f t="shared" si="155"/>
        <x:v>0</x:v>
      </x:c>
      <x:c r="FB59" s="880" t="str">
        <x:f t="shared" si="156"/>
        <x:v/>
      </x:c>
      <x:c r="FC59" s="881" t="str">
        <x:f t="shared" si="157"/>
        <x:v/>
      </x:c>
      <x:c r="FD59" s="890">
        <x:f t="shared" si="158"/>
        <x:v>0</x:v>
      </x:c>
      <x:c r="FE59" s="833">
        <x:f t="shared" si="159"/>
        <x:v>0</x:v>
      </x:c>
      <x:c r="FF59" s="754" t="b">
        <x:f t="shared" si="160"/>
        <x:v>0</x:v>
      </x:c>
      <x:c r="FG59" s="754" t="b">
        <x:f t="shared" si="161"/>
        <x:v>0</x:v>
      </x:c>
      <x:c r="FH59" s="754" t="b">
        <x:f t="shared" si="162"/>
        <x:v>0</x:v>
      </x:c>
      <x:c r="FI59" s="754" t="b">
        <x:f t="shared" si="163"/>
        <x:v>0</x:v>
      </x:c>
      <x:c r="FJ59" s="920" t="str">
        <x:f t="shared" si="177"/>
        <x:v/>
      </x:c>
      <x:c r="FK59" s="919" t="str">
        <x:f t="shared" si="178"/>
        <x:v/>
      </x:c>
      <x:c r="FL59" s="320" t="e">
        <x:f t="shared" si="179"/>
        <x:v>#N/A</x:v>
      </x:c>
      <x:c r="FM59" s="312" t="str">
        <x:f t="shared" si="164"/>
        <x:v/>
      </x:c>
      <x:c r="FN59" s="272" t="str">
        <x:f t="shared" ca="1" si="180"/>
        <x:v/>
      </x:c>
      <x:c r="FO59" s="273" t="str">
        <x:f t="shared" ca="1" si="181"/>
        <x:v/>
      </x:c>
      <x:c r="FP59" s="274" t="str">
        <x:f t="shared" ca="1" si="182"/>
        <x:v/>
      </x:c>
      <x:c r="FQ59" s="274" t="str">
        <x:f t="shared" ca="1" si="183"/>
        <x:v/>
      </x:c>
      <x:c r="FR59" s="321">
        <x:f t="shared" ca="1" si="184"/>
        <x:v>0</x:v>
      </x:c>
      <x:c r="FS59" s="322">
        <x:f t="shared" ca="1" si="185"/>
        <x:v>0</x:v>
      </x:c>
      <x:c r="FT59" s="272" t="str">
        <x:f t="shared" ca="1" si="186"/>
        <x:v/>
      </x:c>
      <x:c r="FU59" s="275" t="str">
        <x:f t="shared" ca="1" si="187"/>
        <x:v/>
      </x:c>
      <x:c r="FV59" s="323" t="str">
        <x:f t="shared" ca="1" si="165"/>
        <x:v/>
      </x:c>
      <x:c r="FW59" s="276" t="str">
        <x:f t="shared" ca="1" si="188"/>
        <x:v/>
      </x:c>
      <x:c r="FX59" s="276" t="str">
        <x:f t="shared" ca="1" si="189"/>
        <x:v/>
      </x:c>
      <x:c r="FY59" s="276" t="str">
        <x:f t="shared" ca="1" si="190"/>
        <x:v/>
      </x:c>
      <x:c r="FZ59" s="276" t="str">
        <x:f t="shared" ca="1" si="191"/>
        <x:v/>
      </x:c>
      <x:c r="GA59" s="276" t="str">
        <x:f t="shared" ca="1" si="192"/>
        <x:v/>
      </x:c>
      <x:c r="GB59" s="277" t="str">
        <x:f ca="1">IF(FY59="","",2+SUM(FO59:OFFSET(FO59,(FU59-1)*-1,0)))</x:f>
        <x:v/>
      </x:c>
      <x:c r="GC59" s="316" t="e">
        <x:f t="shared" si="193"/>
        <x:v>#N/A</x:v>
      </x:c>
      <x:c r="GD59" s="324" t="str">
        <x:f t="shared" si="166"/>
        <x:v/>
      </x:c>
      <x:c r="GE59" s="325" t="str">
        <x:f t="shared" si="167"/>
        <x:v/>
      </x:c>
      <x:c r="GF59" s="278" t="str">
        <x:f t="shared" si="168"/>
        <x:v/>
      </x:c>
      <x:c r="GG59" s="279" t="str">
        <x:f t="shared" si="169"/>
        <x:v/>
      </x:c>
      <x:c r="GH59" s="279" t="str">
        <x:f t="shared" si="170"/>
        <x:v/>
      </x:c>
      <x:c r="GI59" s="280" t="str">
        <x:f t="shared" si="171"/>
        <x:v/>
      </x:c>
      <x:c r="GJ59" s="530">
        <x:f t="shared" ca="1" si="172"/>
        <x:v>0</x:v>
      </x:c>
      <x:c r="GK59" s="895" t="str">
        <x:f t="shared" ca="1" si="194"/>
        <x:v/>
      </x:c>
    </x:row>
    <x:row r="60" spans="1:193" ht="12.6" hidden="1" customHeight="1" x14ac:dyDescent="0.2">
      <x:c r="A60" s="892" t="s">
        <x:v>1177</x:v>
      </x:c>
      <x:c r="BZ60" s="293"/>
      <x:c r="CA60" s="293"/>
      <x:c r="CB60" s="365" t="str">
        <x:f t="shared" si="100"/>
        <x:v/>
      </x:c>
      <x:c r="CC60" s="366" t="str">
        <x:f>IF(CG20="","",VLOOKUP(CG20,SectInfo!$B:$N,12,FALSE))</x:f>
        <x:v/>
      </x:c>
      <x:c r="CD60" s="1305" t="str">
        <x:f>IF(ISBLANK(CN20),IF(CG20="","",VLOOKUP(CG20,SectInfo!$B:$N,13,FALSE)),CN20)</x:f>
        <x:v/>
      </x:c>
      <x:c r="CE60" s="1305" t="str">
        <x:f>IF(CG20="","",IF(VLOOKUP(CG20,SectInfo!$B:$N,5,FALSE)="","R",UPPER(VLOOKUP(CG20,SectInfo!$B:$N,5,FALSE))))</x:f>
        <x:v/>
      </x:c>
      <x:c r="CF60" s="1305" t="str">
        <x:f>IF(ISBLANK(CP20),IF(CG20="","",VLOOKUP(CG20,SectInfo!$B:$N,6,FALSE)),CP20)</x:f>
        <x:v/>
      </x:c>
      <x:c r="CG60" s="1305" t="str">
        <x:f>IF(CG20="","",IF(VLOOKUP(CG20,SectInfo!$B:$N,10,FALSE)="","",(VLOOKUP(CG20,SectInfo!$B:$N,10,FALSE)*-1)))</x:f>
        <x:v/>
      </x:c>
      <x:c r="CH60" s="1305" t="str">
        <x:f>IF(CG20="","",IF(VLOOKUP(CG20,SectInfo!$B:$N,7,FALSE)="","",(VLOOKUP(CG20,SectInfo!$B:$N,7,FALSE)*-1)))</x:f>
        <x:v/>
      </x:c>
      <x:c r="CI60" s="1305" t="str">
        <x:f>IF(CG20="","",IF(VLOOKUP(CG20,SectInfo!$B:$N,8,FALSE)="",$FC$4,(VLOOKUP(CG20,SectInfo!$B:$N,8,FALSE))))</x:f>
        <x:v/>
      </x:c>
      <x:c r="CJ60" s="1305" t="str">
        <x:f>IF(CG20="","",VLOOKUP(CG20,SectInfo!$B:$N,9,FALSE))</x:f>
        <x:v/>
      </x:c>
      <x:c r="CK60" s="1306">
        <x:f t="shared" si="101"/>
        <x:v>0</x:v>
      </x:c>
      <x:c r="CL60" s="1304" t="str">
        <x:f>IF(CQ20="","",VLOOKUP(CQ20,SectInfo!$B:$N,12,FALSE))</x:f>
        <x:v/>
      </x:c>
      <x:c r="CM60" s="1305" t="str">
        <x:f>IF(ISBLANK(CX20),IF(CQ20="","",VLOOKUP(CQ20,SectInfo!$B:$N,13,FALSE)),CX20)</x:f>
        <x:v/>
      </x:c>
      <x:c r="CN60" s="1305" t="str">
        <x:f>IF(CQ20="","",IF(VLOOKUP(CQ20,SectInfo!$B:$N,5,FALSE)="","R",UPPER(VLOOKUP(CQ20,SectInfo!$B:$N,5,FALSE))))</x:f>
        <x:v/>
      </x:c>
      <x:c r="CO60" s="1305" t="str">
        <x:f>IF(ISBLANK(CZ20),IF(CQ20="","",VLOOKUP(CQ20,SectInfo!$B:$N,6,FALSE)),CZ20)</x:f>
        <x:v/>
      </x:c>
      <x:c r="CP60" s="1305" t="str">
        <x:f>IF(CQ20="","",IF(VLOOKUP(CQ20,SectInfo!$B:$N,10,FALSE)="","",(VLOOKUP(CQ20,SectInfo!$B:$N,10,FALSE)*-1)))</x:f>
        <x:v/>
      </x:c>
      <x:c r="CQ60" s="1305" t="str">
        <x:f>IF(CQ20="","",IF(VLOOKUP(CQ20,SectInfo!$B:$N,7,FALSE)="","",(VLOOKUP(CQ20,SectInfo!$B:$N,7,FALSE)*-1)))</x:f>
        <x:v/>
      </x:c>
      <x:c r="CR60" s="1305" t="str">
        <x:f>IF(CQ20="","",IF(VLOOKUP(CQ20,SectInfo!$B:$N,8,FALSE)="",$FC$4,(VLOOKUP(CQ20,SectInfo!$B:$N,8,FALSE))))</x:f>
        <x:v/>
      </x:c>
      <x:c r="CS60" s="1305" t="str">
        <x:f>IF(CQ20="","",VLOOKUP(CQ20,SectInfo!$B:$N,9,FALSE))</x:f>
        <x:v/>
      </x:c>
      <x:c r="CT60" s="1306">
        <x:f t="shared" si="102"/>
        <x:v>0</x:v>
      </x:c>
      <x:c r="CU60" s="1316">
        <x:f t="shared" si="103"/>
        <x:v>0</x:v>
      </x:c>
      <x:c r="CV60" s="1310" t="str">
        <x:f t="shared" si="104"/>
        <x:v/>
      </x:c>
      <x:c r="CW60" s="1310" t="str">
        <x:f t="shared" si="105"/>
        <x:v/>
      </x:c>
      <x:c r="CX60" s="1310" t="str">
        <x:f t="shared" si="106"/>
        <x:v/>
      </x:c>
      <x:c r="CY60" s="1312">
        <x:f t="shared" si="107"/>
        <x:v>0</x:v>
      </x:c>
      <x:c r="CZ60" s="1312">
        <x:f t="shared" si="108"/>
        <x:v>0</x:v>
      </x:c>
      <x:c r="DA60" s="1312" t="str">
        <x:f t="shared" si="109"/>
        <x:v/>
      </x:c>
      <x:c r="DB60" s="1310" t="str">
        <x:f t="shared" si="173"/>
        <x:v/>
      </x:c>
      <x:c r="DC60" s="1310" t="str">
        <x:f t="shared" si="110"/>
        <x:v/>
      </x:c>
      <x:c r="DD60" s="875">
        <x:f t="shared" si="174"/>
        <x:v>0</x:v>
      </x:c>
      <x:c r="DE60" s="873">
        <x:f t="shared" si="111"/>
        <x:v>0</x:v>
      </x:c>
      <x:c r="DF60" s="874">
        <x:f t="shared" si="112"/>
        <x:v>0</x:v>
      </x:c>
      <x:c r="DG60" s="874" t="str">
        <x:f t="shared" si="113"/>
        <x:v/>
      </x:c>
      <x:c r="DH60" s="1310" t="str">
        <x:f t="shared" si="175"/>
        <x:v/>
      </x:c>
      <x:c r="DI60" s="1310" t="str">
        <x:f t="shared" si="114"/>
        <x:v/>
      </x:c>
      <x:c r="DJ60" s="1311">
        <x:f t="shared" si="176"/>
        <x:v>0</x:v>
      </x:c>
      <x:c r="DK60" s="1310" t="str">
        <x:f t="shared" si="115"/>
        <x:v/>
      </x:c>
      <x:c r="DL60" s="1310" t="str">
        <x:f t="shared" si="116"/>
        <x:v/>
      </x:c>
      <x:c r="DM60" s="1310" t="str">
        <x:f t="shared" si="117"/>
        <x:v/>
      </x:c>
      <x:c r="DN60" s="1310" t="str">
        <x:f t="shared" si="118"/>
        <x:v/>
      </x:c>
      <x:c r="DO60" s="889" t="str">
        <x:f t="shared" si="119"/>
        <x:v>ERR</x:v>
      </x:c>
      <x:c r="DP60" s="889" t="str">
        <x:f t="shared" si="120"/>
        <x:v>ERR</x:v>
      </x:c>
      <x:c r="DQ60" s="1310" t="str">
        <x:f t="shared" si="121"/>
        <x:v/>
      </x:c>
      <x:c r="DR60" s="1310" t="str">
        <x:f t="shared" si="121"/>
        <x:v/>
      </x:c>
      <x:c r="DS60" s="1310" t="str">
        <x:f t="shared" si="122"/>
        <x:v/>
      </x:c>
      <x:c r="DT60" s="1310" t="str">
        <x:f t="shared" si="123"/>
        <x:v/>
      </x:c>
      <x:c r="DU60" s="1310" t="str">
        <x:f t="shared" si="124"/>
        <x:v/>
      </x:c>
      <x:c r="DV60" s="889" t="str">
        <x:f t="shared" si="125"/>
        <x:v>ERR</x:v>
      </x:c>
      <x:c r="DW60" s="889" t="str">
        <x:f t="shared" si="126"/>
        <x:v>ERR</x:v>
      </x:c>
      <x:c r="DX60" s="873" t="str">
        <x:f t="shared" si="127"/>
        <x:v/>
      </x:c>
      <x:c r="DY60" s="873" t="str">
        <x:f t="shared" si="127"/>
        <x:v/>
      </x:c>
      <x:c r="DZ60" s="873" t="str">
        <x:f t="shared" si="128"/>
        <x:v/>
      </x:c>
      <x:c r="EA60" s="873" t="str">
        <x:f t="shared" si="129"/>
        <x:v/>
      </x:c>
      <x:c r="EB60" s="876" t="str">
        <x:f t="shared" si="130"/>
        <x:v/>
      </x:c>
      <x:c r="EC60" s="877" t="str">
        <x:f t="shared" si="131"/>
        <x:v/>
      </x:c>
      <x:c r="ED60" s="876" t="str">
        <x:f t="shared" si="132"/>
        <x:v/>
      </x:c>
      <x:c r="EE60" s="876" t="str">
        <x:f t="shared" si="133"/>
        <x:v/>
      </x:c>
      <x:c r="EF60" s="876" t="str">
        <x:f t="shared" si="134"/>
        <x:v/>
      </x:c>
      <x:c r="EG60" s="876" t="str">
        <x:f t="shared" si="135"/>
        <x:v/>
      </x:c>
      <x:c r="EH60" s="876" t="str">
        <x:f t="shared" si="136"/>
        <x:v/>
      </x:c>
      <x:c r="EI60" s="876" t="str">
        <x:f t="shared" si="137"/>
        <x:v/>
      </x:c>
      <x:c r="EJ60" s="876" t="str">
        <x:f t="shared" si="138"/>
        <x:v/>
      </x:c>
      <x:c r="EK60" s="874">
        <x:f t="shared" si="139"/>
        <x:v>0</x:v>
      </x:c>
      <x:c r="EL60" s="874">
        <x:f t="shared" si="140"/>
        <x:v>0</x:v>
      </x:c>
      <x:c r="EM60" s="874">
        <x:f t="shared" si="141"/>
        <x:v>0</x:v>
      </x:c>
      <x:c r="EN60" s="874" t="str">
        <x:f t="shared" si="142"/>
        <x:v/>
      </x:c>
      <x:c r="EO60" s="873" t="str">
        <x:f t="shared" si="143"/>
        <x:v/>
      </x:c>
      <x:c r="EP60" s="874">
        <x:f t="shared" si="144"/>
        <x:v>0</x:v>
      </x:c>
      <x:c r="EQ60" s="874">
        <x:f t="shared" si="145"/>
        <x:v>0</x:v>
      </x:c>
      <x:c r="ER60" s="874">
        <x:f t="shared" si="146"/>
        <x:v>0</x:v>
      </x:c>
      <x:c r="ES60" s="874" t="str">
        <x:f t="shared" si="147"/>
        <x:v/>
      </x:c>
      <x:c r="ET60" s="873" t="str">
        <x:f t="shared" si="148"/>
        <x:v/>
      </x:c>
      <x:c r="EU60" s="873">
        <x:f t="shared" si="149"/>
        <x:v>0</x:v>
      </x:c>
      <x:c r="EV60" s="876" t="e">
        <x:f t="shared" si="150"/>
        <x:v>#VALUE!</x:v>
      </x:c>
      <x:c r="EW60" s="876" t="e">
        <x:f t="shared" si="151"/>
        <x:v>#VALUE!</x:v>
      </x:c>
      <x:c r="EX60" s="878" t="str">
        <x:f t="shared" si="152"/>
        <x:v/>
      </x:c>
      <x:c r="EY60" s="879">
        <x:f t="shared" si="153"/>
        <x:v>25</x:v>
      </x:c>
      <x:c r="EZ60" s="959">
        <x:f t="shared" si="154"/>
        <x:v>0</x:v>
      </x:c>
      <x:c r="FA60" s="960">
        <x:f t="shared" si="155"/>
        <x:v>0</x:v>
      </x:c>
      <x:c r="FB60" s="880" t="str">
        <x:f t="shared" si="156"/>
        <x:v/>
      </x:c>
      <x:c r="FC60" s="881" t="str">
        <x:f t="shared" si="157"/>
        <x:v/>
      </x:c>
      <x:c r="FD60" s="890">
        <x:f t="shared" si="158"/>
        <x:v>0</x:v>
      </x:c>
      <x:c r="FE60" s="833">
        <x:f t="shared" si="159"/>
        <x:v>0</x:v>
      </x:c>
      <x:c r="FF60" s="754" t="b">
        <x:f t="shared" si="160"/>
        <x:v>0</x:v>
      </x:c>
      <x:c r="FG60" s="754" t="b">
        <x:f t="shared" si="161"/>
        <x:v>0</x:v>
      </x:c>
      <x:c r="FH60" s="754" t="b">
        <x:f t="shared" si="162"/>
        <x:v>0</x:v>
      </x:c>
      <x:c r="FI60" s="754" t="b">
        <x:f t="shared" si="163"/>
        <x:v>0</x:v>
      </x:c>
      <x:c r="FJ60" s="920" t="str">
        <x:f t="shared" si="177"/>
        <x:v/>
      </x:c>
      <x:c r="FK60" s="919" t="str">
        <x:f t="shared" si="178"/>
        <x:v/>
      </x:c>
      <x:c r="FL60" s="320" t="e">
        <x:f t="shared" si="179"/>
        <x:v>#N/A</x:v>
      </x:c>
      <x:c r="FM60" s="312" t="str">
        <x:f t="shared" si="164"/>
        <x:v/>
      </x:c>
      <x:c r="FN60" s="272" t="str">
        <x:f t="shared" ca="1" si="180"/>
        <x:v/>
      </x:c>
      <x:c r="FO60" s="273" t="str">
        <x:f t="shared" ca="1" si="181"/>
        <x:v/>
      </x:c>
      <x:c r="FP60" s="274" t="str">
        <x:f t="shared" ca="1" si="182"/>
        <x:v/>
      </x:c>
      <x:c r="FQ60" s="274" t="str">
        <x:f t="shared" ca="1" si="183"/>
        <x:v/>
      </x:c>
      <x:c r="FR60" s="321">
        <x:f t="shared" ca="1" si="184"/>
        <x:v>0</x:v>
      </x:c>
      <x:c r="FS60" s="322">
        <x:f t="shared" ca="1" si="185"/>
        <x:v>0</x:v>
      </x:c>
      <x:c r="FT60" s="272" t="str">
        <x:f t="shared" ca="1" si="186"/>
        <x:v/>
      </x:c>
      <x:c r="FU60" s="275" t="str">
        <x:f t="shared" ca="1" si="187"/>
        <x:v/>
      </x:c>
      <x:c r="FV60" s="323" t="str">
        <x:f t="shared" ca="1" si="165"/>
        <x:v/>
      </x:c>
      <x:c r="FW60" s="276" t="str">
        <x:f t="shared" ca="1" si="188"/>
        <x:v/>
      </x:c>
      <x:c r="FX60" s="276" t="str">
        <x:f t="shared" ca="1" si="189"/>
        <x:v/>
      </x:c>
      <x:c r="FY60" s="276" t="str">
        <x:f t="shared" ca="1" si="190"/>
        <x:v/>
      </x:c>
      <x:c r="FZ60" s="276" t="str">
        <x:f t="shared" ca="1" si="191"/>
        <x:v/>
      </x:c>
      <x:c r="GA60" s="276" t="str">
        <x:f t="shared" ca="1" si="192"/>
        <x:v/>
      </x:c>
      <x:c r="GB60" s="277" t="str">
        <x:f ca="1">IF(FY60="","",2+SUM(FO60:OFFSET(FO60,(FU60-1)*-1,0)))</x:f>
        <x:v/>
      </x:c>
      <x:c r="GC60" s="316" t="e">
        <x:f t="shared" si="193"/>
        <x:v>#N/A</x:v>
      </x:c>
      <x:c r="GD60" s="324" t="str">
        <x:f t="shared" si="166"/>
        <x:v/>
      </x:c>
      <x:c r="GE60" s="325" t="str">
        <x:f t="shared" si="167"/>
        <x:v/>
      </x:c>
      <x:c r="GF60" s="278" t="str">
        <x:f t="shared" si="168"/>
        <x:v/>
      </x:c>
      <x:c r="GG60" s="279" t="str">
        <x:f t="shared" si="169"/>
        <x:v/>
      </x:c>
      <x:c r="GH60" s="279" t="str">
        <x:f t="shared" si="170"/>
        <x:v/>
      </x:c>
      <x:c r="GI60" s="280" t="str">
        <x:f t="shared" si="171"/>
        <x:v/>
      </x:c>
      <x:c r="GJ60" s="530">
        <x:f t="shared" ca="1" si="172"/>
        <x:v>0</x:v>
      </x:c>
      <x:c r="GK60" s="895" t="str">
        <x:f t="shared" ca="1" si="194"/>
        <x:v/>
      </x:c>
    </x:row>
    <x:row r="61" spans="1:193" ht="12.6" hidden="1" customHeight="1" x14ac:dyDescent="0.2">
      <x:c r="A61" s="894" t="s">
        <x:v>1631</x:v>
      </x:c>
      <x:c r="BZ61" s="293"/>
      <x:c r="CA61" s="293"/>
      <x:c r="CB61" s="365" t="str">
        <x:f t="shared" si="100"/>
        <x:v/>
      </x:c>
      <x:c r="CC61" s="366" t="str">
        <x:f>IF(CG21="","",VLOOKUP(CG21,SectInfo!$B:$N,12,FALSE))</x:f>
        <x:v/>
      </x:c>
      <x:c r="CD61" s="1305" t="str">
        <x:f>IF(ISBLANK(CN21),IF(CG21="","",VLOOKUP(CG21,SectInfo!$B:$N,13,FALSE)),CN21)</x:f>
        <x:v/>
      </x:c>
      <x:c r="CE61" s="1305" t="str">
        <x:f>IF(CG21="","",IF(VLOOKUP(CG21,SectInfo!$B:$N,5,FALSE)="","R",UPPER(VLOOKUP(CG21,SectInfo!$B:$N,5,FALSE))))</x:f>
        <x:v/>
      </x:c>
      <x:c r="CF61" s="1305" t="str">
        <x:f>IF(ISBLANK(CP21),IF(CG21="","",VLOOKUP(CG21,SectInfo!$B:$N,6,FALSE)),CP21)</x:f>
        <x:v/>
      </x:c>
      <x:c r="CG61" s="1305" t="str">
        <x:f>IF(CG21="","",IF(VLOOKUP(CG21,SectInfo!$B:$N,10,FALSE)="","",(VLOOKUP(CG21,SectInfo!$B:$N,10,FALSE)*-1)))</x:f>
        <x:v/>
      </x:c>
      <x:c r="CH61" s="1305" t="str">
        <x:f>IF(CG21="","",IF(VLOOKUP(CG21,SectInfo!$B:$N,7,FALSE)="","",(VLOOKUP(CG21,SectInfo!$B:$N,7,FALSE)*-1)))</x:f>
        <x:v/>
      </x:c>
      <x:c r="CI61" s="1305" t="str">
        <x:f>IF(CG21="","",IF(VLOOKUP(CG21,SectInfo!$B:$N,8,FALSE)="",$FC$4,(VLOOKUP(CG21,SectInfo!$B:$N,8,FALSE))))</x:f>
        <x:v/>
      </x:c>
      <x:c r="CJ61" s="1305" t="str">
        <x:f>IF(CG21="","",VLOOKUP(CG21,SectInfo!$B:$N,9,FALSE))</x:f>
        <x:v/>
      </x:c>
      <x:c r="CK61" s="1306">
        <x:f t="shared" si="101"/>
        <x:v>0</x:v>
      </x:c>
      <x:c r="CL61" s="1304" t="str">
        <x:f>IF(CQ21="","",VLOOKUP(CQ21,SectInfo!$B:$N,12,FALSE))</x:f>
        <x:v/>
      </x:c>
      <x:c r="CM61" s="1305" t="str">
        <x:f>IF(ISBLANK(CX21),IF(CQ21="","",VLOOKUP(CQ21,SectInfo!$B:$N,13,FALSE)),CX21)</x:f>
        <x:v/>
      </x:c>
      <x:c r="CN61" s="1305" t="str">
        <x:f>IF(CQ21="","",IF(VLOOKUP(CQ21,SectInfo!$B:$N,5,FALSE)="","R",UPPER(VLOOKUP(CQ21,SectInfo!$B:$N,5,FALSE))))</x:f>
        <x:v/>
      </x:c>
      <x:c r="CO61" s="1305" t="str">
        <x:f>IF(ISBLANK(CZ21),IF(CQ21="","",VLOOKUP(CQ21,SectInfo!$B:$N,6,FALSE)),CZ21)</x:f>
        <x:v/>
      </x:c>
      <x:c r="CP61" s="1305" t="str">
        <x:f>IF(CQ21="","",IF(VLOOKUP(CQ21,SectInfo!$B:$N,10,FALSE)="","",(VLOOKUP(CQ21,SectInfo!$B:$N,10,FALSE)*-1)))</x:f>
        <x:v/>
      </x:c>
      <x:c r="CQ61" s="1305" t="str">
        <x:f>IF(CQ21="","",IF(VLOOKUP(CQ21,SectInfo!$B:$N,7,FALSE)="","",(VLOOKUP(CQ21,SectInfo!$B:$N,7,FALSE)*-1)))</x:f>
        <x:v/>
      </x:c>
      <x:c r="CR61" s="1305" t="str">
        <x:f>IF(CQ21="","",IF(VLOOKUP(CQ21,SectInfo!$B:$N,8,FALSE)="",$FC$4,(VLOOKUP(CQ21,SectInfo!$B:$N,8,FALSE))))</x:f>
        <x:v/>
      </x:c>
      <x:c r="CS61" s="1305" t="str">
        <x:f>IF(CQ21="","",VLOOKUP(CQ21,SectInfo!$B:$N,9,FALSE))</x:f>
        <x:v/>
      </x:c>
      <x:c r="CT61" s="1306">
        <x:f t="shared" si="102"/>
        <x:v>0</x:v>
      </x:c>
      <x:c r="CU61" s="1316">
        <x:f t="shared" si="103"/>
        <x:v>0</x:v>
      </x:c>
      <x:c r="CV61" s="1310" t="str">
        <x:f t="shared" si="104"/>
        <x:v/>
      </x:c>
      <x:c r="CW61" s="1310" t="str">
        <x:f t="shared" si="105"/>
        <x:v/>
      </x:c>
      <x:c r="CX61" s="1310" t="str">
        <x:f t="shared" si="106"/>
        <x:v/>
      </x:c>
      <x:c r="CY61" s="1312">
        <x:f t="shared" si="107"/>
        <x:v>0</x:v>
      </x:c>
      <x:c r="CZ61" s="1312">
        <x:f t="shared" si="108"/>
        <x:v>0</x:v>
      </x:c>
      <x:c r="DA61" s="1312" t="str">
        <x:f t="shared" si="109"/>
        <x:v/>
      </x:c>
      <x:c r="DB61" s="1310" t="str">
        <x:f t="shared" si="173"/>
        <x:v/>
      </x:c>
      <x:c r="DC61" s="1310" t="str">
        <x:f t="shared" si="110"/>
        <x:v/>
      </x:c>
      <x:c r="DD61" s="875">
        <x:f t="shared" si="174"/>
        <x:v>0</x:v>
      </x:c>
      <x:c r="DE61" s="873">
        <x:f t="shared" si="111"/>
        <x:v>0</x:v>
      </x:c>
      <x:c r="DF61" s="874">
        <x:f t="shared" si="112"/>
        <x:v>0</x:v>
      </x:c>
      <x:c r="DG61" s="874" t="str">
        <x:f t="shared" si="113"/>
        <x:v/>
      </x:c>
      <x:c r="DH61" s="1310" t="str">
        <x:f t="shared" si="175"/>
        <x:v/>
      </x:c>
      <x:c r="DI61" s="1310" t="str">
        <x:f t="shared" si="114"/>
        <x:v/>
      </x:c>
      <x:c r="DJ61" s="1311">
        <x:f t="shared" si="176"/>
        <x:v>0</x:v>
      </x:c>
      <x:c r="DK61" s="1310" t="str">
        <x:f t="shared" si="115"/>
        <x:v/>
      </x:c>
      <x:c r="DL61" s="1310" t="str">
        <x:f t="shared" si="116"/>
        <x:v/>
      </x:c>
      <x:c r="DM61" s="1310" t="str">
        <x:f t="shared" si="117"/>
        <x:v/>
      </x:c>
      <x:c r="DN61" s="1310" t="str">
        <x:f t="shared" si="118"/>
        <x:v/>
      </x:c>
      <x:c r="DO61" s="889" t="str">
        <x:f t="shared" si="119"/>
        <x:v>ERR</x:v>
      </x:c>
      <x:c r="DP61" s="889" t="str">
        <x:f t="shared" si="120"/>
        <x:v>ERR</x:v>
      </x:c>
      <x:c r="DQ61" s="1310" t="str">
        <x:f t="shared" si="121"/>
        <x:v/>
      </x:c>
      <x:c r="DR61" s="1310" t="str">
        <x:f t="shared" si="121"/>
        <x:v/>
      </x:c>
      <x:c r="DS61" s="1310" t="str">
        <x:f t="shared" si="122"/>
        <x:v/>
      </x:c>
      <x:c r="DT61" s="1310" t="str">
        <x:f t="shared" si="123"/>
        <x:v/>
      </x:c>
      <x:c r="DU61" s="1310" t="str">
        <x:f t="shared" si="124"/>
        <x:v/>
      </x:c>
      <x:c r="DV61" s="889" t="str">
        <x:f t="shared" si="125"/>
        <x:v>ERR</x:v>
      </x:c>
      <x:c r="DW61" s="889" t="str">
        <x:f t="shared" si="126"/>
        <x:v>ERR</x:v>
      </x:c>
      <x:c r="DX61" s="873" t="str">
        <x:f t="shared" si="127"/>
        <x:v/>
      </x:c>
      <x:c r="DY61" s="873" t="str">
        <x:f t="shared" si="127"/>
        <x:v/>
      </x:c>
      <x:c r="DZ61" s="873" t="str">
        <x:f t="shared" si="128"/>
        <x:v/>
      </x:c>
      <x:c r="EA61" s="873" t="str">
        <x:f t="shared" si="129"/>
        <x:v/>
      </x:c>
      <x:c r="EB61" s="876" t="str">
        <x:f t="shared" si="130"/>
        <x:v/>
      </x:c>
      <x:c r="EC61" s="877" t="str">
        <x:f t="shared" si="131"/>
        <x:v/>
      </x:c>
      <x:c r="ED61" s="876" t="str">
        <x:f t="shared" si="132"/>
        <x:v/>
      </x:c>
      <x:c r="EE61" s="876" t="str">
        <x:f t="shared" si="133"/>
        <x:v/>
      </x:c>
      <x:c r="EF61" s="876" t="str">
        <x:f t="shared" si="134"/>
        <x:v/>
      </x:c>
      <x:c r="EG61" s="876" t="str">
        <x:f t="shared" si="135"/>
        <x:v/>
      </x:c>
      <x:c r="EH61" s="876" t="str">
        <x:f t="shared" si="136"/>
        <x:v/>
      </x:c>
      <x:c r="EI61" s="876" t="str">
        <x:f t="shared" si="137"/>
        <x:v/>
      </x:c>
      <x:c r="EJ61" s="876" t="str">
        <x:f t="shared" si="138"/>
        <x:v/>
      </x:c>
      <x:c r="EK61" s="874">
        <x:f t="shared" si="139"/>
        <x:v>0</x:v>
      </x:c>
      <x:c r="EL61" s="874">
        <x:f t="shared" si="140"/>
        <x:v>0</x:v>
      </x:c>
      <x:c r="EM61" s="874">
        <x:f t="shared" si="141"/>
        <x:v>0</x:v>
      </x:c>
      <x:c r="EN61" s="874" t="str">
        <x:f t="shared" si="142"/>
        <x:v/>
      </x:c>
      <x:c r="EO61" s="873" t="str">
        <x:f t="shared" si="143"/>
        <x:v/>
      </x:c>
      <x:c r="EP61" s="874">
        <x:f t="shared" si="144"/>
        <x:v>0</x:v>
      </x:c>
      <x:c r="EQ61" s="874">
        <x:f t="shared" si="145"/>
        <x:v>0</x:v>
      </x:c>
      <x:c r="ER61" s="874">
        <x:f t="shared" si="146"/>
        <x:v>0</x:v>
      </x:c>
      <x:c r="ES61" s="874" t="str">
        <x:f t="shared" si="147"/>
        <x:v/>
      </x:c>
      <x:c r="ET61" s="873" t="str">
        <x:f t="shared" si="148"/>
        <x:v/>
      </x:c>
      <x:c r="EU61" s="873">
        <x:f t="shared" si="149"/>
        <x:v>0</x:v>
      </x:c>
      <x:c r="EV61" s="876" t="e">
        <x:f t="shared" si="150"/>
        <x:v>#VALUE!</x:v>
      </x:c>
      <x:c r="EW61" s="876" t="e">
        <x:f t="shared" si="151"/>
        <x:v>#VALUE!</x:v>
      </x:c>
      <x:c r="EX61" s="878" t="str">
        <x:f t="shared" si="152"/>
        <x:v/>
      </x:c>
      <x:c r="EY61" s="879">
        <x:f t="shared" si="153"/>
        <x:v>25</x:v>
      </x:c>
      <x:c r="EZ61" s="959">
        <x:f t="shared" si="154"/>
        <x:v>0</x:v>
      </x:c>
      <x:c r="FA61" s="960">
        <x:f t="shared" si="155"/>
        <x:v>0</x:v>
      </x:c>
      <x:c r="FB61" s="880" t="str">
        <x:f t="shared" si="156"/>
        <x:v/>
      </x:c>
      <x:c r="FC61" s="881" t="str">
        <x:f t="shared" si="157"/>
        <x:v/>
      </x:c>
      <x:c r="FD61" s="890">
        <x:f t="shared" si="158"/>
        <x:v>0</x:v>
      </x:c>
      <x:c r="FE61" s="833">
        <x:f t="shared" si="159"/>
        <x:v>0</x:v>
      </x:c>
      <x:c r="FF61" s="754" t="b">
        <x:f t="shared" si="160"/>
        <x:v>0</x:v>
      </x:c>
      <x:c r="FG61" s="754" t="b">
        <x:f t="shared" si="161"/>
        <x:v>0</x:v>
      </x:c>
      <x:c r="FH61" s="754" t="b">
        <x:f t="shared" si="162"/>
        <x:v>0</x:v>
      </x:c>
      <x:c r="FI61" s="754" t="b">
        <x:f t="shared" si="163"/>
        <x:v>0</x:v>
      </x:c>
      <x:c r="FJ61" s="920" t="str">
        <x:f t="shared" si="177"/>
        <x:v/>
      </x:c>
      <x:c r="FK61" s="919" t="str">
        <x:f t="shared" si="178"/>
        <x:v/>
      </x:c>
      <x:c r="FL61" s="320" t="e">
        <x:f t="shared" si="179"/>
        <x:v>#N/A</x:v>
      </x:c>
      <x:c r="FM61" s="312" t="str">
        <x:f t="shared" si="164"/>
        <x:v/>
      </x:c>
      <x:c r="FN61" s="272" t="str">
        <x:f t="shared" ca="1" si="180"/>
        <x:v/>
      </x:c>
      <x:c r="FO61" s="273" t="str">
        <x:f t="shared" ca="1" si="181"/>
        <x:v/>
      </x:c>
      <x:c r="FP61" s="274" t="str">
        <x:f t="shared" ca="1" si="182"/>
        <x:v/>
      </x:c>
      <x:c r="FQ61" s="274" t="str">
        <x:f t="shared" ca="1" si="183"/>
        <x:v/>
      </x:c>
      <x:c r="FR61" s="321">
        <x:f t="shared" ca="1" si="184"/>
        <x:v>0</x:v>
      </x:c>
      <x:c r="FS61" s="322">
        <x:f t="shared" ca="1" si="185"/>
        <x:v>0</x:v>
      </x:c>
      <x:c r="FT61" s="272" t="str">
        <x:f t="shared" ca="1" si="186"/>
        <x:v/>
      </x:c>
      <x:c r="FU61" s="275" t="str">
        <x:f t="shared" ca="1" si="187"/>
        <x:v/>
      </x:c>
      <x:c r="FV61" s="323" t="str">
        <x:f t="shared" ca="1" si="165"/>
        <x:v/>
      </x:c>
      <x:c r="FW61" s="276" t="str">
        <x:f t="shared" ca="1" si="188"/>
        <x:v/>
      </x:c>
      <x:c r="FX61" s="276" t="str">
        <x:f t="shared" ca="1" si="189"/>
        <x:v/>
      </x:c>
      <x:c r="FY61" s="276" t="str">
        <x:f t="shared" ca="1" si="190"/>
        <x:v/>
      </x:c>
      <x:c r="FZ61" s="276" t="str">
        <x:f t="shared" ca="1" si="191"/>
        <x:v/>
      </x:c>
      <x:c r="GA61" s="276" t="str">
        <x:f t="shared" ca="1" si="192"/>
        <x:v/>
      </x:c>
      <x:c r="GB61" s="277" t="str">
        <x:f ca="1">IF(FY61="","",2+SUM(FO61:OFFSET(FO61,(FU61-1)*-1,0)))</x:f>
        <x:v/>
      </x:c>
      <x:c r="GC61" s="316" t="e">
        <x:f t="shared" si="193"/>
        <x:v>#N/A</x:v>
      </x:c>
      <x:c r="GD61" s="324" t="str">
        <x:f t="shared" si="166"/>
        <x:v/>
      </x:c>
      <x:c r="GE61" s="325" t="str">
        <x:f t="shared" si="167"/>
        <x:v/>
      </x:c>
      <x:c r="GF61" s="278" t="str">
        <x:f t="shared" si="168"/>
        <x:v/>
      </x:c>
      <x:c r="GG61" s="279" t="str">
        <x:f t="shared" si="169"/>
        <x:v/>
      </x:c>
      <x:c r="GH61" s="279" t="str">
        <x:f t="shared" si="170"/>
        <x:v/>
      </x:c>
      <x:c r="GI61" s="280" t="str">
        <x:f t="shared" si="171"/>
        <x:v/>
      </x:c>
      <x:c r="GJ61" s="530">
        <x:f t="shared" ca="1" si="172"/>
        <x:v>0</x:v>
      </x:c>
      <x:c r="GK61" s="895" t="str">
        <x:f t="shared" ca="1" si="194"/>
        <x:v/>
      </x:c>
    </x:row>
    <x:row r="62" spans="1:193" ht="12.6" hidden="1" customHeight="1" x14ac:dyDescent="0.2">
      <x:c r="BZ62" s="293"/>
      <x:c r="CA62" s="293"/>
      <x:c r="CB62" s="365" t="str">
        <x:f t="shared" si="100"/>
        <x:v/>
      </x:c>
      <x:c r="CC62" s="366" t="str">
        <x:f>IF(CG22="","",VLOOKUP(CG22,SectInfo!$B:$N,12,FALSE))</x:f>
        <x:v/>
      </x:c>
      <x:c r="CD62" s="1305" t="str">
        <x:f>IF(ISBLANK(CN22),IF(CG22="","",VLOOKUP(CG22,SectInfo!$B:$N,13,FALSE)),CN22)</x:f>
        <x:v/>
      </x:c>
      <x:c r="CE62" s="1305" t="str">
        <x:f>IF(CG22="","",IF(VLOOKUP(CG22,SectInfo!$B:$N,5,FALSE)="","R",UPPER(VLOOKUP(CG22,SectInfo!$B:$N,5,FALSE))))</x:f>
        <x:v/>
      </x:c>
      <x:c r="CF62" s="1305" t="str">
        <x:f>IF(ISBLANK(CP22),IF(CG22="","",VLOOKUP(CG22,SectInfo!$B:$N,6,FALSE)),CP22)</x:f>
        <x:v/>
      </x:c>
      <x:c r="CG62" s="1305" t="str">
        <x:f>IF(CG22="","",IF(VLOOKUP(CG22,SectInfo!$B:$N,10,FALSE)="","",(VLOOKUP(CG22,SectInfo!$B:$N,10,FALSE)*-1)))</x:f>
        <x:v/>
      </x:c>
      <x:c r="CH62" s="1305" t="str">
        <x:f>IF(CG22="","",IF(VLOOKUP(CG22,SectInfo!$B:$N,7,FALSE)="","",(VLOOKUP(CG22,SectInfo!$B:$N,7,FALSE)*-1)))</x:f>
        <x:v/>
      </x:c>
      <x:c r="CI62" s="1305" t="str">
        <x:f>IF(CG22="","",IF(VLOOKUP(CG22,SectInfo!$B:$N,8,FALSE)="",$FC$4,(VLOOKUP(CG22,SectInfo!$B:$N,8,FALSE))))</x:f>
        <x:v/>
      </x:c>
      <x:c r="CJ62" s="1305" t="str">
        <x:f>IF(CG22="","",VLOOKUP(CG22,SectInfo!$B:$N,9,FALSE))</x:f>
        <x:v/>
      </x:c>
      <x:c r="CK62" s="1306">
        <x:f t="shared" si="101"/>
        <x:v>0</x:v>
      </x:c>
      <x:c r="CL62" s="1304" t="str">
        <x:f>IF(CQ22="","",VLOOKUP(CQ22,SectInfo!$B:$N,12,FALSE))</x:f>
        <x:v/>
      </x:c>
      <x:c r="CM62" s="1305" t="str">
        <x:f>IF(ISBLANK(CX22),IF(CQ22="","",VLOOKUP(CQ22,SectInfo!$B:$N,13,FALSE)),CX22)</x:f>
        <x:v/>
      </x:c>
      <x:c r="CN62" s="1305" t="str">
        <x:f>IF(CQ22="","",IF(VLOOKUP(CQ22,SectInfo!$B:$N,5,FALSE)="","R",UPPER(VLOOKUP(CQ22,SectInfo!$B:$N,5,FALSE))))</x:f>
        <x:v/>
      </x:c>
      <x:c r="CO62" s="1305" t="str">
        <x:f>IF(ISBLANK(CZ22),IF(CQ22="","",VLOOKUP(CQ22,SectInfo!$B:$N,6,FALSE)),CZ22)</x:f>
        <x:v/>
      </x:c>
      <x:c r="CP62" s="1305" t="str">
        <x:f>IF(CQ22="","",IF(VLOOKUP(CQ22,SectInfo!$B:$N,10,FALSE)="","",(VLOOKUP(CQ22,SectInfo!$B:$N,10,FALSE)*-1)))</x:f>
        <x:v/>
      </x:c>
      <x:c r="CQ62" s="1305" t="str">
        <x:f>IF(CQ22="","",IF(VLOOKUP(CQ22,SectInfo!$B:$N,7,FALSE)="","",(VLOOKUP(CQ22,SectInfo!$B:$N,7,FALSE)*-1)))</x:f>
        <x:v/>
      </x:c>
      <x:c r="CR62" s="1305" t="str">
        <x:f>IF(CQ22="","",IF(VLOOKUP(CQ22,SectInfo!$B:$N,8,FALSE)="",$FC$4,(VLOOKUP(CQ22,SectInfo!$B:$N,8,FALSE))))</x:f>
        <x:v/>
      </x:c>
      <x:c r="CS62" s="1305" t="str">
        <x:f>IF(CQ22="","",VLOOKUP(CQ22,SectInfo!$B:$N,9,FALSE))</x:f>
        <x:v/>
      </x:c>
      <x:c r="CT62" s="1306">
        <x:f t="shared" si="102"/>
        <x:v>0</x:v>
      </x:c>
      <x:c r="CU62" s="1316">
        <x:f t="shared" si="103"/>
        <x:v>0</x:v>
      </x:c>
      <x:c r="CV62" s="1310" t="str">
        <x:f t="shared" si="104"/>
        <x:v/>
      </x:c>
      <x:c r="CW62" s="1310" t="str">
        <x:f t="shared" si="105"/>
        <x:v/>
      </x:c>
      <x:c r="CX62" s="1310" t="str">
        <x:f t="shared" si="106"/>
        <x:v/>
      </x:c>
      <x:c r="CY62" s="1312">
        <x:f t="shared" si="107"/>
        <x:v>0</x:v>
      </x:c>
      <x:c r="CZ62" s="1312">
        <x:f t="shared" si="108"/>
        <x:v>0</x:v>
      </x:c>
      <x:c r="DA62" s="1312" t="str">
        <x:f t="shared" si="109"/>
        <x:v/>
      </x:c>
      <x:c r="DB62" s="1310" t="str">
        <x:f t="shared" si="173"/>
        <x:v/>
      </x:c>
      <x:c r="DC62" s="1310" t="str">
        <x:f t="shared" si="110"/>
        <x:v/>
      </x:c>
      <x:c r="DD62" s="875">
        <x:f t="shared" si="174"/>
        <x:v>0</x:v>
      </x:c>
      <x:c r="DE62" s="873">
        <x:f t="shared" si="111"/>
        <x:v>0</x:v>
      </x:c>
      <x:c r="DF62" s="874">
        <x:f t="shared" si="112"/>
        <x:v>0</x:v>
      </x:c>
      <x:c r="DG62" s="874" t="str">
        <x:f t="shared" si="113"/>
        <x:v/>
      </x:c>
      <x:c r="DH62" s="1310" t="str">
        <x:f t="shared" si="175"/>
        <x:v/>
      </x:c>
      <x:c r="DI62" s="1310" t="str">
        <x:f t="shared" si="114"/>
        <x:v/>
      </x:c>
      <x:c r="DJ62" s="1311">
        <x:f t="shared" si="176"/>
        <x:v>0</x:v>
      </x:c>
      <x:c r="DK62" s="1310" t="str">
        <x:f t="shared" si="115"/>
        <x:v/>
      </x:c>
      <x:c r="DL62" s="1310" t="str">
        <x:f t="shared" si="116"/>
        <x:v/>
      </x:c>
      <x:c r="DM62" s="1310" t="str">
        <x:f t="shared" si="117"/>
        <x:v/>
      </x:c>
      <x:c r="DN62" s="1310" t="str">
        <x:f t="shared" si="118"/>
        <x:v/>
      </x:c>
      <x:c r="DO62" s="889" t="str">
        <x:f t="shared" si="119"/>
        <x:v>ERR</x:v>
      </x:c>
      <x:c r="DP62" s="889" t="str">
        <x:f t="shared" si="120"/>
        <x:v>ERR</x:v>
      </x:c>
      <x:c r="DQ62" s="1310" t="str">
        <x:f t="shared" si="121"/>
        <x:v/>
      </x:c>
      <x:c r="DR62" s="1310" t="str">
        <x:f t="shared" si="121"/>
        <x:v/>
      </x:c>
      <x:c r="DS62" s="1310" t="str">
        <x:f t="shared" si="122"/>
        <x:v/>
      </x:c>
      <x:c r="DT62" s="1310" t="str">
        <x:f t="shared" si="123"/>
        <x:v/>
      </x:c>
      <x:c r="DU62" s="1310" t="str">
        <x:f t="shared" si="124"/>
        <x:v/>
      </x:c>
      <x:c r="DV62" s="889" t="str">
        <x:f t="shared" si="125"/>
        <x:v>ERR</x:v>
      </x:c>
      <x:c r="DW62" s="889" t="str">
        <x:f t="shared" si="126"/>
        <x:v>ERR</x:v>
      </x:c>
      <x:c r="DX62" s="873" t="str">
        <x:f t="shared" si="127"/>
        <x:v/>
      </x:c>
      <x:c r="DY62" s="873" t="str">
        <x:f t="shared" si="127"/>
        <x:v/>
      </x:c>
      <x:c r="DZ62" s="873" t="str">
        <x:f t="shared" si="128"/>
        <x:v/>
      </x:c>
      <x:c r="EA62" s="873" t="str">
        <x:f t="shared" si="129"/>
        <x:v/>
      </x:c>
      <x:c r="EB62" s="876" t="str">
        <x:f t="shared" si="130"/>
        <x:v/>
      </x:c>
      <x:c r="EC62" s="877" t="str">
        <x:f t="shared" si="131"/>
        <x:v/>
      </x:c>
      <x:c r="ED62" s="876" t="str">
        <x:f t="shared" si="132"/>
        <x:v/>
      </x:c>
      <x:c r="EE62" s="876" t="str">
        <x:f t="shared" si="133"/>
        <x:v/>
      </x:c>
      <x:c r="EF62" s="876" t="str">
        <x:f t="shared" si="134"/>
        <x:v/>
      </x:c>
      <x:c r="EG62" s="876" t="str">
        <x:f t="shared" si="135"/>
        <x:v/>
      </x:c>
      <x:c r="EH62" s="876" t="str">
        <x:f t="shared" si="136"/>
        <x:v/>
      </x:c>
      <x:c r="EI62" s="876" t="str">
        <x:f t="shared" si="137"/>
        <x:v/>
      </x:c>
      <x:c r="EJ62" s="876" t="str">
        <x:f t="shared" si="138"/>
        <x:v/>
      </x:c>
      <x:c r="EK62" s="874">
        <x:f t="shared" si="139"/>
        <x:v>0</x:v>
      </x:c>
      <x:c r="EL62" s="874">
        <x:f t="shared" si="140"/>
        <x:v>0</x:v>
      </x:c>
      <x:c r="EM62" s="874">
        <x:f t="shared" si="141"/>
        <x:v>0</x:v>
      </x:c>
      <x:c r="EN62" s="874" t="str">
        <x:f t="shared" si="142"/>
        <x:v/>
      </x:c>
      <x:c r="EO62" s="873" t="str">
        <x:f t="shared" si="143"/>
        <x:v/>
      </x:c>
      <x:c r="EP62" s="874">
        <x:f t="shared" si="144"/>
        <x:v>0</x:v>
      </x:c>
      <x:c r="EQ62" s="874">
        <x:f t="shared" si="145"/>
        <x:v>0</x:v>
      </x:c>
      <x:c r="ER62" s="874">
        <x:f t="shared" si="146"/>
        <x:v>0</x:v>
      </x:c>
      <x:c r="ES62" s="874" t="str">
        <x:f t="shared" si="147"/>
        <x:v/>
      </x:c>
      <x:c r="ET62" s="873" t="str">
        <x:f t="shared" si="148"/>
        <x:v/>
      </x:c>
      <x:c r="EU62" s="873">
        <x:f t="shared" si="149"/>
        <x:v>0</x:v>
      </x:c>
      <x:c r="EV62" s="876" t="e">
        <x:f t="shared" si="150"/>
        <x:v>#VALUE!</x:v>
      </x:c>
      <x:c r="EW62" s="876" t="e">
        <x:f t="shared" si="151"/>
        <x:v>#VALUE!</x:v>
      </x:c>
      <x:c r="EX62" s="878" t="str">
        <x:f t="shared" si="152"/>
        <x:v/>
      </x:c>
      <x:c r="EY62" s="879">
        <x:f t="shared" si="153"/>
        <x:v>25</x:v>
      </x:c>
      <x:c r="EZ62" s="959">
        <x:f t="shared" si="154"/>
        <x:v>0</x:v>
      </x:c>
      <x:c r="FA62" s="960">
        <x:f t="shared" si="155"/>
        <x:v>0</x:v>
      </x:c>
      <x:c r="FB62" s="880" t="str">
        <x:f t="shared" si="156"/>
        <x:v/>
      </x:c>
      <x:c r="FC62" s="881" t="str">
        <x:f t="shared" si="157"/>
        <x:v/>
      </x:c>
      <x:c r="FD62" s="890">
        <x:f t="shared" si="158"/>
        <x:v>0</x:v>
      </x:c>
      <x:c r="FE62" s="833">
        <x:f t="shared" si="159"/>
        <x:v>0</x:v>
      </x:c>
      <x:c r="FF62" s="754" t="b">
        <x:f t="shared" si="160"/>
        <x:v>0</x:v>
      </x:c>
      <x:c r="FG62" s="754" t="b">
        <x:f t="shared" si="161"/>
        <x:v>0</x:v>
      </x:c>
      <x:c r="FH62" s="754" t="b">
        <x:f t="shared" si="162"/>
        <x:v>0</x:v>
      </x:c>
      <x:c r="FI62" s="754" t="b">
        <x:f t="shared" si="163"/>
        <x:v>0</x:v>
      </x:c>
      <x:c r="FJ62" s="920" t="str">
        <x:f t="shared" si="177"/>
        <x:v/>
      </x:c>
      <x:c r="FK62" s="919" t="str">
        <x:f t="shared" si="178"/>
        <x:v/>
      </x:c>
      <x:c r="FL62" s="320" t="e">
        <x:f t="shared" si="179"/>
        <x:v>#N/A</x:v>
      </x:c>
      <x:c r="FM62" s="312" t="str">
        <x:f t="shared" si="164"/>
        <x:v/>
      </x:c>
      <x:c r="FN62" s="272" t="str">
        <x:f t="shared" ca="1" si="180"/>
        <x:v/>
      </x:c>
      <x:c r="FO62" s="273" t="str">
        <x:f t="shared" ca="1" si="181"/>
        <x:v/>
      </x:c>
      <x:c r="FP62" s="274" t="str">
        <x:f t="shared" ca="1" si="182"/>
        <x:v/>
      </x:c>
      <x:c r="FQ62" s="274" t="str">
        <x:f t="shared" ca="1" si="183"/>
        <x:v/>
      </x:c>
      <x:c r="FR62" s="321">
        <x:f t="shared" ca="1" si="184"/>
        <x:v>0</x:v>
      </x:c>
      <x:c r="FS62" s="322">
        <x:f t="shared" ca="1" si="185"/>
        <x:v>0</x:v>
      </x:c>
      <x:c r="FT62" s="272" t="str">
        <x:f t="shared" ca="1" si="186"/>
        <x:v/>
      </x:c>
      <x:c r="FU62" s="275" t="str">
        <x:f t="shared" ca="1" si="187"/>
        <x:v/>
      </x:c>
      <x:c r="FV62" s="323" t="str">
        <x:f t="shared" ca="1" si="165"/>
        <x:v/>
      </x:c>
      <x:c r="FW62" s="276" t="str">
        <x:f t="shared" ca="1" si="188"/>
        <x:v/>
      </x:c>
      <x:c r="FX62" s="276" t="str">
        <x:f t="shared" ca="1" si="189"/>
        <x:v/>
      </x:c>
      <x:c r="FY62" s="276" t="str">
        <x:f t="shared" ca="1" si="190"/>
        <x:v/>
      </x:c>
      <x:c r="FZ62" s="276" t="str">
        <x:f t="shared" ca="1" si="191"/>
        <x:v/>
      </x:c>
      <x:c r="GA62" s="276" t="str">
        <x:f t="shared" ca="1" si="192"/>
        <x:v/>
      </x:c>
      <x:c r="GB62" s="277" t="str">
        <x:f ca="1">IF(FY62="","",2+SUM(FO62:OFFSET(FO62,(FU62-1)*-1,0)))</x:f>
        <x:v/>
      </x:c>
      <x:c r="GC62" s="316" t="e">
        <x:f t="shared" si="193"/>
        <x:v>#N/A</x:v>
      </x:c>
      <x:c r="GD62" s="324" t="str">
        <x:f t="shared" si="166"/>
        <x:v/>
      </x:c>
      <x:c r="GE62" s="325" t="str">
        <x:f t="shared" si="167"/>
        <x:v/>
      </x:c>
      <x:c r="GF62" s="278" t="str">
        <x:f t="shared" si="168"/>
        <x:v/>
      </x:c>
      <x:c r="GG62" s="279" t="str">
        <x:f t="shared" si="169"/>
        <x:v/>
      </x:c>
      <x:c r="GH62" s="279" t="str">
        <x:f t="shared" si="170"/>
        <x:v/>
      </x:c>
      <x:c r="GI62" s="280" t="str">
        <x:f t="shared" si="171"/>
        <x:v/>
      </x:c>
      <x:c r="GJ62" s="530">
        <x:f t="shared" ca="1" si="172"/>
        <x:v>0</x:v>
      </x:c>
      <x:c r="GK62" s="895" t="str">
        <x:f t="shared" ca="1" si="194"/>
        <x:v/>
      </x:c>
    </x:row>
    <x:row r="63" spans="1:193" ht="12.6" hidden="1" customHeight="1" x14ac:dyDescent="0.2">
      <x:c r="BZ63" s="293"/>
      <x:c r="CA63" s="293"/>
      <x:c r="CB63" s="365" t="str">
        <x:f t="shared" si="100"/>
        <x:v/>
      </x:c>
      <x:c r="CC63" s="366" t="str">
        <x:f>IF(CG23="","",VLOOKUP(CG23,SectInfo!$B:$N,12,FALSE))</x:f>
        <x:v/>
      </x:c>
      <x:c r="CD63" s="1305" t="str">
        <x:f>IF(ISBLANK(CN23),IF(CG23="","",VLOOKUP(CG23,SectInfo!$B:$N,13,FALSE)),CN23)</x:f>
        <x:v/>
      </x:c>
      <x:c r="CE63" s="1305" t="str">
        <x:f>IF(CG23="","",IF(VLOOKUP(CG23,SectInfo!$B:$N,5,FALSE)="","R",UPPER(VLOOKUP(CG23,SectInfo!$B:$N,5,FALSE))))</x:f>
        <x:v/>
      </x:c>
      <x:c r="CF63" s="1305" t="str">
        <x:f>IF(ISBLANK(CP23),IF(CG23="","",VLOOKUP(CG23,SectInfo!$B:$N,6,FALSE)),CP23)</x:f>
        <x:v/>
      </x:c>
      <x:c r="CG63" s="1305" t="str">
        <x:f>IF(CG23="","",IF(VLOOKUP(CG23,SectInfo!$B:$N,10,FALSE)="","",(VLOOKUP(CG23,SectInfo!$B:$N,10,FALSE)*-1)))</x:f>
        <x:v/>
      </x:c>
      <x:c r="CH63" s="1305" t="str">
        <x:f>IF(CG23="","",IF(VLOOKUP(CG23,SectInfo!$B:$N,7,FALSE)="","",(VLOOKUP(CG23,SectInfo!$B:$N,7,FALSE)*-1)))</x:f>
        <x:v/>
      </x:c>
      <x:c r="CI63" s="1305" t="str">
        <x:f>IF(CG23="","",IF(VLOOKUP(CG23,SectInfo!$B:$N,8,FALSE)="",$FC$4,(VLOOKUP(CG23,SectInfo!$B:$N,8,FALSE))))</x:f>
        <x:v/>
      </x:c>
      <x:c r="CJ63" s="1305" t="str">
        <x:f>IF(CG23="","",VLOOKUP(CG23,SectInfo!$B:$N,9,FALSE))</x:f>
        <x:v/>
      </x:c>
      <x:c r="CK63" s="1306">
        <x:f t="shared" si="101"/>
        <x:v>0</x:v>
      </x:c>
      <x:c r="CL63" s="1304" t="str">
        <x:f>IF(CQ23="","",VLOOKUP(CQ23,SectInfo!$B:$N,12,FALSE))</x:f>
        <x:v/>
      </x:c>
      <x:c r="CM63" s="1305" t="str">
        <x:f>IF(ISBLANK(CX23),IF(CQ23="","",VLOOKUP(CQ23,SectInfo!$B:$N,13,FALSE)),CX23)</x:f>
        <x:v/>
      </x:c>
      <x:c r="CN63" s="1305" t="str">
        <x:f>IF(CQ23="","",IF(VLOOKUP(CQ23,SectInfo!$B:$N,5,FALSE)="","R",UPPER(VLOOKUP(CQ23,SectInfo!$B:$N,5,FALSE))))</x:f>
        <x:v/>
      </x:c>
      <x:c r="CO63" s="1305" t="str">
        <x:f>IF(ISBLANK(CZ23),IF(CQ23="","",VLOOKUP(CQ23,SectInfo!$B:$N,6,FALSE)),CZ23)</x:f>
        <x:v/>
      </x:c>
      <x:c r="CP63" s="1305" t="str">
        <x:f>IF(CQ23="","",IF(VLOOKUP(CQ23,SectInfo!$B:$N,10,FALSE)="","",(VLOOKUP(CQ23,SectInfo!$B:$N,10,FALSE)*-1)))</x:f>
        <x:v/>
      </x:c>
      <x:c r="CQ63" s="1305" t="str">
        <x:f>IF(CQ23="","",IF(VLOOKUP(CQ23,SectInfo!$B:$N,7,FALSE)="","",(VLOOKUP(CQ23,SectInfo!$B:$N,7,FALSE)*-1)))</x:f>
        <x:v/>
      </x:c>
      <x:c r="CR63" s="1305" t="str">
        <x:f>IF(CQ23="","",IF(VLOOKUP(CQ23,SectInfo!$B:$N,8,FALSE)="",$FC$4,(VLOOKUP(CQ23,SectInfo!$B:$N,8,FALSE))))</x:f>
        <x:v/>
      </x:c>
      <x:c r="CS63" s="1305" t="str">
        <x:f>IF(CQ23="","",VLOOKUP(CQ23,SectInfo!$B:$N,9,FALSE))</x:f>
        <x:v/>
      </x:c>
      <x:c r="CT63" s="1306">
        <x:f t="shared" si="102"/>
        <x:v>0</x:v>
      </x:c>
      <x:c r="CU63" s="1316">
        <x:f t="shared" si="103"/>
        <x:v>0</x:v>
      </x:c>
      <x:c r="CV63" s="1310" t="str">
        <x:f t="shared" si="104"/>
        <x:v/>
      </x:c>
      <x:c r="CW63" s="1310" t="str">
        <x:f t="shared" si="105"/>
        <x:v/>
      </x:c>
      <x:c r="CX63" s="1310" t="str">
        <x:f t="shared" si="106"/>
        <x:v/>
      </x:c>
      <x:c r="CY63" s="1312">
        <x:f t="shared" si="107"/>
        <x:v>0</x:v>
      </x:c>
      <x:c r="CZ63" s="1312">
        <x:f t="shared" si="108"/>
        <x:v>0</x:v>
      </x:c>
      <x:c r="DA63" s="1312" t="str">
        <x:f t="shared" si="109"/>
        <x:v/>
      </x:c>
      <x:c r="DB63" s="1310" t="str">
        <x:f t="shared" si="173"/>
        <x:v/>
      </x:c>
      <x:c r="DC63" s="1310" t="str">
        <x:f t="shared" si="110"/>
        <x:v/>
      </x:c>
      <x:c r="DD63" s="875">
        <x:f t="shared" si="174"/>
        <x:v>0</x:v>
      </x:c>
      <x:c r="DE63" s="873">
        <x:f t="shared" si="111"/>
        <x:v>0</x:v>
      </x:c>
      <x:c r="DF63" s="874">
        <x:f t="shared" si="112"/>
        <x:v>0</x:v>
      </x:c>
      <x:c r="DG63" s="874" t="str">
        <x:f t="shared" si="113"/>
        <x:v/>
      </x:c>
      <x:c r="DH63" s="1310" t="str">
        <x:f t="shared" si="175"/>
        <x:v/>
      </x:c>
      <x:c r="DI63" s="1310" t="str">
        <x:f t="shared" si="114"/>
        <x:v/>
      </x:c>
      <x:c r="DJ63" s="1311">
        <x:f t="shared" si="176"/>
        <x:v>0</x:v>
      </x:c>
      <x:c r="DK63" s="1310" t="str">
        <x:f t="shared" si="115"/>
        <x:v/>
      </x:c>
      <x:c r="DL63" s="1310" t="str">
        <x:f t="shared" si="116"/>
        <x:v/>
      </x:c>
      <x:c r="DM63" s="1310" t="str">
        <x:f t="shared" si="117"/>
        <x:v/>
      </x:c>
      <x:c r="DN63" s="1310" t="str">
        <x:f t="shared" si="118"/>
        <x:v/>
      </x:c>
      <x:c r="DO63" s="889" t="str">
        <x:f t="shared" si="119"/>
        <x:v>ERR</x:v>
      </x:c>
      <x:c r="DP63" s="889" t="str">
        <x:f t="shared" si="120"/>
        <x:v>ERR</x:v>
      </x:c>
      <x:c r="DQ63" s="1310" t="str">
        <x:f t="shared" si="121"/>
        <x:v/>
      </x:c>
      <x:c r="DR63" s="1310" t="str">
        <x:f t="shared" si="121"/>
        <x:v/>
      </x:c>
      <x:c r="DS63" s="1310" t="str">
        <x:f t="shared" si="122"/>
        <x:v/>
      </x:c>
      <x:c r="DT63" s="1310" t="str">
        <x:f t="shared" si="123"/>
        <x:v/>
      </x:c>
      <x:c r="DU63" s="1310" t="str">
        <x:f t="shared" si="124"/>
        <x:v/>
      </x:c>
      <x:c r="DV63" s="889" t="str">
        <x:f t="shared" si="125"/>
        <x:v>ERR</x:v>
      </x:c>
      <x:c r="DW63" s="889" t="str">
        <x:f t="shared" si="126"/>
        <x:v>ERR</x:v>
      </x:c>
      <x:c r="DX63" s="873" t="str">
        <x:f t="shared" si="127"/>
        <x:v/>
      </x:c>
      <x:c r="DY63" s="873" t="str">
        <x:f t="shared" si="127"/>
        <x:v/>
      </x:c>
      <x:c r="DZ63" s="873" t="str">
        <x:f t="shared" si="128"/>
        <x:v/>
      </x:c>
      <x:c r="EA63" s="873" t="str">
        <x:f t="shared" si="129"/>
        <x:v/>
      </x:c>
      <x:c r="EB63" s="876" t="str">
        <x:f t="shared" si="130"/>
        <x:v/>
      </x:c>
      <x:c r="EC63" s="877" t="str">
        <x:f t="shared" si="131"/>
        <x:v/>
      </x:c>
      <x:c r="ED63" s="876" t="str">
        <x:f t="shared" si="132"/>
        <x:v/>
      </x:c>
      <x:c r="EE63" s="876" t="str">
        <x:f t="shared" si="133"/>
        <x:v/>
      </x:c>
      <x:c r="EF63" s="876" t="str">
        <x:f t="shared" si="134"/>
        <x:v/>
      </x:c>
      <x:c r="EG63" s="876" t="str">
        <x:f t="shared" si="135"/>
        <x:v/>
      </x:c>
      <x:c r="EH63" s="876" t="str">
        <x:f t="shared" si="136"/>
        <x:v/>
      </x:c>
      <x:c r="EI63" s="876" t="str">
        <x:f t="shared" si="137"/>
        <x:v/>
      </x:c>
      <x:c r="EJ63" s="876" t="str">
        <x:f t="shared" si="138"/>
        <x:v/>
      </x:c>
      <x:c r="EK63" s="874">
        <x:f t="shared" si="139"/>
        <x:v>0</x:v>
      </x:c>
      <x:c r="EL63" s="874">
        <x:f t="shared" si="140"/>
        <x:v>0</x:v>
      </x:c>
      <x:c r="EM63" s="874">
        <x:f t="shared" si="141"/>
        <x:v>0</x:v>
      </x:c>
      <x:c r="EN63" s="874" t="str">
        <x:f t="shared" si="142"/>
        <x:v/>
      </x:c>
      <x:c r="EO63" s="873" t="str">
        <x:f t="shared" si="143"/>
        <x:v/>
      </x:c>
      <x:c r="EP63" s="874">
        <x:f t="shared" si="144"/>
        <x:v>0</x:v>
      </x:c>
      <x:c r="EQ63" s="874">
        <x:f t="shared" si="145"/>
        <x:v>0</x:v>
      </x:c>
      <x:c r="ER63" s="874">
        <x:f t="shared" si="146"/>
        <x:v>0</x:v>
      </x:c>
      <x:c r="ES63" s="874" t="str">
        <x:f t="shared" si="147"/>
        <x:v/>
      </x:c>
      <x:c r="ET63" s="873" t="str">
        <x:f t="shared" si="148"/>
        <x:v/>
      </x:c>
      <x:c r="EU63" s="873">
        <x:f t="shared" si="149"/>
        <x:v>0</x:v>
      </x:c>
      <x:c r="EV63" s="876" t="e">
        <x:f t="shared" si="150"/>
        <x:v>#VALUE!</x:v>
      </x:c>
      <x:c r="EW63" s="876" t="e">
        <x:f t="shared" si="151"/>
        <x:v>#VALUE!</x:v>
      </x:c>
      <x:c r="EX63" s="878" t="str">
        <x:f t="shared" si="152"/>
        <x:v/>
      </x:c>
      <x:c r="EY63" s="879">
        <x:f t="shared" si="153"/>
        <x:v>25</x:v>
      </x:c>
      <x:c r="EZ63" s="959">
        <x:f t="shared" si="154"/>
        <x:v>0</x:v>
      </x:c>
      <x:c r="FA63" s="960">
        <x:f t="shared" si="155"/>
        <x:v>0</x:v>
      </x:c>
      <x:c r="FB63" s="880" t="str">
        <x:f t="shared" si="156"/>
        <x:v/>
      </x:c>
      <x:c r="FC63" s="881" t="str">
        <x:f t="shared" si="157"/>
        <x:v/>
      </x:c>
      <x:c r="FD63" s="890">
        <x:f t="shared" si="158"/>
        <x:v>0</x:v>
      </x:c>
      <x:c r="FE63" s="833">
        <x:f t="shared" si="159"/>
        <x:v>0</x:v>
      </x:c>
      <x:c r="FF63" s="754" t="b">
        <x:f t="shared" si="160"/>
        <x:v>0</x:v>
      </x:c>
      <x:c r="FG63" s="754" t="b">
        <x:f t="shared" si="161"/>
        <x:v>0</x:v>
      </x:c>
      <x:c r="FH63" s="754" t="b">
        <x:f t="shared" si="162"/>
        <x:v>0</x:v>
      </x:c>
      <x:c r="FI63" s="754" t="b">
        <x:f t="shared" si="163"/>
        <x:v>0</x:v>
      </x:c>
      <x:c r="FJ63" s="920" t="str">
        <x:f t="shared" si="177"/>
        <x:v/>
      </x:c>
      <x:c r="FK63" s="919" t="str">
        <x:f t="shared" si="178"/>
        <x:v/>
      </x:c>
      <x:c r="FL63" s="320" t="e">
        <x:f t="shared" si="179"/>
        <x:v>#N/A</x:v>
      </x:c>
      <x:c r="FM63" s="312" t="str">
        <x:f t="shared" si="164"/>
        <x:v/>
      </x:c>
      <x:c r="FN63" s="272" t="str">
        <x:f t="shared" ca="1" si="180"/>
        <x:v/>
      </x:c>
      <x:c r="FO63" s="273" t="str">
        <x:f t="shared" ca="1" si="181"/>
        <x:v/>
      </x:c>
      <x:c r="FP63" s="274" t="str">
        <x:f t="shared" ca="1" si="182"/>
        <x:v/>
      </x:c>
      <x:c r="FQ63" s="274" t="str">
        <x:f t="shared" ca="1" si="183"/>
        <x:v/>
      </x:c>
      <x:c r="FR63" s="321">
        <x:f t="shared" ca="1" si="184"/>
        <x:v>0</x:v>
      </x:c>
      <x:c r="FS63" s="322">
        <x:f t="shared" ca="1" si="185"/>
        <x:v>0</x:v>
      </x:c>
      <x:c r="FT63" s="272" t="str">
        <x:f t="shared" ca="1" si="186"/>
        <x:v/>
      </x:c>
      <x:c r="FU63" s="275" t="str">
        <x:f t="shared" ca="1" si="187"/>
        <x:v/>
      </x:c>
      <x:c r="FV63" s="323" t="str">
        <x:f t="shared" ca="1" si="165"/>
        <x:v/>
      </x:c>
      <x:c r="FW63" s="276" t="str">
        <x:f t="shared" ca="1" si="188"/>
        <x:v/>
      </x:c>
      <x:c r="FX63" s="276" t="str">
        <x:f t="shared" ca="1" si="189"/>
        <x:v/>
      </x:c>
      <x:c r="FY63" s="276" t="str">
        <x:f t="shared" ca="1" si="190"/>
        <x:v/>
      </x:c>
      <x:c r="FZ63" s="276" t="str">
        <x:f t="shared" ca="1" si="191"/>
        <x:v/>
      </x:c>
      <x:c r="GA63" s="276" t="str">
        <x:f t="shared" ca="1" si="192"/>
        <x:v/>
      </x:c>
      <x:c r="GB63" s="277" t="str">
        <x:f ca="1">IF(FY63="","",2+SUM(FO63:OFFSET(FO63,(FU63-1)*-1,0)))</x:f>
        <x:v/>
      </x:c>
      <x:c r="GC63" s="316" t="e">
        <x:f t="shared" si="193"/>
        <x:v>#N/A</x:v>
      </x:c>
      <x:c r="GD63" s="324" t="str">
        <x:f t="shared" si="166"/>
        <x:v/>
      </x:c>
      <x:c r="GE63" s="325" t="str">
        <x:f t="shared" si="167"/>
        <x:v/>
      </x:c>
      <x:c r="GF63" s="278" t="str">
        <x:f t="shared" si="168"/>
        <x:v/>
      </x:c>
      <x:c r="GG63" s="279" t="str">
        <x:f t="shared" si="169"/>
        <x:v/>
      </x:c>
      <x:c r="GH63" s="279" t="str">
        <x:f t="shared" si="170"/>
        <x:v/>
      </x:c>
      <x:c r="GI63" s="280" t="str">
        <x:f t="shared" si="171"/>
        <x:v/>
      </x:c>
      <x:c r="GJ63" s="530">
        <x:f t="shared" ca="1" si="172"/>
        <x:v>0</x:v>
      </x:c>
      <x:c r="GK63" s="895" t="str">
        <x:f t="shared" ca="1" si="194"/>
        <x:v/>
      </x:c>
    </x:row>
    <x:row r="64" spans="1:193" ht="12.6" hidden="1" customHeight="1" x14ac:dyDescent="0.2">
      <x:c r="BZ64" s="293"/>
      <x:c r="CA64" s="293"/>
      <x:c r="CB64" s="365" t="str">
        <x:f t="shared" si="100"/>
        <x:v/>
      </x:c>
      <x:c r="CC64" s="366" t="str">
        <x:f>IF(CG24="","",VLOOKUP(CG24,SectInfo!$B:$N,12,FALSE))</x:f>
        <x:v/>
      </x:c>
      <x:c r="CD64" s="1305" t="str">
        <x:f>IF(ISBLANK(CN24),IF(CG24="","",VLOOKUP(CG24,SectInfo!$B:$N,13,FALSE)),CN24)</x:f>
        <x:v/>
      </x:c>
      <x:c r="CE64" s="1305" t="str">
        <x:f>IF(CG24="","",IF(VLOOKUP(CG24,SectInfo!$B:$N,5,FALSE)="","R",UPPER(VLOOKUP(CG24,SectInfo!$B:$N,5,FALSE))))</x:f>
        <x:v/>
      </x:c>
      <x:c r="CF64" s="1305" t="str">
        <x:f>IF(ISBLANK(CP24),IF(CG24="","",VLOOKUP(CG24,SectInfo!$B:$N,6,FALSE)),CP24)</x:f>
        <x:v/>
      </x:c>
      <x:c r="CG64" s="1305" t="str">
        <x:f>IF(CG24="","",IF(VLOOKUP(CG24,SectInfo!$B:$N,10,FALSE)="","",(VLOOKUP(CG24,SectInfo!$B:$N,10,FALSE)*-1)))</x:f>
        <x:v/>
      </x:c>
      <x:c r="CH64" s="1305" t="str">
        <x:f>IF(CG24="","",IF(VLOOKUP(CG24,SectInfo!$B:$N,7,FALSE)="","",(VLOOKUP(CG24,SectInfo!$B:$N,7,FALSE)*-1)))</x:f>
        <x:v/>
      </x:c>
      <x:c r="CI64" s="1305" t="str">
        <x:f>IF(CG24="","",IF(VLOOKUP(CG24,SectInfo!$B:$N,8,FALSE)="",$FC$4,(VLOOKUP(CG24,SectInfo!$B:$N,8,FALSE))))</x:f>
        <x:v/>
      </x:c>
      <x:c r="CJ64" s="1305" t="str">
        <x:f>IF(CG24="","",VLOOKUP(CG24,SectInfo!$B:$N,9,FALSE))</x:f>
        <x:v/>
      </x:c>
      <x:c r="CK64" s="1306">
        <x:f t="shared" si="101"/>
        <x:v>0</x:v>
      </x:c>
      <x:c r="CL64" s="1304" t="str">
        <x:f>IF(CQ24="","",VLOOKUP(CQ24,SectInfo!$B:$N,12,FALSE))</x:f>
        <x:v/>
      </x:c>
      <x:c r="CM64" s="1305" t="str">
        <x:f>IF(ISBLANK(CX24),IF(CQ24="","",VLOOKUP(CQ24,SectInfo!$B:$N,13,FALSE)),CX24)</x:f>
        <x:v/>
      </x:c>
      <x:c r="CN64" s="1305" t="str">
        <x:f>IF(CQ24="","",IF(VLOOKUP(CQ24,SectInfo!$B:$N,5,FALSE)="","R",UPPER(VLOOKUP(CQ24,SectInfo!$B:$N,5,FALSE))))</x:f>
        <x:v/>
      </x:c>
      <x:c r="CO64" s="1305" t="str">
        <x:f>IF(ISBLANK(CZ24),IF(CQ24="","",VLOOKUP(CQ24,SectInfo!$B:$N,6,FALSE)),CZ24)</x:f>
        <x:v/>
      </x:c>
      <x:c r="CP64" s="1305" t="str">
        <x:f>IF(CQ24="","",IF(VLOOKUP(CQ24,SectInfo!$B:$N,10,FALSE)="","",(VLOOKUP(CQ24,SectInfo!$B:$N,10,FALSE)*-1)))</x:f>
        <x:v/>
      </x:c>
      <x:c r="CQ64" s="1305" t="str">
        <x:f>IF(CQ24="","",IF(VLOOKUP(CQ24,SectInfo!$B:$N,7,FALSE)="","",(VLOOKUP(CQ24,SectInfo!$B:$N,7,FALSE)*-1)))</x:f>
        <x:v/>
      </x:c>
      <x:c r="CR64" s="1305" t="str">
        <x:f>IF(CQ24="","",IF(VLOOKUP(CQ24,SectInfo!$B:$N,8,FALSE)="",$FC$4,(VLOOKUP(CQ24,SectInfo!$B:$N,8,FALSE))))</x:f>
        <x:v/>
      </x:c>
      <x:c r="CS64" s="1305" t="str">
        <x:f>IF(CQ24="","",VLOOKUP(CQ24,SectInfo!$B:$N,9,FALSE))</x:f>
        <x:v/>
      </x:c>
      <x:c r="CT64" s="1306">
        <x:f t="shared" si="102"/>
        <x:v>0</x:v>
      </x:c>
      <x:c r="CU64" s="1316">
        <x:f t="shared" si="103"/>
        <x:v>0</x:v>
      </x:c>
      <x:c r="CV64" s="1310" t="str">
        <x:f t="shared" si="104"/>
        <x:v/>
      </x:c>
      <x:c r="CW64" s="1310" t="str">
        <x:f t="shared" si="105"/>
        <x:v/>
      </x:c>
      <x:c r="CX64" s="1310" t="str">
        <x:f t="shared" si="106"/>
        <x:v/>
      </x:c>
      <x:c r="CY64" s="1312">
        <x:f t="shared" si="107"/>
        <x:v>0</x:v>
      </x:c>
      <x:c r="CZ64" s="1312">
        <x:f t="shared" si="108"/>
        <x:v>0</x:v>
      </x:c>
      <x:c r="DA64" s="1312" t="str">
        <x:f t="shared" si="109"/>
        <x:v/>
      </x:c>
      <x:c r="DB64" s="1310" t="str">
        <x:f t="shared" si="173"/>
        <x:v/>
      </x:c>
      <x:c r="DC64" s="1310" t="str">
        <x:f t="shared" si="110"/>
        <x:v/>
      </x:c>
      <x:c r="DD64" s="875">
        <x:f t="shared" si="174"/>
        <x:v>0</x:v>
      </x:c>
      <x:c r="DE64" s="873">
        <x:f t="shared" si="111"/>
        <x:v>0</x:v>
      </x:c>
      <x:c r="DF64" s="874">
        <x:f t="shared" si="112"/>
        <x:v>0</x:v>
      </x:c>
      <x:c r="DG64" s="874" t="str">
        <x:f t="shared" si="113"/>
        <x:v/>
      </x:c>
      <x:c r="DH64" s="1310" t="str">
        <x:f t="shared" si="175"/>
        <x:v/>
      </x:c>
      <x:c r="DI64" s="1310" t="str">
        <x:f t="shared" si="114"/>
        <x:v/>
      </x:c>
      <x:c r="DJ64" s="1311">
        <x:f t="shared" si="176"/>
        <x:v>0</x:v>
      </x:c>
      <x:c r="DK64" s="1310" t="str">
        <x:f t="shared" si="115"/>
        <x:v/>
      </x:c>
      <x:c r="DL64" s="1310" t="str">
        <x:f t="shared" si="116"/>
        <x:v/>
      </x:c>
      <x:c r="DM64" s="1310" t="str">
        <x:f t="shared" si="117"/>
        <x:v/>
      </x:c>
      <x:c r="DN64" s="1310" t="str">
        <x:f t="shared" si="118"/>
        <x:v/>
      </x:c>
      <x:c r="DO64" s="889" t="str">
        <x:f t="shared" si="119"/>
        <x:v>ERR</x:v>
      </x:c>
      <x:c r="DP64" s="889" t="str">
        <x:f t="shared" si="120"/>
        <x:v>ERR</x:v>
      </x:c>
      <x:c r="DQ64" s="1310" t="str">
        <x:f t="shared" si="121"/>
        <x:v/>
      </x:c>
      <x:c r="DR64" s="1310" t="str">
        <x:f t="shared" si="121"/>
        <x:v/>
      </x:c>
      <x:c r="DS64" s="1310" t="str">
        <x:f t="shared" si="122"/>
        <x:v/>
      </x:c>
      <x:c r="DT64" s="1310" t="str">
        <x:f t="shared" si="123"/>
        <x:v/>
      </x:c>
      <x:c r="DU64" s="1310" t="str">
        <x:f t="shared" si="124"/>
        <x:v/>
      </x:c>
      <x:c r="DV64" s="889" t="str">
        <x:f t="shared" si="125"/>
        <x:v>ERR</x:v>
      </x:c>
      <x:c r="DW64" s="889" t="str">
        <x:f t="shared" si="126"/>
        <x:v>ERR</x:v>
      </x:c>
      <x:c r="DX64" s="873" t="str">
        <x:f t="shared" si="127"/>
        <x:v/>
      </x:c>
      <x:c r="DY64" s="873" t="str">
        <x:f t="shared" si="127"/>
        <x:v/>
      </x:c>
      <x:c r="DZ64" s="873" t="str">
        <x:f t="shared" si="128"/>
        <x:v/>
      </x:c>
      <x:c r="EA64" s="873" t="str">
        <x:f t="shared" si="129"/>
        <x:v/>
      </x:c>
      <x:c r="EB64" s="876" t="str">
        <x:f t="shared" si="130"/>
        <x:v/>
      </x:c>
      <x:c r="EC64" s="877" t="str">
        <x:f t="shared" si="131"/>
        <x:v/>
      </x:c>
      <x:c r="ED64" s="876" t="str">
        <x:f t="shared" si="132"/>
        <x:v/>
      </x:c>
      <x:c r="EE64" s="876" t="str">
        <x:f t="shared" si="133"/>
        <x:v/>
      </x:c>
      <x:c r="EF64" s="876" t="str">
        <x:f t="shared" si="134"/>
        <x:v/>
      </x:c>
      <x:c r="EG64" s="876" t="str">
        <x:f t="shared" si="135"/>
        <x:v/>
      </x:c>
      <x:c r="EH64" s="876" t="str">
        <x:f t="shared" si="136"/>
        <x:v/>
      </x:c>
      <x:c r="EI64" s="876" t="str">
        <x:f t="shared" si="137"/>
        <x:v/>
      </x:c>
      <x:c r="EJ64" s="876" t="str">
        <x:f t="shared" si="138"/>
        <x:v/>
      </x:c>
      <x:c r="EK64" s="874">
        <x:f t="shared" si="139"/>
        <x:v>0</x:v>
      </x:c>
      <x:c r="EL64" s="874">
        <x:f t="shared" si="140"/>
        <x:v>0</x:v>
      </x:c>
      <x:c r="EM64" s="874">
        <x:f t="shared" si="141"/>
        <x:v>0</x:v>
      </x:c>
      <x:c r="EN64" s="874" t="str">
        <x:f t="shared" si="142"/>
        <x:v/>
      </x:c>
      <x:c r="EO64" s="873" t="str">
        <x:f t="shared" si="143"/>
        <x:v/>
      </x:c>
      <x:c r="EP64" s="874">
        <x:f t="shared" si="144"/>
        <x:v>0</x:v>
      </x:c>
      <x:c r="EQ64" s="874">
        <x:f t="shared" si="145"/>
        <x:v>0</x:v>
      </x:c>
      <x:c r="ER64" s="874">
        <x:f t="shared" si="146"/>
        <x:v>0</x:v>
      </x:c>
      <x:c r="ES64" s="874" t="str">
        <x:f t="shared" si="147"/>
        <x:v/>
      </x:c>
      <x:c r="ET64" s="873" t="str">
        <x:f t="shared" si="148"/>
        <x:v/>
      </x:c>
      <x:c r="EU64" s="873">
        <x:f t="shared" si="149"/>
        <x:v>0</x:v>
      </x:c>
      <x:c r="EV64" s="876" t="e">
        <x:f t="shared" si="150"/>
        <x:v>#VALUE!</x:v>
      </x:c>
      <x:c r="EW64" s="876" t="e">
        <x:f t="shared" si="151"/>
        <x:v>#VALUE!</x:v>
      </x:c>
      <x:c r="EX64" s="878" t="str">
        <x:f t="shared" si="152"/>
        <x:v/>
      </x:c>
      <x:c r="EY64" s="879">
        <x:f t="shared" si="153"/>
        <x:v>25</x:v>
      </x:c>
      <x:c r="EZ64" s="959">
        <x:f t="shared" si="154"/>
        <x:v>0</x:v>
      </x:c>
      <x:c r="FA64" s="960">
        <x:f t="shared" si="155"/>
        <x:v>0</x:v>
      </x:c>
      <x:c r="FB64" s="880" t="str">
        <x:f t="shared" si="156"/>
        <x:v/>
      </x:c>
      <x:c r="FC64" s="881" t="str">
        <x:f t="shared" si="157"/>
        <x:v/>
      </x:c>
      <x:c r="FD64" s="890">
        <x:f t="shared" si="158"/>
        <x:v>0</x:v>
      </x:c>
      <x:c r="FE64" s="833">
        <x:f t="shared" si="159"/>
        <x:v>0</x:v>
      </x:c>
      <x:c r="FF64" s="754" t="b">
        <x:f t="shared" si="160"/>
        <x:v>0</x:v>
      </x:c>
      <x:c r="FG64" s="754" t="b">
        <x:f t="shared" si="161"/>
        <x:v>0</x:v>
      </x:c>
      <x:c r="FH64" s="754" t="b">
        <x:f t="shared" si="162"/>
        <x:v>0</x:v>
      </x:c>
      <x:c r="FI64" s="754" t="b">
        <x:f t="shared" si="163"/>
        <x:v>0</x:v>
      </x:c>
      <x:c r="FJ64" s="920" t="str">
        <x:f t="shared" si="177"/>
        <x:v/>
      </x:c>
      <x:c r="FK64" s="919" t="str">
        <x:f t="shared" si="178"/>
        <x:v/>
      </x:c>
      <x:c r="FL64" s="320" t="e">
        <x:f t="shared" si="179"/>
        <x:v>#N/A</x:v>
      </x:c>
      <x:c r="FM64" s="312" t="str">
        <x:f t="shared" si="164"/>
        <x:v/>
      </x:c>
      <x:c r="FN64" s="272" t="str">
        <x:f t="shared" ca="1" si="180"/>
        <x:v/>
      </x:c>
      <x:c r="FO64" s="273" t="str">
        <x:f t="shared" ca="1" si="181"/>
        <x:v/>
      </x:c>
      <x:c r="FP64" s="274" t="str">
        <x:f t="shared" ca="1" si="182"/>
        <x:v/>
      </x:c>
      <x:c r="FQ64" s="274" t="str">
        <x:f t="shared" ca="1" si="183"/>
        <x:v/>
      </x:c>
      <x:c r="FR64" s="321">
        <x:f t="shared" ca="1" si="184"/>
        <x:v>0</x:v>
      </x:c>
      <x:c r="FS64" s="322">
        <x:f t="shared" ca="1" si="185"/>
        <x:v>0</x:v>
      </x:c>
      <x:c r="FT64" s="272" t="str">
        <x:f t="shared" ca="1" si="186"/>
        <x:v/>
      </x:c>
      <x:c r="FU64" s="275" t="str">
        <x:f t="shared" ca="1" si="187"/>
        <x:v/>
      </x:c>
      <x:c r="FV64" s="323" t="str">
        <x:f t="shared" ca="1" si="165"/>
        <x:v/>
      </x:c>
      <x:c r="FW64" s="276" t="str">
        <x:f t="shared" ca="1" si="188"/>
        <x:v/>
      </x:c>
      <x:c r="FX64" s="276" t="str">
        <x:f t="shared" ca="1" si="189"/>
        <x:v/>
      </x:c>
      <x:c r="FY64" s="276" t="str">
        <x:f t="shared" ca="1" si="190"/>
        <x:v/>
      </x:c>
      <x:c r="FZ64" s="276" t="str">
        <x:f t="shared" ca="1" si="191"/>
        <x:v/>
      </x:c>
      <x:c r="GA64" s="276" t="str">
        <x:f t="shared" ca="1" si="192"/>
        <x:v/>
      </x:c>
      <x:c r="GB64" s="277" t="str">
        <x:f ca="1">IF(FY64="","",2+SUM(FO64:OFFSET(FO64,(FU64-1)*-1,0)))</x:f>
        <x:v/>
      </x:c>
      <x:c r="GC64" s="316" t="e">
        <x:f t="shared" si="193"/>
        <x:v>#N/A</x:v>
      </x:c>
      <x:c r="GD64" s="324" t="str">
        <x:f t="shared" si="166"/>
        <x:v/>
      </x:c>
      <x:c r="GE64" s="325" t="str">
        <x:f t="shared" si="167"/>
        <x:v/>
      </x:c>
      <x:c r="GF64" s="278" t="str">
        <x:f t="shared" si="168"/>
        <x:v/>
      </x:c>
      <x:c r="GG64" s="279" t="str">
        <x:f t="shared" si="169"/>
        <x:v/>
      </x:c>
      <x:c r="GH64" s="279" t="str">
        <x:f t="shared" si="170"/>
        <x:v/>
      </x:c>
      <x:c r="GI64" s="280" t="str">
        <x:f t="shared" si="171"/>
        <x:v/>
      </x:c>
      <x:c r="GJ64" s="530">
        <x:f t="shared" ca="1" si="172"/>
        <x:v>0</x:v>
      </x:c>
      <x:c r="GK64" s="895" t="str">
        <x:f t="shared" ca="1" si="194"/>
        <x:v/>
      </x:c>
    </x:row>
    <x:row r="65" spans="78:193" ht="12.6" hidden="1" customHeight="1" x14ac:dyDescent="0.2">
      <x:c r="BZ65" s="293"/>
      <x:c r="CA65" s="293"/>
      <x:c r="CB65" s="365" t="str">
        <x:f t="shared" si="100"/>
        <x:v/>
      </x:c>
      <x:c r="CC65" s="366" t="str">
        <x:f>IF(CG25="","",VLOOKUP(CG25,SectInfo!$B:$N,12,FALSE))</x:f>
        <x:v/>
      </x:c>
      <x:c r="CD65" s="1305" t="str">
        <x:f>IF(ISBLANK(CN25),IF(CG25="","",VLOOKUP(CG25,SectInfo!$B:$N,13,FALSE)),CN25)</x:f>
        <x:v/>
      </x:c>
      <x:c r="CE65" s="1305" t="str">
        <x:f>IF(CG25="","",IF(VLOOKUP(CG25,SectInfo!$B:$N,5,FALSE)="","R",UPPER(VLOOKUP(CG25,SectInfo!$B:$N,5,FALSE))))</x:f>
        <x:v/>
      </x:c>
      <x:c r="CF65" s="1305" t="str">
        <x:f>IF(ISBLANK(CP25),IF(CG25="","",VLOOKUP(CG25,SectInfo!$B:$N,6,FALSE)),CP25)</x:f>
        <x:v/>
      </x:c>
      <x:c r="CG65" s="1305" t="str">
        <x:f>IF(CG25="","",IF(VLOOKUP(CG25,SectInfo!$B:$N,10,FALSE)="","",(VLOOKUP(CG25,SectInfo!$B:$N,10,FALSE)*-1)))</x:f>
        <x:v/>
      </x:c>
      <x:c r="CH65" s="1305" t="str">
        <x:f>IF(CG25="","",IF(VLOOKUP(CG25,SectInfo!$B:$N,7,FALSE)="","",(VLOOKUP(CG25,SectInfo!$B:$N,7,FALSE)*-1)))</x:f>
        <x:v/>
      </x:c>
      <x:c r="CI65" s="1305" t="str">
        <x:f>IF(CG25="","",IF(VLOOKUP(CG25,SectInfo!$B:$N,8,FALSE)="",$FC$4,(VLOOKUP(CG25,SectInfo!$B:$N,8,FALSE))))</x:f>
        <x:v/>
      </x:c>
      <x:c r="CJ65" s="1305" t="str">
        <x:f>IF(CG25="","",VLOOKUP(CG25,SectInfo!$B:$N,9,FALSE))</x:f>
        <x:v/>
      </x:c>
      <x:c r="CK65" s="1306">
        <x:f t="shared" si="101"/>
        <x:v>0</x:v>
      </x:c>
      <x:c r="CL65" s="1304" t="str">
        <x:f>IF(CQ25="","",VLOOKUP(CQ25,SectInfo!$B:$N,12,FALSE))</x:f>
        <x:v/>
      </x:c>
      <x:c r="CM65" s="1305" t="str">
        <x:f>IF(ISBLANK(CX25),IF(CQ25="","",VLOOKUP(CQ25,SectInfo!$B:$N,13,FALSE)),CX25)</x:f>
        <x:v/>
      </x:c>
      <x:c r="CN65" s="1305" t="str">
        <x:f>IF(CQ25="","",IF(VLOOKUP(CQ25,SectInfo!$B:$N,5,FALSE)="","R",UPPER(VLOOKUP(CQ25,SectInfo!$B:$N,5,FALSE))))</x:f>
        <x:v/>
      </x:c>
      <x:c r="CO65" s="1305" t="str">
        <x:f>IF(ISBLANK(CZ25),IF(CQ25="","",VLOOKUP(CQ25,SectInfo!$B:$N,6,FALSE)),CZ25)</x:f>
        <x:v/>
      </x:c>
      <x:c r="CP65" s="1305" t="str">
        <x:f>IF(CQ25="","",IF(VLOOKUP(CQ25,SectInfo!$B:$N,10,FALSE)="","",(VLOOKUP(CQ25,SectInfo!$B:$N,10,FALSE)*-1)))</x:f>
        <x:v/>
      </x:c>
      <x:c r="CQ65" s="1305" t="str">
        <x:f>IF(CQ25="","",IF(VLOOKUP(CQ25,SectInfo!$B:$N,7,FALSE)="","",(VLOOKUP(CQ25,SectInfo!$B:$N,7,FALSE)*-1)))</x:f>
        <x:v/>
      </x:c>
      <x:c r="CR65" s="1305" t="str">
        <x:f>IF(CQ25="","",IF(VLOOKUP(CQ25,SectInfo!$B:$N,8,FALSE)="",$FC$4,(VLOOKUP(CQ25,SectInfo!$B:$N,8,FALSE))))</x:f>
        <x:v/>
      </x:c>
      <x:c r="CS65" s="1305" t="str">
        <x:f>IF(CQ25="","",VLOOKUP(CQ25,SectInfo!$B:$N,9,FALSE))</x:f>
        <x:v/>
      </x:c>
      <x:c r="CT65" s="1306">
        <x:f t="shared" si="102"/>
        <x:v>0</x:v>
      </x:c>
      <x:c r="CU65" s="1316">
        <x:f t="shared" si="103"/>
        <x:v>0</x:v>
      </x:c>
      <x:c r="CV65" s="1310" t="str">
        <x:f t="shared" si="104"/>
        <x:v/>
      </x:c>
      <x:c r="CW65" s="1310" t="str">
        <x:f t="shared" si="105"/>
        <x:v/>
      </x:c>
      <x:c r="CX65" s="1310" t="str">
        <x:f t="shared" si="106"/>
        <x:v/>
      </x:c>
      <x:c r="CY65" s="1312">
        <x:f t="shared" si="107"/>
        <x:v>0</x:v>
      </x:c>
      <x:c r="CZ65" s="1312">
        <x:f t="shared" si="108"/>
        <x:v>0</x:v>
      </x:c>
      <x:c r="DA65" s="1312" t="str">
        <x:f t="shared" si="109"/>
        <x:v/>
      </x:c>
      <x:c r="DB65" s="1310" t="str">
        <x:f t="shared" si="173"/>
        <x:v/>
      </x:c>
      <x:c r="DC65" s="1310" t="str">
        <x:f t="shared" si="110"/>
        <x:v/>
      </x:c>
      <x:c r="DD65" s="875">
        <x:f t="shared" si="174"/>
        <x:v>0</x:v>
      </x:c>
      <x:c r="DE65" s="873">
        <x:f t="shared" si="111"/>
        <x:v>0</x:v>
      </x:c>
      <x:c r="DF65" s="874">
        <x:f t="shared" si="112"/>
        <x:v>0</x:v>
      </x:c>
      <x:c r="DG65" s="874" t="str">
        <x:f t="shared" si="113"/>
        <x:v/>
      </x:c>
      <x:c r="DH65" s="1310" t="str">
        <x:f t="shared" si="175"/>
        <x:v/>
      </x:c>
      <x:c r="DI65" s="1310" t="str">
        <x:f t="shared" si="114"/>
        <x:v/>
      </x:c>
      <x:c r="DJ65" s="1311">
        <x:f t="shared" si="176"/>
        <x:v>0</x:v>
      </x:c>
      <x:c r="DK65" s="1310" t="str">
        <x:f t="shared" si="115"/>
        <x:v/>
      </x:c>
      <x:c r="DL65" s="1310" t="str">
        <x:f t="shared" si="116"/>
        <x:v/>
      </x:c>
      <x:c r="DM65" s="1310" t="str">
        <x:f t="shared" si="117"/>
        <x:v/>
      </x:c>
      <x:c r="DN65" s="1310" t="str">
        <x:f t="shared" si="118"/>
        <x:v/>
      </x:c>
      <x:c r="DO65" s="889" t="str">
        <x:f t="shared" si="119"/>
        <x:v>ERR</x:v>
      </x:c>
      <x:c r="DP65" s="889" t="str">
        <x:f t="shared" si="120"/>
        <x:v>ERR</x:v>
      </x:c>
      <x:c r="DQ65" s="1310" t="str">
        <x:f t="shared" si="121"/>
        <x:v/>
      </x:c>
      <x:c r="DR65" s="1310" t="str">
        <x:f t="shared" si="121"/>
        <x:v/>
      </x:c>
      <x:c r="DS65" s="1310" t="str">
        <x:f t="shared" si="122"/>
        <x:v/>
      </x:c>
      <x:c r="DT65" s="1310" t="str">
        <x:f t="shared" si="123"/>
        <x:v/>
      </x:c>
      <x:c r="DU65" s="1310" t="str">
        <x:f t="shared" si="124"/>
        <x:v/>
      </x:c>
      <x:c r="DV65" s="889" t="str">
        <x:f t="shared" si="125"/>
        <x:v>ERR</x:v>
      </x:c>
      <x:c r="DW65" s="889" t="str">
        <x:f t="shared" si="126"/>
        <x:v>ERR</x:v>
      </x:c>
      <x:c r="DX65" s="873" t="str">
        <x:f t="shared" si="127"/>
        <x:v/>
      </x:c>
      <x:c r="DY65" s="873" t="str">
        <x:f t="shared" si="127"/>
        <x:v/>
      </x:c>
      <x:c r="DZ65" s="873" t="str">
        <x:f t="shared" si="128"/>
        <x:v/>
      </x:c>
      <x:c r="EA65" s="873" t="str">
        <x:f t="shared" si="129"/>
        <x:v/>
      </x:c>
      <x:c r="EB65" s="876" t="str">
        <x:f t="shared" si="130"/>
        <x:v/>
      </x:c>
      <x:c r="EC65" s="877" t="str">
        <x:f t="shared" si="131"/>
        <x:v/>
      </x:c>
      <x:c r="ED65" s="876" t="str">
        <x:f t="shared" si="132"/>
        <x:v/>
      </x:c>
      <x:c r="EE65" s="876" t="str">
        <x:f t="shared" si="133"/>
        <x:v/>
      </x:c>
      <x:c r="EF65" s="876" t="str">
        <x:f t="shared" si="134"/>
        <x:v/>
      </x:c>
      <x:c r="EG65" s="876" t="str">
        <x:f t="shared" si="135"/>
        <x:v/>
      </x:c>
      <x:c r="EH65" s="876" t="str">
        <x:f t="shared" si="136"/>
        <x:v/>
      </x:c>
      <x:c r="EI65" s="876" t="str">
        <x:f t="shared" si="137"/>
        <x:v/>
      </x:c>
      <x:c r="EJ65" s="876" t="str">
        <x:f t="shared" si="138"/>
        <x:v/>
      </x:c>
      <x:c r="EK65" s="874">
        <x:f t="shared" si="139"/>
        <x:v>0</x:v>
      </x:c>
      <x:c r="EL65" s="874">
        <x:f t="shared" si="140"/>
        <x:v>0</x:v>
      </x:c>
      <x:c r="EM65" s="874">
        <x:f t="shared" si="141"/>
        <x:v>0</x:v>
      </x:c>
      <x:c r="EN65" s="874" t="str">
        <x:f t="shared" si="142"/>
        <x:v/>
      </x:c>
      <x:c r="EO65" s="873" t="str">
        <x:f t="shared" si="143"/>
        <x:v/>
      </x:c>
      <x:c r="EP65" s="874">
        <x:f t="shared" si="144"/>
        <x:v>0</x:v>
      </x:c>
      <x:c r="EQ65" s="874">
        <x:f t="shared" si="145"/>
        <x:v>0</x:v>
      </x:c>
      <x:c r="ER65" s="874">
        <x:f t="shared" si="146"/>
        <x:v>0</x:v>
      </x:c>
      <x:c r="ES65" s="874" t="str">
        <x:f t="shared" si="147"/>
        <x:v/>
      </x:c>
      <x:c r="ET65" s="873" t="str">
        <x:f t="shared" si="148"/>
        <x:v/>
      </x:c>
      <x:c r="EU65" s="873">
        <x:f t="shared" si="149"/>
        <x:v>0</x:v>
      </x:c>
      <x:c r="EV65" s="876" t="e">
        <x:f t="shared" si="150"/>
        <x:v>#VALUE!</x:v>
      </x:c>
      <x:c r="EW65" s="876" t="e">
        <x:f t="shared" si="151"/>
        <x:v>#VALUE!</x:v>
      </x:c>
      <x:c r="EX65" s="878" t="str">
        <x:f t="shared" si="152"/>
        <x:v/>
      </x:c>
      <x:c r="EY65" s="879">
        <x:f t="shared" si="153"/>
        <x:v>25</x:v>
      </x:c>
      <x:c r="EZ65" s="959">
        <x:f t="shared" si="154"/>
        <x:v>0</x:v>
      </x:c>
      <x:c r="FA65" s="960">
        <x:f t="shared" si="155"/>
        <x:v>0</x:v>
      </x:c>
      <x:c r="FB65" s="880" t="str">
        <x:f t="shared" si="156"/>
        <x:v/>
      </x:c>
      <x:c r="FC65" s="881" t="str">
        <x:f t="shared" si="157"/>
        <x:v/>
      </x:c>
      <x:c r="FD65" s="890">
        <x:f t="shared" si="158"/>
        <x:v>0</x:v>
      </x:c>
      <x:c r="FE65" s="833">
        <x:f t="shared" si="159"/>
        <x:v>0</x:v>
      </x:c>
      <x:c r="FF65" s="754" t="b">
        <x:f t="shared" si="160"/>
        <x:v>0</x:v>
      </x:c>
      <x:c r="FG65" s="754" t="b">
        <x:f t="shared" si="161"/>
        <x:v>0</x:v>
      </x:c>
      <x:c r="FH65" s="754" t="b">
        <x:f t="shared" si="162"/>
        <x:v>0</x:v>
      </x:c>
      <x:c r="FI65" s="754" t="b">
        <x:f t="shared" si="163"/>
        <x:v>0</x:v>
      </x:c>
      <x:c r="FJ65" s="920" t="str">
        <x:f t="shared" si="177"/>
        <x:v/>
      </x:c>
      <x:c r="FK65" s="919" t="str">
        <x:f t="shared" si="178"/>
        <x:v/>
      </x:c>
      <x:c r="FL65" s="320" t="e">
        <x:f t="shared" si="179"/>
        <x:v>#N/A</x:v>
      </x:c>
      <x:c r="FM65" s="312" t="str">
        <x:f t="shared" si="164"/>
        <x:v/>
      </x:c>
      <x:c r="FN65" s="272" t="str">
        <x:f t="shared" ca="1" si="180"/>
        <x:v/>
      </x:c>
      <x:c r="FO65" s="273" t="str">
        <x:f t="shared" ca="1" si="181"/>
        <x:v/>
      </x:c>
      <x:c r="FP65" s="274" t="str">
        <x:f t="shared" ca="1" si="182"/>
        <x:v/>
      </x:c>
      <x:c r="FQ65" s="274" t="str">
        <x:f t="shared" ca="1" si="183"/>
        <x:v/>
      </x:c>
      <x:c r="FR65" s="321">
        <x:f t="shared" ca="1" si="184"/>
        <x:v>0</x:v>
      </x:c>
      <x:c r="FS65" s="322">
        <x:f t="shared" ca="1" si="185"/>
        <x:v>0</x:v>
      </x:c>
      <x:c r="FT65" s="272" t="str">
        <x:f t="shared" ca="1" si="186"/>
        <x:v/>
      </x:c>
      <x:c r="FU65" s="275" t="str">
        <x:f t="shared" ca="1" si="187"/>
        <x:v/>
      </x:c>
      <x:c r="FV65" s="323" t="str">
        <x:f t="shared" ca="1" si="165"/>
        <x:v/>
      </x:c>
      <x:c r="FW65" s="276" t="str">
        <x:f t="shared" ca="1" si="188"/>
        <x:v/>
      </x:c>
      <x:c r="FX65" s="276" t="str">
        <x:f t="shared" ca="1" si="189"/>
        <x:v/>
      </x:c>
      <x:c r="FY65" s="276" t="str">
        <x:f t="shared" ca="1" si="190"/>
        <x:v/>
      </x:c>
      <x:c r="FZ65" s="276" t="str">
        <x:f t="shared" ca="1" si="191"/>
        <x:v/>
      </x:c>
      <x:c r="GA65" s="276" t="str">
        <x:f t="shared" ca="1" si="192"/>
        <x:v/>
      </x:c>
      <x:c r="GB65" s="277" t="str">
        <x:f ca="1">IF(FY65="","",2+SUM(FO65:OFFSET(FO65,(FU65-1)*-1,0)))</x:f>
        <x:v/>
      </x:c>
      <x:c r="GC65" s="316" t="e">
        <x:f t="shared" si="193"/>
        <x:v>#N/A</x:v>
      </x:c>
      <x:c r="GD65" s="324" t="str">
        <x:f t="shared" si="166"/>
        <x:v/>
      </x:c>
      <x:c r="GE65" s="325" t="str">
        <x:f t="shared" si="167"/>
        <x:v/>
      </x:c>
      <x:c r="GF65" s="278" t="str">
        <x:f t="shared" si="168"/>
        <x:v/>
      </x:c>
      <x:c r="GG65" s="279" t="str">
        <x:f t="shared" si="169"/>
        <x:v/>
      </x:c>
      <x:c r="GH65" s="279" t="str">
        <x:f t="shared" si="170"/>
        <x:v/>
      </x:c>
      <x:c r="GI65" s="280" t="str">
        <x:f t="shared" si="171"/>
        <x:v/>
      </x:c>
      <x:c r="GJ65" s="530">
        <x:f t="shared" ca="1" si="172"/>
        <x:v>0</x:v>
      </x:c>
      <x:c r="GK65" s="895" t="str">
        <x:f t="shared" ca="1" si="194"/>
        <x:v/>
      </x:c>
    </x:row>
    <x:row r="66" spans="78:193" ht="12.6" hidden="1" customHeight="1" x14ac:dyDescent="0.2">
      <x:c r="BZ66" s="293"/>
      <x:c r="CA66" s="293"/>
      <x:c r="CB66" s="365" t="str">
        <x:f t="shared" si="100"/>
        <x:v/>
      </x:c>
      <x:c r="CC66" s="366" t="str">
        <x:f>IF(CG26="","",VLOOKUP(CG26,SectInfo!$B:$N,12,FALSE))</x:f>
        <x:v/>
      </x:c>
      <x:c r="CD66" s="1305" t="str">
        <x:f>IF(ISBLANK(CN26),IF(CG26="","",VLOOKUP(CG26,SectInfo!$B:$N,13,FALSE)),CN26)</x:f>
        <x:v/>
      </x:c>
      <x:c r="CE66" s="1305" t="str">
        <x:f>IF(CG26="","",IF(VLOOKUP(CG26,SectInfo!$B:$N,5,FALSE)="","R",UPPER(VLOOKUP(CG26,SectInfo!$B:$N,5,FALSE))))</x:f>
        <x:v/>
      </x:c>
      <x:c r="CF66" s="1305" t="str">
        <x:f>IF(ISBLANK(CP26),IF(CG26="","",VLOOKUP(CG26,SectInfo!$B:$N,6,FALSE)),CP26)</x:f>
        <x:v/>
      </x:c>
      <x:c r="CG66" s="1305" t="str">
        <x:f>IF(CG26="","",IF(VLOOKUP(CG26,SectInfo!$B:$N,10,FALSE)="","",(VLOOKUP(CG26,SectInfo!$B:$N,10,FALSE)*-1)))</x:f>
        <x:v/>
      </x:c>
      <x:c r="CH66" s="1305" t="str">
        <x:f>IF(CG26="","",IF(VLOOKUP(CG26,SectInfo!$B:$N,7,FALSE)="","",(VLOOKUP(CG26,SectInfo!$B:$N,7,FALSE)*-1)))</x:f>
        <x:v/>
      </x:c>
      <x:c r="CI66" s="1305" t="str">
        <x:f>IF(CG26="","",IF(VLOOKUP(CG26,SectInfo!$B:$N,8,FALSE)="",$FC$4,(VLOOKUP(CG26,SectInfo!$B:$N,8,FALSE))))</x:f>
        <x:v/>
      </x:c>
      <x:c r="CJ66" s="1305" t="str">
        <x:f>IF(CG26="","",VLOOKUP(CG26,SectInfo!$B:$N,9,FALSE))</x:f>
        <x:v/>
      </x:c>
      <x:c r="CK66" s="1306">
        <x:f t="shared" si="101"/>
        <x:v>0</x:v>
      </x:c>
      <x:c r="CL66" s="1304" t="str">
        <x:f>IF(CQ26="","",VLOOKUP(CQ26,SectInfo!$B:$N,12,FALSE))</x:f>
        <x:v/>
      </x:c>
      <x:c r="CM66" s="1305" t="str">
        <x:f>IF(ISBLANK(CX26),IF(CQ26="","",VLOOKUP(CQ26,SectInfo!$B:$N,13,FALSE)),CX26)</x:f>
        <x:v/>
      </x:c>
      <x:c r="CN66" s="1305" t="str">
        <x:f>IF(CQ26="","",IF(VLOOKUP(CQ26,SectInfo!$B:$N,5,FALSE)="","R",UPPER(VLOOKUP(CQ26,SectInfo!$B:$N,5,FALSE))))</x:f>
        <x:v/>
      </x:c>
      <x:c r="CO66" s="1305" t="str">
        <x:f>IF(ISBLANK(CZ26),IF(CQ26="","",VLOOKUP(CQ26,SectInfo!$B:$N,6,FALSE)),CZ26)</x:f>
        <x:v/>
      </x:c>
      <x:c r="CP66" s="1305" t="str">
        <x:f>IF(CQ26="","",IF(VLOOKUP(CQ26,SectInfo!$B:$N,10,FALSE)="","",(VLOOKUP(CQ26,SectInfo!$B:$N,10,FALSE)*-1)))</x:f>
        <x:v/>
      </x:c>
      <x:c r="CQ66" s="1305" t="str">
        <x:f>IF(CQ26="","",IF(VLOOKUP(CQ26,SectInfo!$B:$N,7,FALSE)="","",(VLOOKUP(CQ26,SectInfo!$B:$N,7,FALSE)*-1)))</x:f>
        <x:v/>
      </x:c>
      <x:c r="CR66" s="1305" t="str">
        <x:f>IF(CQ26="","",IF(VLOOKUP(CQ26,SectInfo!$B:$N,8,FALSE)="",$FC$4,(VLOOKUP(CQ26,SectInfo!$B:$N,8,FALSE))))</x:f>
        <x:v/>
      </x:c>
      <x:c r="CS66" s="1305" t="str">
        <x:f>IF(CQ26="","",VLOOKUP(CQ26,SectInfo!$B:$N,9,FALSE))</x:f>
        <x:v/>
      </x:c>
      <x:c r="CT66" s="1306">
        <x:f t="shared" si="102"/>
        <x:v>0</x:v>
      </x:c>
      <x:c r="CU66" s="1316">
        <x:f t="shared" si="103"/>
        <x:v>0</x:v>
      </x:c>
      <x:c r="CV66" s="1310" t="str">
        <x:f t="shared" si="104"/>
        <x:v/>
      </x:c>
      <x:c r="CW66" s="1310" t="str">
        <x:f t="shared" si="105"/>
        <x:v/>
      </x:c>
      <x:c r="CX66" s="1310" t="str">
        <x:f t="shared" si="106"/>
        <x:v/>
      </x:c>
      <x:c r="CY66" s="1312">
        <x:f t="shared" si="107"/>
        <x:v>0</x:v>
      </x:c>
      <x:c r="CZ66" s="1312">
        <x:f t="shared" si="108"/>
        <x:v>0</x:v>
      </x:c>
      <x:c r="DA66" s="1312" t="str">
        <x:f t="shared" si="109"/>
        <x:v/>
      </x:c>
      <x:c r="DB66" s="1310" t="str">
        <x:f t="shared" si="173"/>
        <x:v/>
      </x:c>
      <x:c r="DC66" s="1310" t="str">
        <x:f t="shared" si="110"/>
        <x:v/>
      </x:c>
      <x:c r="DD66" s="875">
        <x:f t="shared" si="174"/>
        <x:v>0</x:v>
      </x:c>
      <x:c r="DE66" s="873">
        <x:f t="shared" si="111"/>
        <x:v>0</x:v>
      </x:c>
      <x:c r="DF66" s="874">
        <x:f t="shared" si="112"/>
        <x:v>0</x:v>
      </x:c>
      <x:c r="DG66" s="874" t="str">
        <x:f t="shared" si="113"/>
        <x:v/>
      </x:c>
      <x:c r="DH66" s="1310" t="str">
        <x:f t="shared" si="175"/>
        <x:v/>
      </x:c>
      <x:c r="DI66" s="1310" t="str">
        <x:f t="shared" si="114"/>
        <x:v/>
      </x:c>
      <x:c r="DJ66" s="1311">
        <x:f t="shared" si="176"/>
        <x:v>0</x:v>
      </x:c>
      <x:c r="DK66" s="1310" t="str">
        <x:f t="shared" si="115"/>
        <x:v/>
      </x:c>
      <x:c r="DL66" s="1310" t="str">
        <x:f t="shared" si="116"/>
        <x:v/>
      </x:c>
      <x:c r="DM66" s="1310" t="str">
        <x:f t="shared" si="117"/>
        <x:v/>
      </x:c>
      <x:c r="DN66" s="1310" t="str">
        <x:f t="shared" si="118"/>
        <x:v/>
      </x:c>
      <x:c r="DO66" s="889" t="str">
        <x:f t="shared" si="119"/>
        <x:v>ERR</x:v>
      </x:c>
      <x:c r="DP66" s="889" t="str">
        <x:f t="shared" si="120"/>
        <x:v>ERR</x:v>
      </x:c>
      <x:c r="DQ66" s="1310" t="str">
        <x:f t="shared" si="121"/>
        <x:v/>
      </x:c>
      <x:c r="DR66" s="1310" t="str">
        <x:f t="shared" si="121"/>
        <x:v/>
      </x:c>
      <x:c r="DS66" s="1310" t="str">
        <x:f t="shared" si="122"/>
        <x:v/>
      </x:c>
      <x:c r="DT66" s="1310" t="str">
        <x:f t="shared" si="123"/>
        <x:v/>
      </x:c>
      <x:c r="DU66" s="1310" t="str">
        <x:f t="shared" si="124"/>
        <x:v/>
      </x:c>
      <x:c r="DV66" s="889" t="str">
        <x:f t="shared" si="125"/>
        <x:v>ERR</x:v>
      </x:c>
      <x:c r="DW66" s="889" t="str">
        <x:f t="shared" si="126"/>
        <x:v>ERR</x:v>
      </x:c>
      <x:c r="DX66" s="873" t="str">
        <x:f t="shared" si="127"/>
        <x:v/>
      </x:c>
      <x:c r="DY66" s="873" t="str">
        <x:f t="shared" si="127"/>
        <x:v/>
      </x:c>
      <x:c r="DZ66" s="873" t="str">
        <x:f t="shared" si="128"/>
        <x:v/>
      </x:c>
      <x:c r="EA66" s="873" t="str">
        <x:f t="shared" si="129"/>
        <x:v/>
      </x:c>
      <x:c r="EB66" s="876" t="str">
        <x:f t="shared" si="130"/>
        <x:v/>
      </x:c>
      <x:c r="EC66" s="877" t="str">
        <x:f t="shared" si="131"/>
        <x:v/>
      </x:c>
      <x:c r="ED66" s="876" t="str">
        <x:f t="shared" si="132"/>
        <x:v/>
      </x:c>
      <x:c r="EE66" s="876" t="str">
        <x:f t="shared" si="133"/>
        <x:v/>
      </x:c>
      <x:c r="EF66" s="876" t="str">
        <x:f t="shared" si="134"/>
        <x:v/>
      </x:c>
      <x:c r="EG66" s="876" t="str">
        <x:f t="shared" si="135"/>
        <x:v/>
      </x:c>
      <x:c r="EH66" s="876" t="str">
        <x:f t="shared" si="136"/>
        <x:v/>
      </x:c>
      <x:c r="EI66" s="876" t="str">
        <x:f t="shared" si="137"/>
        <x:v/>
      </x:c>
      <x:c r="EJ66" s="876" t="str">
        <x:f t="shared" si="138"/>
        <x:v/>
      </x:c>
      <x:c r="EK66" s="874">
        <x:f t="shared" si="139"/>
        <x:v>0</x:v>
      </x:c>
      <x:c r="EL66" s="874">
        <x:f t="shared" si="140"/>
        <x:v>0</x:v>
      </x:c>
      <x:c r="EM66" s="874">
        <x:f t="shared" si="141"/>
        <x:v>0</x:v>
      </x:c>
      <x:c r="EN66" s="874" t="str">
        <x:f t="shared" si="142"/>
        <x:v/>
      </x:c>
      <x:c r="EO66" s="873" t="str">
        <x:f t="shared" si="143"/>
        <x:v/>
      </x:c>
      <x:c r="EP66" s="874">
        <x:f t="shared" si="144"/>
        <x:v>0</x:v>
      </x:c>
      <x:c r="EQ66" s="874">
        <x:f t="shared" si="145"/>
        <x:v>0</x:v>
      </x:c>
      <x:c r="ER66" s="874">
        <x:f t="shared" si="146"/>
        <x:v>0</x:v>
      </x:c>
      <x:c r="ES66" s="874" t="str">
        <x:f t="shared" si="147"/>
        <x:v/>
      </x:c>
      <x:c r="ET66" s="873" t="str">
        <x:f t="shared" si="148"/>
        <x:v/>
      </x:c>
      <x:c r="EU66" s="873">
        <x:f t="shared" si="149"/>
        <x:v>0</x:v>
      </x:c>
      <x:c r="EV66" s="876" t="e">
        <x:f t="shared" si="150"/>
        <x:v>#VALUE!</x:v>
      </x:c>
      <x:c r="EW66" s="876" t="e">
        <x:f t="shared" si="151"/>
        <x:v>#VALUE!</x:v>
      </x:c>
      <x:c r="EX66" s="878" t="str">
        <x:f t="shared" si="152"/>
        <x:v/>
      </x:c>
      <x:c r="EY66" s="879">
        <x:f t="shared" si="153"/>
        <x:v>25</x:v>
      </x:c>
      <x:c r="EZ66" s="959">
        <x:f t="shared" si="154"/>
        <x:v>0</x:v>
      </x:c>
      <x:c r="FA66" s="960">
        <x:f t="shared" si="155"/>
        <x:v>0</x:v>
      </x:c>
      <x:c r="FB66" s="880" t="str">
        <x:f t="shared" si="156"/>
        <x:v/>
      </x:c>
      <x:c r="FC66" s="881" t="str">
        <x:f t="shared" si="157"/>
        <x:v/>
      </x:c>
      <x:c r="FD66" s="890">
        <x:f t="shared" si="158"/>
        <x:v>0</x:v>
      </x:c>
      <x:c r="FE66" s="833">
        <x:f t="shared" si="159"/>
        <x:v>0</x:v>
      </x:c>
      <x:c r="FF66" s="754" t="b">
        <x:f t="shared" si="160"/>
        <x:v>0</x:v>
      </x:c>
      <x:c r="FG66" s="754" t="b">
        <x:f t="shared" si="161"/>
        <x:v>0</x:v>
      </x:c>
      <x:c r="FH66" s="754" t="b">
        <x:f t="shared" si="162"/>
        <x:v>0</x:v>
      </x:c>
      <x:c r="FI66" s="754" t="b">
        <x:f t="shared" si="163"/>
        <x:v>0</x:v>
      </x:c>
      <x:c r="FJ66" s="920" t="str">
        <x:f t="shared" si="177"/>
        <x:v/>
      </x:c>
      <x:c r="FK66" s="919" t="str">
        <x:f t="shared" si="178"/>
        <x:v/>
      </x:c>
      <x:c r="FL66" s="320" t="e">
        <x:f t="shared" si="179"/>
        <x:v>#N/A</x:v>
      </x:c>
      <x:c r="FM66" s="312" t="str">
        <x:f t="shared" si="164"/>
        <x:v/>
      </x:c>
      <x:c r="FN66" s="272" t="str">
        <x:f t="shared" ca="1" si="180"/>
        <x:v/>
      </x:c>
      <x:c r="FO66" s="273" t="str">
        <x:f t="shared" ca="1" si="181"/>
        <x:v/>
      </x:c>
      <x:c r="FP66" s="274" t="str">
        <x:f t="shared" ca="1" si="182"/>
        <x:v/>
      </x:c>
      <x:c r="FQ66" s="274" t="str">
        <x:f t="shared" ca="1" si="183"/>
        <x:v/>
      </x:c>
      <x:c r="FR66" s="321">
        <x:f t="shared" ca="1" si="184"/>
        <x:v>0</x:v>
      </x:c>
      <x:c r="FS66" s="322">
        <x:f t="shared" ca="1" si="185"/>
        <x:v>0</x:v>
      </x:c>
      <x:c r="FT66" s="272" t="str">
        <x:f t="shared" ca="1" si="186"/>
        <x:v/>
      </x:c>
      <x:c r="FU66" s="275" t="str">
        <x:f t="shared" ca="1" si="187"/>
        <x:v/>
      </x:c>
      <x:c r="FV66" s="323" t="str">
        <x:f t="shared" ca="1" si="165"/>
        <x:v/>
      </x:c>
      <x:c r="FW66" s="276" t="str">
        <x:f t="shared" ca="1" si="188"/>
        <x:v/>
      </x:c>
      <x:c r="FX66" s="276" t="str">
        <x:f t="shared" ca="1" si="189"/>
        <x:v/>
      </x:c>
      <x:c r="FY66" s="276" t="str">
        <x:f t="shared" ca="1" si="190"/>
        <x:v/>
      </x:c>
      <x:c r="FZ66" s="276" t="str">
        <x:f t="shared" ca="1" si="191"/>
        <x:v/>
      </x:c>
      <x:c r="GA66" s="276" t="str">
        <x:f t="shared" ca="1" si="192"/>
        <x:v/>
      </x:c>
      <x:c r="GB66" s="277" t="str">
        <x:f ca="1">IF(FY66="","",2+SUM(FO66:OFFSET(FO66,(FU66-1)*-1,0)))</x:f>
        <x:v/>
      </x:c>
      <x:c r="GC66" s="316" t="e">
        <x:f t="shared" si="193"/>
        <x:v>#N/A</x:v>
      </x:c>
      <x:c r="GD66" s="324" t="str">
        <x:f t="shared" si="166"/>
        <x:v/>
      </x:c>
      <x:c r="GE66" s="325" t="str">
        <x:f t="shared" si="167"/>
        <x:v/>
      </x:c>
      <x:c r="GF66" s="278" t="str">
        <x:f t="shared" si="168"/>
        <x:v/>
      </x:c>
      <x:c r="GG66" s="279" t="str">
        <x:f t="shared" si="169"/>
        <x:v/>
      </x:c>
      <x:c r="GH66" s="279" t="str">
        <x:f t="shared" si="170"/>
        <x:v/>
      </x:c>
      <x:c r="GI66" s="280" t="str">
        <x:f t="shared" si="171"/>
        <x:v/>
      </x:c>
      <x:c r="GJ66" s="530">
        <x:f t="shared" ca="1" si="172"/>
        <x:v>0</x:v>
      </x:c>
      <x:c r="GK66" s="895" t="str">
        <x:f t="shared" ca="1" si="194"/>
        <x:v/>
      </x:c>
    </x:row>
    <x:row r="67" spans="78:193" ht="12.6" hidden="1" customHeight="1" x14ac:dyDescent="0.2">
      <x:c r="BZ67" s="293"/>
      <x:c r="CA67" s="293"/>
      <x:c r="CB67" s="365" t="str">
        <x:f t="shared" si="100"/>
        <x:v/>
      </x:c>
      <x:c r="CC67" s="366" t="str">
        <x:f>IF(CG27="","",VLOOKUP(CG27,SectInfo!$B:$N,12,FALSE))</x:f>
        <x:v/>
      </x:c>
      <x:c r="CD67" s="1305" t="str">
        <x:f>IF(ISBLANK(CN27),IF(CG27="","",VLOOKUP(CG27,SectInfo!$B:$N,13,FALSE)),CN27)</x:f>
        <x:v/>
      </x:c>
      <x:c r="CE67" s="1305" t="str">
        <x:f>IF(CG27="","",IF(VLOOKUP(CG27,SectInfo!$B:$N,5,FALSE)="","R",UPPER(VLOOKUP(CG27,SectInfo!$B:$N,5,FALSE))))</x:f>
        <x:v/>
      </x:c>
      <x:c r="CF67" s="1305" t="str">
        <x:f>IF(ISBLANK(CP27),IF(CG27="","",VLOOKUP(CG27,SectInfo!$B:$N,6,FALSE)),CP27)</x:f>
        <x:v/>
      </x:c>
      <x:c r="CG67" s="1305" t="str">
        <x:f>IF(CG27="","",IF(VLOOKUP(CG27,SectInfo!$B:$N,10,FALSE)="","",(VLOOKUP(CG27,SectInfo!$B:$N,10,FALSE)*-1)))</x:f>
        <x:v/>
      </x:c>
      <x:c r="CH67" s="1305" t="str">
        <x:f>IF(CG27="","",IF(VLOOKUP(CG27,SectInfo!$B:$N,7,FALSE)="","",(VLOOKUP(CG27,SectInfo!$B:$N,7,FALSE)*-1)))</x:f>
        <x:v/>
      </x:c>
      <x:c r="CI67" s="1305" t="str">
        <x:f>IF(CG27="","",IF(VLOOKUP(CG27,SectInfo!$B:$N,8,FALSE)="",$FC$4,(VLOOKUP(CG27,SectInfo!$B:$N,8,FALSE))))</x:f>
        <x:v/>
      </x:c>
      <x:c r="CJ67" s="1305" t="str">
        <x:f>IF(CG27="","",VLOOKUP(CG27,SectInfo!$B:$N,9,FALSE))</x:f>
        <x:v/>
      </x:c>
      <x:c r="CK67" s="1306">
        <x:f t="shared" si="101"/>
        <x:v>0</x:v>
      </x:c>
      <x:c r="CL67" s="1304" t="str">
        <x:f>IF(CQ27="","",VLOOKUP(CQ27,SectInfo!$B:$N,12,FALSE))</x:f>
        <x:v/>
      </x:c>
      <x:c r="CM67" s="1305" t="str">
        <x:f>IF(ISBLANK(CX27),IF(CQ27="","",VLOOKUP(CQ27,SectInfo!$B:$N,13,FALSE)),CX27)</x:f>
        <x:v/>
      </x:c>
      <x:c r="CN67" s="1305" t="str">
        <x:f>IF(CQ27="","",IF(VLOOKUP(CQ27,SectInfo!$B:$N,5,FALSE)="","R",UPPER(VLOOKUP(CQ27,SectInfo!$B:$N,5,FALSE))))</x:f>
        <x:v/>
      </x:c>
      <x:c r="CO67" s="1305" t="str">
        <x:f>IF(ISBLANK(CZ27),IF(CQ27="","",VLOOKUP(CQ27,SectInfo!$B:$N,6,FALSE)),CZ27)</x:f>
        <x:v/>
      </x:c>
      <x:c r="CP67" s="1305" t="str">
        <x:f>IF(CQ27="","",IF(VLOOKUP(CQ27,SectInfo!$B:$N,10,FALSE)="","",(VLOOKUP(CQ27,SectInfo!$B:$N,10,FALSE)*-1)))</x:f>
        <x:v/>
      </x:c>
      <x:c r="CQ67" s="1305" t="str">
        <x:f>IF(CQ27="","",IF(VLOOKUP(CQ27,SectInfo!$B:$N,7,FALSE)="","",(VLOOKUP(CQ27,SectInfo!$B:$N,7,FALSE)*-1)))</x:f>
        <x:v/>
      </x:c>
      <x:c r="CR67" s="1305" t="str">
        <x:f>IF(CQ27="","",IF(VLOOKUP(CQ27,SectInfo!$B:$N,8,FALSE)="",$FC$4,(VLOOKUP(CQ27,SectInfo!$B:$N,8,FALSE))))</x:f>
        <x:v/>
      </x:c>
      <x:c r="CS67" s="1305" t="str">
        <x:f>IF(CQ27="","",VLOOKUP(CQ27,SectInfo!$B:$N,9,FALSE))</x:f>
        <x:v/>
      </x:c>
      <x:c r="CT67" s="1306">
        <x:f t="shared" si="102"/>
        <x:v>0</x:v>
      </x:c>
      <x:c r="CU67" s="1316">
        <x:f t="shared" si="103"/>
        <x:v>0</x:v>
      </x:c>
      <x:c r="CV67" s="1310" t="str">
        <x:f t="shared" si="104"/>
        <x:v/>
      </x:c>
      <x:c r="CW67" s="1310" t="str">
        <x:f t="shared" si="105"/>
        <x:v/>
      </x:c>
      <x:c r="CX67" s="1310" t="str">
        <x:f t="shared" si="106"/>
        <x:v/>
      </x:c>
      <x:c r="CY67" s="1312">
        <x:f t="shared" si="107"/>
        <x:v>0</x:v>
      </x:c>
      <x:c r="CZ67" s="1312">
        <x:f t="shared" si="108"/>
        <x:v>0</x:v>
      </x:c>
      <x:c r="DA67" s="1312" t="str">
        <x:f t="shared" si="109"/>
        <x:v/>
      </x:c>
      <x:c r="DB67" s="1310" t="str">
        <x:f t="shared" si="173"/>
        <x:v/>
      </x:c>
      <x:c r="DC67" s="1310" t="str">
        <x:f t="shared" si="110"/>
        <x:v/>
      </x:c>
      <x:c r="DD67" s="875">
        <x:f t="shared" si="174"/>
        <x:v>0</x:v>
      </x:c>
      <x:c r="DE67" s="873">
        <x:f t="shared" si="111"/>
        <x:v>0</x:v>
      </x:c>
      <x:c r="DF67" s="874">
        <x:f t="shared" si="112"/>
        <x:v>0</x:v>
      </x:c>
      <x:c r="DG67" s="874" t="str">
        <x:f t="shared" si="113"/>
        <x:v/>
      </x:c>
      <x:c r="DH67" s="1310" t="str">
        <x:f t="shared" si="175"/>
        <x:v/>
      </x:c>
      <x:c r="DI67" s="1310" t="str">
        <x:f t="shared" si="114"/>
        <x:v/>
      </x:c>
      <x:c r="DJ67" s="1311">
        <x:f t="shared" si="176"/>
        <x:v>0</x:v>
      </x:c>
      <x:c r="DK67" s="1310" t="str">
        <x:f t="shared" si="115"/>
        <x:v/>
      </x:c>
      <x:c r="DL67" s="1310" t="str">
        <x:f t="shared" si="116"/>
        <x:v/>
      </x:c>
      <x:c r="DM67" s="1310" t="str">
        <x:f t="shared" si="117"/>
        <x:v/>
      </x:c>
      <x:c r="DN67" s="1310" t="str">
        <x:f t="shared" si="118"/>
        <x:v/>
      </x:c>
      <x:c r="DO67" s="889" t="str">
        <x:f t="shared" si="119"/>
        <x:v>ERR</x:v>
      </x:c>
      <x:c r="DP67" s="889" t="str">
        <x:f t="shared" si="120"/>
        <x:v>ERR</x:v>
      </x:c>
      <x:c r="DQ67" s="1310" t="str">
        <x:f t="shared" si="121"/>
        <x:v/>
      </x:c>
      <x:c r="DR67" s="1310" t="str">
        <x:f t="shared" si="121"/>
        <x:v/>
      </x:c>
      <x:c r="DS67" s="1310" t="str">
        <x:f t="shared" si="122"/>
        <x:v/>
      </x:c>
      <x:c r="DT67" s="1310" t="str">
        <x:f t="shared" si="123"/>
        <x:v/>
      </x:c>
      <x:c r="DU67" s="1310" t="str">
        <x:f t="shared" si="124"/>
        <x:v/>
      </x:c>
      <x:c r="DV67" s="889" t="str">
        <x:f t="shared" si="125"/>
        <x:v>ERR</x:v>
      </x:c>
      <x:c r="DW67" s="889" t="str">
        <x:f t="shared" si="126"/>
        <x:v>ERR</x:v>
      </x:c>
      <x:c r="DX67" s="873" t="str">
        <x:f t="shared" si="127"/>
        <x:v/>
      </x:c>
      <x:c r="DY67" s="873" t="str">
        <x:f t="shared" si="127"/>
        <x:v/>
      </x:c>
      <x:c r="DZ67" s="873" t="str">
        <x:f t="shared" si="128"/>
        <x:v/>
      </x:c>
      <x:c r="EA67" s="873" t="str">
        <x:f t="shared" si="129"/>
        <x:v/>
      </x:c>
      <x:c r="EB67" s="876" t="str">
        <x:f t="shared" si="130"/>
        <x:v/>
      </x:c>
      <x:c r="EC67" s="877" t="str">
        <x:f t="shared" si="131"/>
        <x:v/>
      </x:c>
      <x:c r="ED67" s="876" t="str">
        <x:f t="shared" si="132"/>
        <x:v/>
      </x:c>
      <x:c r="EE67" s="876" t="str">
        <x:f t="shared" si="133"/>
        <x:v/>
      </x:c>
      <x:c r="EF67" s="876" t="str">
        <x:f t="shared" si="134"/>
        <x:v/>
      </x:c>
      <x:c r="EG67" s="876" t="str">
        <x:f t="shared" si="135"/>
        <x:v/>
      </x:c>
      <x:c r="EH67" s="876" t="str">
        <x:f t="shared" si="136"/>
        <x:v/>
      </x:c>
      <x:c r="EI67" s="876" t="str">
        <x:f t="shared" si="137"/>
        <x:v/>
      </x:c>
      <x:c r="EJ67" s="876" t="str">
        <x:f t="shared" si="138"/>
        <x:v/>
      </x:c>
      <x:c r="EK67" s="874">
        <x:f t="shared" si="139"/>
        <x:v>0</x:v>
      </x:c>
      <x:c r="EL67" s="874">
        <x:f t="shared" si="140"/>
        <x:v>0</x:v>
      </x:c>
      <x:c r="EM67" s="874">
        <x:f t="shared" si="141"/>
        <x:v>0</x:v>
      </x:c>
      <x:c r="EN67" s="874" t="str">
        <x:f t="shared" si="142"/>
        <x:v/>
      </x:c>
      <x:c r="EO67" s="873" t="str">
        <x:f t="shared" si="143"/>
        <x:v/>
      </x:c>
      <x:c r="EP67" s="874">
        <x:f t="shared" si="144"/>
        <x:v>0</x:v>
      </x:c>
      <x:c r="EQ67" s="874">
        <x:f t="shared" si="145"/>
        <x:v>0</x:v>
      </x:c>
      <x:c r="ER67" s="874">
        <x:f t="shared" si="146"/>
        <x:v>0</x:v>
      </x:c>
      <x:c r="ES67" s="874" t="str">
        <x:f t="shared" si="147"/>
        <x:v/>
      </x:c>
      <x:c r="ET67" s="873" t="str">
        <x:f t="shared" si="148"/>
        <x:v/>
      </x:c>
      <x:c r="EU67" s="873">
        <x:f t="shared" si="149"/>
        <x:v>0</x:v>
      </x:c>
      <x:c r="EV67" s="876" t="e">
        <x:f t="shared" si="150"/>
        <x:v>#VALUE!</x:v>
      </x:c>
      <x:c r="EW67" s="876" t="e">
        <x:f t="shared" si="151"/>
        <x:v>#VALUE!</x:v>
      </x:c>
      <x:c r="EX67" s="878" t="str">
        <x:f t="shared" si="152"/>
        <x:v/>
      </x:c>
      <x:c r="EY67" s="879" t="e">
        <x:f t="shared" si="153"/>
        <x:v>#DIV/0!</x:v>
      </x:c>
      <x:c r="EZ67" s="959" t="e">
        <x:f t="shared" si="154"/>
        <x:v>#DIV/0!</x:v>
      </x:c>
      <x:c r="FA67" s="960" t="e">
        <x:f t="shared" si="155"/>
        <x:v>#DIV/0!</x:v>
      </x:c>
      <x:c r="FB67" s="880" t="str">
        <x:f t="shared" si="156"/>
        <x:v/>
      </x:c>
      <x:c r="FC67" s="881" t="str">
        <x:f t="shared" si="157"/>
        <x:v/>
      </x:c>
      <x:c r="FD67" s="890">
        <x:f t="shared" si="158"/>
        <x:v>0</x:v>
      </x:c>
      <x:c r="FE67" s="833">
        <x:f t="shared" si="159"/>
        <x:v>0</x:v>
      </x:c>
      <x:c r="FF67" s="754" t="b">
        <x:f t="shared" si="160"/>
        <x:v>0</x:v>
      </x:c>
      <x:c r="FG67" s="754" t="b">
        <x:f t="shared" si="161"/>
        <x:v>0</x:v>
      </x:c>
      <x:c r="FH67" s="754" t="b">
        <x:f t="shared" si="162"/>
        <x:v>0</x:v>
      </x:c>
      <x:c r="FI67" s="754" t="b">
        <x:f t="shared" si="163"/>
        <x:v>0</x:v>
      </x:c>
      <x:c r="FJ67" s="920" t="str">
        <x:f t="shared" si="177"/>
        <x:v/>
      </x:c>
      <x:c r="FK67" s="919" t="str">
        <x:f t="shared" si="178"/>
        <x:v/>
      </x:c>
      <x:c r="FL67" s="320" t="e">
        <x:f t="shared" si="179"/>
        <x:v>#N/A</x:v>
      </x:c>
      <x:c r="FM67" s="312" t="str">
        <x:f t="shared" si="164"/>
        <x:v/>
      </x:c>
      <x:c r="FN67" s="272" t="str">
        <x:f t="shared" ca="1" si="180"/>
        <x:v/>
      </x:c>
      <x:c r="FO67" s="273" t="str">
        <x:f t="shared" ca="1" si="181"/>
        <x:v/>
      </x:c>
      <x:c r="FP67" s="274" t="str">
        <x:f t="shared" ca="1" si="182"/>
        <x:v/>
      </x:c>
      <x:c r="FQ67" s="274" t="str">
        <x:f t="shared" ca="1" si="183"/>
        <x:v/>
      </x:c>
      <x:c r="FR67" s="321">
        <x:f t="shared" ca="1" si="184"/>
        <x:v>0</x:v>
      </x:c>
      <x:c r="FS67" s="322">
        <x:f t="shared" ca="1" si="185"/>
        <x:v>0</x:v>
      </x:c>
      <x:c r="FT67" s="272" t="str">
        <x:f t="shared" ca="1" si="186"/>
        <x:v/>
      </x:c>
      <x:c r="FU67" s="275" t="str">
        <x:f t="shared" ca="1" si="187"/>
        <x:v/>
      </x:c>
      <x:c r="FV67" s="323" t="str">
        <x:f t="shared" ca="1" si="165"/>
        <x:v/>
      </x:c>
      <x:c r="FW67" s="276" t="str">
        <x:f t="shared" ca="1" si="188"/>
        <x:v/>
      </x:c>
      <x:c r="FX67" s="276" t="str">
        <x:f t="shared" ca="1" si="189"/>
        <x:v/>
      </x:c>
      <x:c r="FY67" s="276" t="str">
        <x:f t="shared" ca="1" si="190"/>
        <x:v/>
      </x:c>
      <x:c r="FZ67" s="276" t="str">
        <x:f t="shared" ca="1" si="191"/>
        <x:v/>
      </x:c>
      <x:c r="GA67" s="276" t="str">
        <x:f t="shared" ca="1" si="192"/>
        <x:v/>
      </x:c>
      <x:c r="GB67" s="277" t="str">
        <x:f ca="1">IF(FY67="","",2+SUM(FO67:OFFSET(FO67,(FU67-1)*-1,0)))</x:f>
        <x:v/>
      </x:c>
      <x:c r="GC67" s="316" t="e">
        <x:f t="shared" si="193"/>
        <x:v>#N/A</x:v>
      </x:c>
      <x:c r="GD67" s="324" t="str">
        <x:f t="shared" si="166"/>
        <x:v/>
      </x:c>
      <x:c r="GE67" s="325" t="str">
        <x:f t="shared" si="167"/>
        <x:v/>
      </x:c>
      <x:c r="GF67" s="278" t="str">
        <x:f t="shared" si="168"/>
        <x:v/>
      </x:c>
      <x:c r="GG67" s="279" t="str">
        <x:f t="shared" si="169"/>
        <x:v/>
      </x:c>
      <x:c r="GH67" s="279" t="str">
        <x:f t="shared" si="170"/>
        <x:v/>
      </x:c>
      <x:c r="GI67" s="280" t="str">
        <x:f t="shared" si="171"/>
        <x:v/>
      </x:c>
      <x:c r="GJ67" s="530">
        <x:f t="shared" ca="1" si="172"/>
        <x:v>0</x:v>
      </x:c>
      <x:c r="GK67" s="895" t="str">
        <x:f t="shared" ca="1" si="194"/>
        <x:v/>
      </x:c>
    </x:row>
    <x:row r="68" spans="78:193" ht="12.6" hidden="1" customHeight="1" x14ac:dyDescent="0.2">
      <x:c r="BZ68" s="293"/>
      <x:c r="CA68" s="293"/>
      <x:c r="CB68" s="365" t="str">
        <x:f t="shared" si="100"/>
        <x:v/>
      </x:c>
      <x:c r="CC68" s="366" t="str">
        <x:f>IF(CG28="","",VLOOKUP(CG28,SectInfo!$B:$N,12,FALSE))</x:f>
        <x:v/>
      </x:c>
      <x:c r="CD68" s="1305" t="str">
        <x:f>IF(ISBLANK(CN28),IF(CG28="","",VLOOKUP(CG28,SectInfo!$B:$N,13,FALSE)),CN28)</x:f>
        <x:v/>
      </x:c>
      <x:c r="CE68" s="1305" t="str">
        <x:f>IF(CG28="","",IF(VLOOKUP(CG28,SectInfo!$B:$N,5,FALSE)="","R",UPPER(VLOOKUP(CG28,SectInfo!$B:$N,5,FALSE))))</x:f>
        <x:v/>
      </x:c>
      <x:c r="CF68" s="1305" t="str">
        <x:f>IF(ISBLANK(CP28),IF(CG28="","",VLOOKUP(CG28,SectInfo!$B:$N,6,FALSE)),CP28)</x:f>
        <x:v/>
      </x:c>
      <x:c r="CG68" s="1305" t="str">
        <x:f>IF(CG28="","",IF(VLOOKUP(CG28,SectInfo!$B:$N,10,FALSE)="","",(VLOOKUP(CG28,SectInfo!$B:$N,10,FALSE)*-1)))</x:f>
        <x:v/>
      </x:c>
      <x:c r="CH68" s="1305" t="str">
        <x:f>IF(CG28="","",IF(VLOOKUP(CG28,SectInfo!$B:$N,7,FALSE)="","",(VLOOKUP(CG28,SectInfo!$B:$N,7,FALSE)*-1)))</x:f>
        <x:v/>
      </x:c>
      <x:c r="CI68" s="1305" t="str">
        <x:f>IF(CG28="","",IF(VLOOKUP(CG28,SectInfo!$B:$N,8,FALSE)="",$FC$4,(VLOOKUP(CG28,SectInfo!$B:$N,8,FALSE))))</x:f>
        <x:v/>
      </x:c>
      <x:c r="CJ68" s="1305" t="str">
        <x:f>IF(CG28="","",VLOOKUP(CG28,SectInfo!$B:$N,9,FALSE))</x:f>
        <x:v/>
      </x:c>
      <x:c r="CK68" s="1306">
        <x:f t="shared" si="101"/>
        <x:v>0</x:v>
      </x:c>
      <x:c r="CL68" s="1304" t="str">
        <x:f>IF(CQ28="","",VLOOKUP(CQ28,SectInfo!$B:$N,12,FALSE))</x:f>
        <x:v/>
      </x:c>
      <x:c r="CM68" s="1305" t="str">
        <x:f>IF(ISBLANK(CX28),IF(CQ28="","",VLOOKUP(CQ28,SectInfo!$B:$N,13,FALSE)),CX28)</x:f>
        <x:v/>
      </x:c>
      <x:c r="CN68" s="1305" t="str">
        <x:f>IF(CQ28="","",IF(VLOOKUP(CQ28,SectInfo!$B:$N,5,FALSE)="","R",UPPER(VLOOKUP(CQ28,SectInfo!$B:$N,5,FALSE))))</x:f>
        <x:v/>
      </x:c>
      <x:c r="CO68" s="1305" t="str">
        <x:f>IF(ISBLANK(CZ28),IF(CQ28="","",VLOOKUP(CQ28,SectInfo!$B:$N,6,FALSE)),CZ28)</x:f>
        <x:v/>
      </x:c>
      <x:c r="CP68" s="1305" t="str">
        <x:f>IF(CQ28="","",IF(VLOOKUP(CQ28,SectInfo!$B:$N,10,FALSE)="","",(VLOOKUP(CQ28,SectInfo!$B:$N,10,FALSE)*-1)))</x:f>
        <x:v/>
      </x:c>
      <x:c r="CQ68" s="1305" t="str">
        <x:f>IF(CQ28="","",IF(VLOOKUP(CQ28,SectInfo!$B:$N,7,FALSE)="","",(VLOOKUP(CQ28,SectInfo!$B:$N,7,FALSE)*-1)))</x:f>
        <x:v/>
      </x:c>
      <x:c r="CR68" s="1305" t="str">
        <x:f>IF(CQ28="","",IF(VLOOKUP(CQ28,SectInfo!$B:$N,8,FALSE)="",$FC$4,(VLOOKUP(CQ28,SectInfo!$B:$N,8,FALSE))))</x:f>
        <x:v/>
      </x:c>
      <x:c r="CS68" s="1305" t="str">
        <x:f>IF(CQ28="","",VLOOKUP(CQ28,SectInfo!$B:$N,9,FALSE))</x:f>
        <x:v/>
      </x:c>
      <x:c r="CT68" s="1306">
        <x:f t="shared" si="102"/>
        <x:v>0</x:v>
      </x:c>
      <x:c r="CU68" s="1316">
        <x:f t="shared" si="103"/>
        <x:v>0</x:v>
      </x:c>
      <x:c r="CV68" s="1310" t="str">
        <x:f t="shared" si="104"/>
        <x:v/>
      </x:c>
      <x:c r="CW68" s="1310" t="str">
        <x:f t="shared" si="105"/>
        <x:v/>
      </x:c>
      <x:c r="CX68" s="1310" t="str">
        <x:f t="shared" si="106"/>
        <x:v/>
      </x:c>
      <x:c r="CY68" s="1312">
        <x:f t="shared" si="107"/>
        <x:v>0</x:v>
      </x:c>
      <x:c r="CZ68" s="1312">
        <x:f t="shared" si="108"/>
        <x:v>0</x:v>
      </x:c>
      <x:c r="DA68" s="1312" t="str">
        <x:f t="shared" si="109"/>
        <x:v/>
      </x:c>
      <x:c r="DB68" s="1310" t="str">
        <x:f t="shared" si="173"/>
        <x:v/>
      </x:c>
      <x:c r="DC68" s="1310" t="str">
        <x:f t="shared" si="110"/>
        <x:v/>
      </x:c>
      <x:c r="DD68" s="875">
        <x:f t="shared" si="174"/>
        <x:v>0</x:v>
      </x:c>
      <x:c r="DE68" s="873">
        <x:f t="shared" si="111"/>
        <x:v>0</x:v>
      </x:c>
      <x:c r="DF68" s="874">
        <x:f t="shared" si="112"/>
        <x:v>0</x:v>
      </x:c>
      <x:c r="DG68" s="874" t="str">
        <x:f t="shared" si="113"/>
        <x:v/>
      </x:c>
      <x:c r="DH68" s="1310" t="str">
        <x:f t="shared" si="175"/>
        <x:v/>
      </x:c>
      <x:c r="DI68" s="1310" t="str">
        <x:f t="shared" si="114"/>
        <x:v/>
      </x:c>
      <x:c r="DJ68" s="1311">
        <x:f t="shared" si="176"/>
        <x:v>0</x:v>
      </x:c>
      <x:c r="DK68" s="1310" t="str">
        <x:f t="shared" si="115"/>
        <x:v/>
      </x:c>
      <x:c r="DL68" s="1310" t="str">
        <x:f t="shared" si="116"/>
        <x:v/>
      </x:c>
      <x:c r="DM68" s="1310" t="str">
        <x:f t="shared" si="117"/>
        <x:v/>
      </x:c>
      <x:c r="DN68" s="1310" t="str">
        <x:f t="shared" si="118"/>
        <x:v/>
      </x:c>
      <x:c r="DO68" s="889" t="str">
        <x:f t="shared" si="119"/>
        <x:v>ERR</x:v>
      </x:c>
      <x:c r="DP68" s="889" t="str">
        <x:f t="shared" si="120"/>
        <x:v>ERR</x:v>
      </x:c>
      <x:c r="DQ68" s="1310" t="str">
        <x:f t="shared" si="121"/>
        <x:v/>
      </x:c>
      <x:c r="DR68" s="1310" t="str">
        <x:f t="shared" si="121"/>
        <x:v/>
      </x:c>
      <x:c r="DS68" s="1310" t="str">
        <x:f t="shared" si="122"/>
        <x:v/>
      </x:c>
      <x:c r="DT68" s="1310" t="str">
        <x:f t="shared" si="123"/>
        <x:v/>
      </x:c>
      <x:c r="DU68" s="1310" t="str">
        <x:f t="shared" si="124"/>
        <x:v/>
      </x:c>
      <x:c r="DV68" s="889" t="str">
        <x:f t="shared" si="125"/>
        <x:v>ERR</x:v>
      </x:c>
      <x:c r="DW68" s="889" t="str">
        <x:f t="shared" si="126"/>
        <x:v>ERR</x:v>
      </x:c>
      <x:c r="DX68" s="873" t="str">
        <x:f t="shared" si="127"/>
        <x:v/>
      </x:c>
      <x:c r="DY68" s="873" t="str">
        <x:f t="shared" si="127"/>
        <x:v/>
      </x:c>
      <x:c r="DZ68" s="873" t="str">
        <x:f t="shared" si="128"/>
        <x:v/>
      </x:c>
      <x:c r="EA68" s="873" t="str">
        <x:f t="shared" si="129"/>
        <x:v/>
      </x:c>
      <x:c r="EB68" s="876" t="str">
        <x:f t="shared" si="130"/>
        <x:v/>
      </x:c>
      <x:c r="EC68" s="877" t="str">
        <x:f t="shared" si="131"/>
        <x:v/>
      </x:c>
      <x:c r="ED68" s="876" t="str">
        <x:f t="shared" si="132"/>
        <x:v/>
      </x:c>
      <x:c r="EE68" s="876" t="str">
        <x:f t="shared" si="133"/>
        <x:v/>
      </x:c>
      <x:c r="EF68" s="876" t="str">
        <x:f t="shared" si="134"/>
        <x:v/>
      </x:c>
      <x:c r="EG68" s="876" t="str">
        <x:f t="shared" si="135"/>
        <x:v/>
      </x:c>
      <x:c r="EH68" s="876" t="str">
        <x:f t="shared" si="136"/>
        <x:v/>
      </x:c>
      <x:c r="EI68" s="876" t="str">
        <x:f t="shared" si="137"/>
        <x:v/>
      </x:c>
      <x:c r="EJ68" s="876" t="str">
        <x:f t="shared" si="138"/>
        <x:v/>
      </x:c>
      <x:c r="EK68" s="874">
        <x:f t="shared" si="139"/>
        <x:v>0</x:v>
      </x:c>
      <x:c r="EL68" s="874">
        <x:f t="shared" si="140"/>
        <x:v>0</x:v>
      </x:c>
      <x:c r="EM68" s="874">
        <x:f t="shared" si="141"/>
        <x:v>0</x:v>
      </x:c>
      <x:c r="EN68" s="874" t="str">
        <x:f t="shared" si="142"/>
        <x:v/>
      </x:c>
      <x:c r="EO68" s="873" t="str">
        <x:f t="shared" si="143"/>
        <x:v/>
      </x:c>
      <x:c r="EP68" s="874">
        <x:f t="shared" si="144"/>
        <x:v>0</x:v>
      </x:c>
      <x:c r="EQ68" s="874">
        <x:f t="shared" si="145"/>
        <x:v>0</x:v>
      </x:c>
      <x:c r="ER68" s="874">
        <x:f t="shared" si="146"/>
        <x:v>0</x:v>
      </x:c>
      <x:c r="ES68" s="874" t="str">
        <x:f t="shared" si="147"/>
        <x:v/>
      </x:c>
      <x:c r="ET68" s="873" t="str">
        <x:f t="shared" si="148"/>
        <x:v/>
      </x:c>
      <x:c r="EU68" s="873">
        <x:f t="shared" si="149"/>
        <x:v>0</x:v>
      </x:c>
      <x:c r="EV68" s="876" t="e">
        <x:f t="shared" si="150"/>
        <x:v>#VALUE!</x:v>
      </x:c>
      <x:c r="EW68" s="876" t="e">
        <x:f t="shared" si="151"/>
        <x:v>#VALUE!</x:v>
      </x:c>
      <x:c r="EX68" s="878" t="str">
        <x:f t="shared" si="152"/>
        <x:v/>
      </x:c>
      <x:c r="EY68" s="879" t="e">
        <x:f t="shared" si="153"/>
        <x:v>#DIV/0!</x:v>
      </x:c>
      <x:c r="EZ68" s="959" t="e">
        <x:f t="shared" si="154"/>
        <x:v>#DIV/0!</x:v>
      </x:c>
      <x:c r="FA68" s="960" t="e">
        <x:f t="shared" si="155"/>
        <x:v>#DIV/0!</x:v>
      </x:c>
      <x:c r="FB68" s="880" t="str">
        <x:f t="shared" si="156"/>
        <x:v/>
      </x:c>
      <x:c r="FC68" s="881" t="str">
        <x:f t="shared" si="157"/>
        <x:v/>
      </x:c>
      <x:c r="FD68" s="890">
        <x:f t="shared" si="158"/>
        <x:v>0</x:v>
      </x:c>
      <x:c r="FE68" s="833">
        <x:f t="shared" si="159"/>
        <x:v>0</x:v>
      </x:c>
      <x:c r="FF68" s="754" t="b">
        <x:f t="shared" si="160"/>
        <x:v>0</x:v>
      </x:c>
      <x:c r="FG68" s="754" t="b">
        <x:f t="shared" si="161"/>
        <x:v>0</x:v>
      </x:c>
      <x:c r="FH68" s="754" t="b">
        <x:f t="shared" si="162"/>
        <x:v>0</x:v>
      </x:c>
      <x:c r="FI68" s="754" t="b">
        <x:f t="shared" si="163"/>
        <x:v>0</x:v>
      </x:c>
      <x:c r="FJ68" s="920" t="str">
        <x:f t="shared" si="177"/>
        <x:v/>
      </x:c>
      <x:c r="FK68" s="919" t="str">
        <x:f t="shared" si="178"/>
        <x:v/>
      </x:c>
      <x:c r="FL68" s="320" t="e">
        <x:f t="shared" si="179"/>
        <x:v>#N/A</x:v>
      </x:c>
      <x:c r="FM68" s="312" t="str">
        <x:f t="shared" si="164"/>
        <x:v/>
      </x:c>
      <x:c r="FN68" s="272" t="str">
        <x:f t="shared" ca="1" si="180"/>
        <x:v/>
      </x:c>
      <x:c r="FO68" s="273" t="str">
        <x:f t="shared" ca="1" si="181"/>
        <x:v/>
      </x:c>
      <x:c r="FP68" s="274" t="str">
        <x:f t="shared" ca="1" si="182"/>
        <x:v/>
      </x:c>
      <x:c r="FQ68" s="274" t="str">
        <x:f t="shared" ca="1" si="183"/>
        <x:v/>
      </x:c>
      <x:c r="FR68" s="321">
        <x:f t="shared" ca="1" si="184"/>
        <x:v>0</x:v>
      </x:c>
      <x:c r="FS68" s="322">
        <x:f t="shared" ca="1" si="185"/>
        <x:v>0</x:v>
      </x:c>
      <x:c r="FT68" s="272" t="str">
        <x:f t="shared" ca="1" si="186"/>
        <x:v/>
      </x:c>
      <x:c r="FU68" s="275" t="str">
        <x:f t="shared" ca="1" si="187"/>
        <x:v/>
      </x:c>
      <x:c r="FV68" s="323" t="str">
        <x:f t="shared" ca="1" si="165"/>
        <x:v/>
      </x:c>
      <x:c r="FW68" s="276" t="str">
        <x:f t="shared" ca="1" si="188"/>
        <x:v/>
      </x:c>
      <x:c r="FX68" s="276" t="str">
        <x:f t="shared" ca="1" si="189"/>
        <x:v/>
      </x:c>
      <x:c r="FY68" s="276" t="str">
        <x:f t="shared" ca="1" si="190"/>
        <x:v/>
      </x:c>
      <x:c r="FZ68" s="276" t="str">
        <x:f t="shared" ca="1" si="191"/>
        <x:v/>
      </x:c>
      <x:c r="GA68" s="276" t="str">
        <x:f t="shared" ca="1" si="192"/>
        <x:v/>
      </x:c>
      <x:c r="GB68" s="277" t="str">
        <x:f ca="1">IF(FY68="","",2+SUM(FO68:OFFSET(FO68,(FU68-1)*-1,0)))</x:f>
        <x:v/>
      </x:c>
      <x:c r="GC68" s="316" t="e">
        <x:f t="shared" si="193"/>
        <x:v>#N/A</x:v>
      </x:c>
      <x:c r="GD68" s="324" t="str">
        <x:f t="shared" si="166"/>
        <x:v/>
      </x:c>
      <x:c r="GE68" s="325" t="str">
        <x:f t="shared" si="167"/>
        <x:v/>
      </x:c>
      <x:c r="GF68" s="278" t="str">
        <x:f t="shared" si="168"/>
        <x:v/>
      </x:c>
      <x:c r="GG68" s="279" t="str">
        <x:f t="shared" si="169"/>
        <x:v/>
      </x:c>
      <x:c r="GH68" s="279" t="str">
        <x:f t="shared" si="170"/>
        <x:v/>
      </x:c>
      <x:c r="GI68" s="280" t="str">
        <x:f t="shared" si="171"/>
        <x:v/>
      </x:c>
      <x:c r="GJ68" s="530">
        <x:f t="shared" ca="1" si="172"/>
        <x:v>0</x:v>
      </x:c>
      <x:c r="GK68" s="895" t="str">
        <x:f t="shared" ca="1" si="194"/>
        <x:v/>
      </x:c>
    </x:row>
    <x:row r="69" spans="78:193" ht="12.6" hidden="1" customHeight="1" x14ac:dyDescent="0.2">
      <x:c r="BZ69" s="293"/>
      <x:c r="CA69" s="293"/>
      <x:c r="CB69" s="365" t="str">
        <x:f t="shared" si="100"/>
        <x:v/>
      </x:c>
      <x:c r="CC69" s="366" t="str">
        <x:f>IF(CG29="","",VLOOKUP(CG29,SectInfo!$B:$N,12,FALSE))</x:f>
        <x:v/>
      </x:c>
      <x:c r="CD69" s="1305" t="str">
        <x:f>IF(ISBLANK(CN29),IF(CG29="","",VLOOKUP(CG29,SectInfo!$B:$N,13,FALSE)),CN29)</x:f>
        <x:v/>
      </x:c>
      <x:c r="CE69" s="1305" t="str">
        <x:f>IF(CG29="","",IF(VLOOKUP(CG29,SectInfo!$B:$N,5,FALSE)="","R",UPPER(VLOOKUP(CG29,SectInfo!$B:$N,5,FALSE))))</x:f>
        <x:v/>
      </x:c>
      <x:c r="CF69" s="1305" t="str">
        <x:f>IF(ISBLANK(CP29),IF(CG29="","",VLOOKUP(CG29,SectInfo!$B:$N,6,FALSE)),CP29)</x:f>
        <x:v/>
      </x:c>
      <x:c r="CG69" s="1305" t="str">
        <x:f>IF(CG29="","",IF(VLOOKUP(CG29,SectInfo!$B:$N,10,FALSE)="","",(VLOOKUP(CG29,SectInfo!$B:$N,10,FALSE)*-1)))</x:f>
        <x:v/>
      </x:c>
      <x:c r="CH69" s="1305" t="str">
        <x:f>IF(CG29="","",IF(VLOOKUP(CG29,SectInfo!$B:$N,7,FALSE)="","",(VLOOKUP(CG29,SectInfo!$B:$N,7,FALSE)*-1)))</x:f>
        <x:v/>
      </x:c>
      <x:c r="CI69" s="1305" t="str">
        <x:f>IF(CG29="","",IF(VLOOKUP(CG29,SectInfo!$B:$N,8,FALSE)="",$FC$4,(VLOOKUP(CG29,SectInfo!$B:$N,8,FALSE))))</x:f>
        <x:v/>
      </x:c>
      <x:c r="CJ69" s="1305" t="str">
        <x:f>IF(CG29="","",VLOOKUP(CG29,SectInfo!$B:$N,9,FALSE))</x:f>
        <x:v/>
      </x:c>
      <x:c r="CK69" s="1306">
        <x:f t="shared" si="101"/>
        <x:v>0</x:v>
      </x:c>
      <x:c r="CL69" s="1304" t="str">
        <x:f>IF(CQ29="","",VLOOKUP(CQ29,SectInfo!$B:$N,12,FALSE))</x:f>
        <x:v/>
      </x:c>
      <x:c r="CM69" s="1305" t="str">
        <x:f>IF(ISBLANK(CX29),IF(CQ29="","",VLOOKUP(CQ29,SectInfo!$B:$N,13,FALSE)),CX29)</x:f>
        <x:v/>
      </x:c>
      <x:c r="CN69" s="1305" t="str">
        <x:f>IF(CQ29="","",IF(VLOOKUP(CQ29,SectInfo!$B:$N,5,FALSE)="","R",UPPER(VLOOKUP(CQ29,SectInfo!$B:$N,5,FALSE))))</x:f>
        <x:v/>
      </x:c>
      <x:c r="CO69" s="1305" t="str">
        <x:f>IF(ISBLANK(CZ29),IF(CQ29="","",VLOOKUP(CQ29,SectInfo!$B:$N,6,FALSE)),CZ29)</x:f>
        <x:v/>
      </x:c>
      <x:c r="CP69" s="1305" t="str">
        <x:f>IF(CQ29="","",IF(VLOOKUP(CQ29,SectInfo!$B:$N,10,FALSE)="","",(VLOOKUP(CQ29,SectInfo!$B:$N,10,FALSE)*-1)))</x:f>
        <x:v/>
      </x:c>
      <x:c r="CQ69" s="1305" t="str">
        <x:f>IF(CQ29="","",IF(VLOOKUP(CQ29,SectInfo!$B:$N,7,FALSE)="","",(VLOOKUP(CQ29,SectInfo!$B:$N,7,FALSE)*-1)))</x:f>
        <x:v/>
      </x:c>
      <x:c r="CR69" s="1305" t="str">
        <x:f>IF(CQ29="","",IF(VLOOKUP(CQ29,SectInfo!$B:$N,8,FALSE)="",$FC$4,(VLOOKUP(CQ29,SectInfo!$B:$N,8,FALSE))))</x:f>
        <x:v/>
      </x:c>
      <x:c r="CS69" s="1305" t="str">
        <x:f>IF(CQ29="","",VLOOKUP(CQ29,SectInfo!$B:$N,9,FALSE))</x:f>
        <x:v/>
      </x:c>
      <x:c r="CT69" s="1306">
        <x:f t="shared" si="102"/>
        <x:v>0</x:v>
      </x:c>
      <x:c r="CU69" s="1316">
        <x:f t="shared" si="103"/>
        <x:v>0</x:v>
      </x:c>
      <x:c r="CV69" s="1310" t="str">
        <x:f t="shared" si="104"/>
        <x:v/>
      </x:c>
      <x:c r="CW69" s="1310" t="str">
        <x:f t="shared" si="105"/>
        <x:v/>
      </x:c>
      <x:c r="CX69" s="1310" t="str">
        <x:f t="shared" si="106"/>
        <x:v/>
      </x:c>
      <x:c r="CY69" s="1312">
        <x:f t="shared" si="107"/>
        <x:v>0</x:v>
      </x:c>
      <x:c r="CZ69" s="1312">
        <x:f t="shared" si="108"/>
        <x:v>0</x:v>
      </x:c>
      <x:c r="DA69" s="1312" t="str">
        <x:f t="shared" si="109"/>
        <x:v/>
      </x:c>
      <x:c r="DB69" s="1310" t="str">
        <x:f t="shared" si="173"/>
        <x:v/>
      </x:c>
      <x:c r="DC69" s="1310" t="str">
        <x:f t="shared" si="110"/>
        <x:v/>
      </x:c>
      <x:c r="DD69" s="875">
        <x:f t="shared" si="174"/>
        <x:v>0</x:v>
      </x:c>
      <x:c r="DE69" s="873">
        <x:f t="shared" si="111"/>
        <x:v>0</x:v>
      </x:c>
      <x:c r="DF69" s="874">
        <x:f t="shared" si="112"/>
        <x:v>0</x:v>
      </x:c>
      <x:c r="DG69" s="874" t="str">
        <x:f t="shared" si="113"/>
        <x:v/>
      </x:c>
      <x:c r="DH69" s="1310" t="str">
        <x:f t="shared" si="175"/>
        <x:v/>
      </x:c>
      <x:c r="DI69" s="1310" t="str">
        <x:f t="shared" si="114"/>
        <x:v/>
      </x:c>
      <x:c r="DJ69" s="1311">
        <x:f t="shared" si="176"/>
        <x:v>0</x:v>
      </x:c>
      <x:c r="DK69" s="1310" t="str">
        <x:f t="shared" si="115"/>
        <x:v/>
      </x:c>
      <x:c r="DL69" s="1310" t="str">
        <x:f t="shared" si="116"/>
        <x:v/>
      </x:c>
      <x:c r="DM69" s="1310" t="str">
        <x:f t="shared" si="117"/>
        <x:v/>
      </x:c>
      <x:c r="DN69" s="1310" t="str">
        <x:f t="shared" si="118"/>
        <x:v/>
      </x:c>
      <x:c r="DO69" s="889" t="str">
        <x:f t="shared" si="119"/>
        <x:v>ERR</x:v>
      </x:c>
      <x:c r="DP69" s="889" t="str">
        <x:f t="shared" si="120"/>
        <x:v>ERR</x:v>
      </x:c>
      <x:c r="DQ69" s="1310" t="str">
        <x:f t="shared" si="121"/>
        <x:v/>
      </x:c>
      <x:c r="DR69" s="1310" t="str">
        <x:f t="shared" si="121"/>
        <x:v/>
      </x:c>
      <x:c r="DS69" s="1310" t="str">
        <x:f t="shared" si="122"/>
        <x:v/>
      </x:c>
      <x:c r="DT69" s="1310" t="str">
        <x:f t="shared" si="123"/>
        <x:v/>
      </x:c>
      <x:c r="DU69" s="1310" t="str">
        <x:f t="shared" si="124"/>
        <x:v/>
      </x:c>
      <x:c r="DV69" s="889" t="str">
        <x:f t="shared" si="125"/>
        <x:v>ERR</x:v>
      </x:c>
      <x:c r="DW69" s="889" t="str">
        <x:f t="shared" si="126"/>
        <x:v>ERR</x:v>
      </x:c>
      <x:c r="DX69" s="873" t="str">
        <x:f t="shared" si="127"/>
        <x:v/>
      </x:c>
      <x:c r="DY69" s="873" t="str">
        <x:f t="shared" si="127"/>
        <x:v/>
      </x:c>
      <x:c r="DZ69" s="873" t="str">
        <x:f t="shared" si="128"/>
        <x:v/>
      </x:c>
      <x:c r="EA69" s="873" t="str">
        <x:f t="shared" si="129"/>
        <x:v/>
      </x:c>
      <x:c r="EB69" s="876" t="str">
        <x:f t="shared" si="130"/>
        <x:v/>
      </x:c>
      <x:c r="EC69" s="877" t="str">
        <x:f t="shared" si="131"/>
        <x:v/>
      </x:c>
      <x:c r="ED69" s="876" t="str">
        <x:f t="shared" si="132"/>
        <x:v/>
      </x:c>
      <x:c r="EE69" s="876" t="str">
        <x:f t="shared" si="133"/>
        <x:v/>
      </x:c>
      <x:c r="EF69" s="876" t="str">
        <x:f t="shared" si="134"/>
        <x:v/>
      </x:c>
      <x:c r="EG69" s="876" t="str">
        <x:f t="shared" si="135"/>
        <x:v/>
      </x:c>
      <x:c r="EH69" s="876" t="str">
        <x:f t="shared" si="136"/>
        <x:v/>
      </x:c>
      <x:c r="EI69" s="876" t="str">
        <x:f t="shared" si="137"/>
        <x:v/>
      </x:c>
      <x:c r="EJ69" s="876" t="str">
        <x:f t="shared" si="138"/>
        <x:v/>
      </x:c>
      <x:c r="EK69" s="874">
        <x:f t="shared" si="139"/>
        <x:v>0</x:v>
      </x:c>
      <x:c r="EL69" s="874">
        <x:f t="shared" si="140"/>
        <x:v>0</x:v>
      </x:c>
      <x:c r="EM69" s="874">
        <x:f t="shared" si="141"/>
        <x:v>0</x:v>
      </x:c>
      <x:c r="EN69" s="874" t="str">
        <x:f t="shared" si="142"/>
        <x:v/>
      </x:c>
      <x:c r="EO69" s="873" t="str">
        <x:f t="shared" si="143"/>
        <x:v/>
      </x:c>
      <x:c r="EP69" s="874">
        <x:f t="shared" si="144"/>
        <x:v>0</x:v>
      </x:c>
      <x:c r="EQ69" s="874">
        <x:f t="shared" si="145"/>
        <x:v>0</x:v>
      </x:c>
      <x:c r="ER69" s="874">
        <x:f t="shared" si="146"/>
        <x:v>0</x:v>
      </x:c>
      <x:c r="ES69" s="874" t="str">
        <x:f t="shared" si="147"/>
        <x:v/>
      </x:c>
      <x:c r="ET69" s="873" t="str">
        <x:f t="shared" si="148"/>
        <x:v/>
      </x:c>
      <x:c r="EU69" s="873">
        <x:f t="shared" si="149"/>
        <x:v>0</x:v>
      </x:c>
      <x:c r="EV69" s="876" t="e">
        <x:f t="shared" si="150"/>
        <x:v>#VALUE!</x:v>
      </x:c>
      <x:c r="EW69" s="876" t="e">
        <x:f t="shared" si="151"/>
        <x:v>#VALUE!</x:v>
      </x:c>
      <x:c r="EX69" s="878" t="str">
        <x:f t="shared" si="152"/>
        <x:v/>
      </x:c>
      <x:c r="EY69" s="879" t="e">
        <x:f t="shared" si="153"/>
        <x:v>#DIV/0!</x:v>
      </x:c>
      <x:c r="EZ69" s="959" t="e">
        <x:f t="shared" si="154"/>
        <x:v>#DIV/0!</x:v>
      </x:c>
      <x:c r="FA69" s="960" t="e">
        <x:f t="shared" si="155"/>
        <x:v>#DIV/0!</x:v>
      </x:c>
      <x:c r="FB69" s="880" t="str">
        <x:f t="shared" si="156"/>
        <x:v/>
      </x:c>
      <x:c r="FC69" s="881" t="str">
        <x:f t="shared" si="157"/>
        <x:v/>
      </x:c>
      <x:c r="FD69" s="890">
        <x:f t="shared" si="158"/>
        <x:v>0</x:v>
      </x:c>
      <x:c r="FE69" s="833">
        <x:f t="shared" si="159"/>
        <x:v>0</x:v>
      </x:c>
      <x:c r="FF69" s="754" t="b">
        <x:f t="shared" si="160"/>
        <x:v>0</x:v>
      </x:c>
      <x:c r="FG69" s="754" t="b">
        <x:f t="shared" si="161"/>
        <x:v>0</x:v>
      </x:c>
      <x:c r="FH69" s="754" t="b">
        <x:f t="shared" si="162"/>
        <x:v>0</x:v>
      </x:c>
      <x:c r="FI69" s="754" t="b">
        <x:f t="shared" si="163"/>
        <x:v>0</x:v>
      </x:c>
      <x:c r="FJ69" s="920" t="str">
        <x:f t="shared" si="177"/>
        <x:v/>
      </x:c>
      <x:c r="FK69" s="919" t="str">
        <x:f t="shared" si="178"/>
        <x:v/>
      </x:c>
      <x:c r="FL69" s="320" t="e">
        <x:f t="shared" si="179"/>
        <x:v>#N/A</x:v>
      </x:c>
      <x:c r="FM69" s="312" t="str">
        <x:f t="shared" si="164"/>
        <x:v/>
      </x:c>
      <x:c r="FN69" s="272" t="str">
        <x:f t="shared" ca="1" si="180"/>
        <x:v/>
      </x:c>
      <x:c r="FO69" s="273" t="str">
        <x:f t="shared" ca="1" si="181"/>
        <x:v/>
      </x:c>
      <x:c r="FP69" s="274" t="str">
        <x:f t="shared" ca="1" si="182"/>
        <x:v/>
      </x:c>
      <x:c r="FQ69" s="274" t="str">
        <x:f t="shared" ca="1" si="183"/>
        <x:v/>
      </x:c>
      <x:c r="FR69" s="321">
        <x:f t="shared" ca="1" si="184"/>
        <x:v>0</x:v>
      </x:c>
      <x:c r="FS69" s="322">
        <x:f t="shared" ca="1" si="185"/>
        <x:v>0</x:v>
      </x:c>
      <x:c r="FT69" s="272" t="str">
        <x:f t="shared" ca="1" si="186"/>
        <x:v/>
      </x:c>
      <x:c r="FU69" s="275" t="str">
        <x:f t="shared" ca="1" si="187"/>
        <x:v/>
      </x:c>
      <x:c r="FV69" s="323" t="str">
        <x:f t="shared" ca="1" si="165"/>
        <x:v/>
      </x:c>
      <x:c r="FW69" s="276" t="str">
        <x:f t="shared" ca="1" si="188"/>
        <x:v/>
      </x:c>
      <x:c r="FX69" s="276" t="str">
        <x:f t="shared" ca="1" si="189"/>
        <x:v/>
      </x:c>
      <x:c r="FY69" s="276" t="str">
        <x:f t="shared" ca="1" si="190"/>
        <x:v/>
      </x:c>
      <x:c r="FZ69" s="276" t="str">
        <x:f t="shared" ca="1" si="191"/>
        <x:v/>
      </x:c>
      <x:c r="GA69" s="276" t="str">
        <x:f t="shared" ca="1" si="192"/>
        <x:v/>
      </x:c>
      <x:c r="GB69" s="277" t="str">
        <x:f ca="1">IF(FY69="","",2+SUM(FO69:OFFSET(FO69,(FU69-1)*-1,0)))</x:f>
        <x:v/>
      </x:c>
      <x:c r="GC69" s="316" t="e">
        <x:f t="shared" si="193"/>
        <x:v>#N/A</x:v>
      </x:c>
      <x:c r="GD69" s="324" t="str">
        <x:f t="shared" si="166"/>
        <x:v/>
      </x:c>
      <x:c r="GE69" s="325" t="str">
        <x:f t="shared" si="167"/>
        <x:v/>
      </x:c>
      <x:c r="GF69" s="278" t="str">
        <x:f t="shared" si="168"/>
        <x:v/>
      </x:c>
      <x:c r="GG69" s="279" t="str">
        <x:f t="shared" si="169"/>
        <x:v/>
      </x:c>
      <x:c r="GH69" s="279" t="str">
        <x:f t="shared" si="170"/>
        <x:v/>
      </x:c>
      <x:c r="GI69" s="280" t="str">
        <x:f t="shared" si="171"/>
        <x:v/>
      </x:c>
      <x:c r="GJ69" s="530">
        <x:f t="shared" ca="1" si="172"/>
        <x:v>0</x:v>
      </x:c>
      <x:c r="GK69" s="895" t="str">
        <x:f t="shared" ca="1" si="194"/>
        <x:v/>
      </x:c>
    </x:row>
    <x:row r="70" spans="78:193" ht="12.6" hidden="1" customHeight="1" x14ac:dyDescent="0.2">
      <x:c r="BZ70" s="293"/>
      <x:c r="CA70" s="293"/>
      <x:c r="CB70" s="365" t="str">
        <x:f t="shared" si="100"/>
        <x:v/>
      </x:c>
      <x:c r="CC70" s="366" t="str">
        <x:f>IF(CG30="","",VLOOKUP(CG30,SectInfo!$B:$N,12,FALSE))</x:f>
        <x:v/>
      </x:c>
      <x:c r="CD70" s="1305" t="str">
        <x:f>IF(ISBLANK(CN30),IF(CG30="","",VLOOKUP(CG30,SectInfo!$B:$N,13,FALSE)),CN30)</x:f>
        <x:v/>
      </x:c>
      <x:c r="CE70" s="1305" t="str">
        <x:f>IF(CG30="","",IF(VLOOKUP(CG30,SectInfo!$B:$N,5,FALSE)="","R",UPPER(VLOOKUP(CG30,SectInfo!$B:$N,5,FALSE))))</x:f>
        <x:v/>
      </x:c>
      <x:c r="CF70" s="1305" t="str">
        <x:f>IF(ISBLANK(CP30),IF(CG30="","",VLOOKUP(CG30,SectInfo!$B:$N,6,FALSE)),CP30)</x:f>
        <x:v/>
      </x:c>
      <x:c r="CG70" s="1305" t="str">
        <x:f>IF(CG30="","",IF(VLOOKUP(CG30,SectInfo!$B:$N,10,FALSE)="","",(VLOOKUP(CG30,SectInfo!$B:$N,10,FALSE)*-1)))</x:f>
        <x:v/>
      </x:c>
      <x:c r="CH70" s="1305" t="str">
        <x:f>IF(CG30="","",IF(VLOOKUP(CG30,SectInfo!$B:$N,7,FALSE)="","",(VLOOKUP(CG30,SectInfo!$B:$N,7,FALSE)*-1)))</x:f>
        <x:v/>
      </x:c>
      <x:c r="CI70" s="1305" t="str">
        <x:f>IF(CG30="","",IF(VLOOKUP(CG30,SectInfo!$B:$N,8,FALSE)="",$FC$4,(VLOOKUP(CG30,SectInfo!$B:$N,8,FALSE))))</x:f>
        <x:v/>
      </x:c>
      <x:c r="CJ70" s="1305" t="str">
        <x:f>IF(CG30="","",VLOOKUP(CG30,SectInfo!$B:$N,9,FALSE))</x:f>
        <x:v/>
      </x:c>
      <x:c r="CK70" s="1306">
        <x:f t="shared" si="101"/>
        <x:v>0</x:v>
      </x:c>
      <x:c r="CL70" s="1304" t="str">
        <x:f>IF(CQ30="","",VLOOKUP(CQ30,SectInfo!$B:$N,12,FALSE))</x:f>
        <x:v/>
      </x:c>
      <x:c r="CM70" s="1305" t="str">
        <x:f>IF(ISBLANK(CX30),IF(CQ30="","",VLOOKUP(CQ30,SectInfo!$B:$N,13,FALSE)),CX30)</x:f>
        <x:v/>
      </x:c>
      <x:c r="CN70" s="1305" t="str">
        <x:f>IF(CQ30="","",IF(VLOOKUP(CQ30,SectInfo!$B:$N,5,FALSE)="","R",UPPER(VLOOKUP(CQ30,SectInfo!$B:$N,5,FALSE))))</x:f>
        <x:v/>
      </x:c>
      <x:c r="CO70" s="1305" t="str">
        <x:f>IF(ISBLANK(CZ30),IF(CQ30="","",VLOOKUP(CQ30,SectInfo!$B:$N,6,FALSE)),CZ30)</x:f>
        <x:v/>
      </x:c>
      <x:c r="CP70" s="1305" t="str">
        <x:f>IF(CQ30="","",IF(VLOOKUP(CQ30,SectInfo!$B:$N,10,FALSE)="","",(VLOOKUP(CQ30,SectInfo!$B:$N,10,FALSE)*-1)))</x:f>
        <x:v/>
      </x:c>
      <x:c r="CQ70" s="1305" t="str">
        <x:f>IF(CQ30="","",IF(VLOOKUP(CQ30,SectInfo!$B:$N,7,FALSE)="","",(VLOOKUP(CQ30,SectInfo!$B:$N,7,FALSE)*-1)))</x:f>
        <x:v/>
      </x:c>
      <x:c r="CR70" s="1305" t="str">
        <x:f>IF(CQ30="","",IF(VLOOKUP(CQ30,SectInfo!$B:$N,8,FALSE)="",$FC$4,(VLOOKUP(CQ30,SectInfo!$B:$N,8,FALSE))))</x:f>
        <x:v/>
      </x:c>
      <x:c r="CS70" s="1305" t="str">
        <x:f>IF(CQ30="","",VLOOKUP(CQ30,SectInfo!$B:$N,9,FALSE))</x:f>
        <x:v/>
      </x:c>
      <x:c r="CT70" s="1306">
        <x:f t="shared" si="102"/>
        <x:v>0</x:v>
      </x:c>
      <x:c r="CU70" s="1316">
        <x:f t="shared" si="103"/>
        <x:v>0</x:v>
      </x:c>
      <x:c r="CV70" s="1310" t="str">
        <x:f t="shared" si="104"/>
        <x:v/>
      </x:c>
      <x:c r="CW70" s="1310" t="str">
        <x:f t="shared" si="105"/>
        <x:v/>
      </x:c>
      <x:c r="CX70" s="1310" t="str">
        <x:f t="shared" si="106"/>
        <x:v/>
      </x:c>
      <x:c r="CY70" s="1312">
        <x:f t="shared" si="107"/>
        <x:v>0</x:v>
      </x:c>
      <x:c r="CZ70" s="1312">
        <x:f t="shared" si="108"/>
        <x:v>0</x:v>
      </x:c>
      <x:c r="DA70" s="1312" t="str">
        <x:f t="shared" si="109"/>
        <x:v/>
      </x:c>
      <x:c r="DB70" s="1310" t="str">
        <x:f t="shared" si="173"/>
        <x:v/>
      </x:c>
      <x:c r="DC70" s="1310" t="str">
        <x:f t="shared" si="110"/>
        <x:v/>
      </x:c>
      <x:c r="DD70" s="875">
        <x:f t="shared" si="174"/>
        <x:v>0</x:v>
      </x:c>
      <x:c r="DE70" s="873">
        <x:f t="shared" si="111"/>
        <x:v>0</x:v>
      </x:c>
      <x:c r="DF70" s="874">
        <x:f t="shared" si="112"/>
        <x:v>0</x:v>
      </x:c>
      <x:c r="DG70" s="874" t="str">
        <x:f t="shared" si="113"/>
        <x:v/>
      </x:c>
      <x:c r="DH70" s="1310" t="str">
        <x:f t="shared" si="175"/>
        <x:v/>
      </x:c>
      <x:c r="DI70" s="1310" t="str">
        <x:f t="shared" si="114"/>
        <x:v/>
      </x:c>
      <x:c r="DJ70" s="1311">
        <x:f t="shared" si="176"/>
        <x:v>0</x:v>
      </x:c>
      <x:c r="DK70" s="1310" t="str">
        <x:f t="shared" si="115"/>
        <x:v/>
      </x:c>
      <x:c r="DL70" s="1310" t="str">
        <x:f t="shared" si="116"/>
        <x:v/>
      </x:c>
      <x:c r="DM70" s="1310" t="str">
        <x:f t="shared" si="117"/>
        <x:v/>
      </x:c>
      <x:c r="DN70" s="1310" t="str">
        <x:f t="shared" si="118"/>
        <x:v/>
      </x:c>
      <x:c r="DO70" s="889" t="str">
        <x:f t="shared" si="119"/>
        <x:v>ERR</x:v>
      </x:c>
      <x:c r="DP70" s="889" t="str">
        <x:f t="shared" si="120"/>
        <x:v>ERR</x:v>
      </x:c>
      <x:c r="DQ70" s="1310" t="str">
        <x:f t="shared" si="121"/>
        <x:v/>
      </x:c>
      <x:c r="DR70" s="1310" t="str">
        <x:f t="shared" si="121"/>
        <x:v/>
      </x:c>
      <x:c r="DS70" s="1310" t="str">
        <x:f t="shared" si="122"/>
        <x:v/>
      </x:c>
      <x:c r="DT70" s="1310" t="str">
        <x:f t="shared" si="123"/>
        <x:v/>
      </x:c>
      <x:c r="DU70" s="1310" t="str">
        <x:f t="shared" si="124"/>
        <x:v/>
      </x:c>
      <x:c r="DV70" s="889" t="str">
        <x:f t="shared" si="125"/>
        <x:v>ERR</x:v>
      </x:c>
      <x:c r="DW70" s="889" t="str">
        <x:f t="shared" si="126"/>
        <x:v>ERR</x:v>
      </x:c>
      <x:c r="DX70" s="873" t="str">
        <x:f t="shared" si="127"/>
        <x:v/>
      </x:c>
      <x:c r="DY70" s="873" t="str">
        <x:f t="shared" si="127"/>
        <x:v/>
      </x:c>
      <x:c r="DZ70" s="873" t="str">
        <x:f t="shared" si="128"/>
        <x:v/>
      </x:c>
      <x:c r="EA70" s="873" t="str">
        <x:f t="shared" si="129"/>
        <x:v/>
      </x:c>
      <x:c r="EB70" s="876" t="str">
        <x:f t="shared" si="130"/>
        <x:v/>
      </x:c>
      <x:c r="EC70" s="877" t="str">
        <x:f t="shared" si="131"/>
        <x:v/>
      </x:c>
      <x:c r="ED70" s="876" t="str">
        <x:f t="shared" si="132"/>
        <x:v/>
      </x:c>
      <x:c r="EE70" s="876" t="str">
        <x:f t="shared" si="133"/>
        <x:v/>
      </x:c>
      <x:c r="EF70" s="876" t="str">
        <x:f t="shared" si="134"/>
        <x:v/>
      </x:c>
      <x:c r="EG70" s="876" t="str">
        <x:f t="shared" si="135"/>
        <x:v/>
      </x:c>
      <x:c r="EH70" s="876" t="str">
        <x:f t="shared" si="136"/>
        <x:v/>
      </x:c>
      <x:c r="EI70" s="876" t="str">
        <x:f t="shared" si="137"/>
        <x:v/>
      </x:c>
      <x:c r="EJ70" s="876" t="str">
        <x:f t="shared" si="138"/>
        <x:v/>
      </x:c>
      <x:c r="EK70" s="874">
        <x:f t="shared" si="139"/>
        <x:v>0</x:v>
      </x:c>
      <x:c r="EL70" s="874">
        <x:f t="shared" si="140"/>
        <x:v>0</x:v>
      </x:c>
      <x:c r="EM70" s="874">
        <x:f t="shared" si="141"/>
        <x:v>0</x:v>
      </x:c>
      <x:c r="EN70" s="874" t="str">
        <x:f t="shared" si="142"/>
        <x:v/>
      </x:c>
      <x:c r="EO70" s="873" t="str">
        <x:f t="shared" si="143"/>
        <x:v/>
      </x:c>
      <x:c r="EP70" s="874">
        <x:f t="shared" si="144"/>
        <x:v>0</x:v>
      </x:c>
      <x:c r="EQ70" s="874">
        <x:f t="shared" si="145"/>
        <x:v>0</x:v>
      </x:c>
      <x:c r="ER70" s="874">
        <x:f t="shared" si="146"/>
        <x:v>0</x:v>
      </x:c>
      <x:c r="ES70" s="874" t="str">
        <x:f t="shared" si="147"/>
        <x:v/>
      </x:c>
      <x:c r="ET70" s="873" t="str">
        <x:f t="shared" si="148"/>
        <x:v/>
      </x:c>
      <x:c r="EU70" s="873">
        <x:f t="shared" si="149"/>
        <x:v>0</x:v>
      </x:c>
      <x:c r="EV70" s="876" t="e">
        <x:f t="shared" si="150"/>
        <x:v>#VALUE!</x:v>
      </x:c>
      <x:c r="EW70" s="876" t="e">
        <x:f t="shared" si="151"/>
        <x:v>#VALUE!</x:v>
      </x:c>
      <x:c r="EX70" s="878" t="str">
        <x:f t="shared" si="152"/>
        <x:v/>
      </x:c>
      <x:c r="EY70" s="879" t="e">
        <x:f t="shared" si="153"/>
        <x:v>#DIV/0!</x:v>
      </x:c>
      <x:c r="EZ70" s="959" t="e">
        <x:f t="shared" si="154"/>
        <x:v>#DIV/0!</x:v>
      </x:c>
      <x:c r="FA70" s="960" t="e">
        <x:f t="shared" si="155"/>
        <x:v>#DIV/0!</x:v>
      </x:c>
      <x:c r="FB70" s="880" t="str">
        <x:f t="shared" si="156"/>
        <x:v/>
      </x:c>
      <x:c r="FC70" s="881" t="str">
        <x:f t="shared" si="157"/>
        <x:v/>
      </x:c>
      <x:c r="FD70" s="890">
        <x:f t="shared" si="158"/>
        <x:v>0</x:v>
      </x:c>
      <x:c r="FE70" s="833">
        <x:f t="shared" si="159"/>
        <x:v>0</x:v>
      </x:c>
      <x:c r="FF70" s="755" t="b">
        <x:f t="shared" si="160"/>
        <x:v>0</x:v>
      </x:c>
      <x:c r="FG70" s="755" t="b">
        <x:f t="shared" si="161"/>
        <x:v>0</x:v>
      </x:c>
      <x:c r="FH70" s="755" t="b">
        <x:f t="shared" si="162"/>
        <x:v>0</x:v>
      </x:c>
      <x:c r="FI70" s="755" t="b">
        <x:f t="shared" si="163"/>
        <x:v>0</x:v>
      </x:c>
      <x:c r="FJ70" s="920" t="str">
        <x:f t="shared" si="177"/>
        <x:v/>
      </x:c>
      <x:c r="FK70" s="919" t="str">
        <x:f t="shared" si="178"/>
        <x:v/>
      </x:c>
      <x:c r="FL70" s="320" t="e">
        <x:f t="shared" si="179"/>
        <x:v>#N/A</x:v>
      </x:c>
      <x:c r="FM70" s="312" t="str">
        <x:f t="shared" si="164"/>
        <x:v/>
      </x:c>
      <x:c r="FN70" s="272" t="str">
        <x:f t="shared" ca="1" si="180"/>
        <x:v/>
      </x:c>
      <x:c r="FO70" s="273" t="str">
        <x:f t="shared" ca="1" si="181"/>
        <x:v/>
      </x:c>
      <x:c r="FP70" s="274" t="str">
        <x:f t="shared" ca="1" si="182"/>
        <x:v/>
      </x:c>
      <x:c r="FQ70" s="274" t="str">
        <x:f t="shared" ca="1" si="183"/>
        <x:v/>
      </x:c>
      <x:c r="FR70" s="321">
        <x:f t="shared" ca="1" si="184"/>
        <x:v>0</x:v>
      </x:c>
      <x:c r="FS70" s="322">
        <x:f t="shared" ca="1" si="185"/>
        <x:v>0</x:v>
      </x:c>
      <x:c r="FT70" s="272" t="str">
        <x:f t="shared" ca="1" si="186"/>
        <x:v/>
      </x:c>
      <x:c r="FU70" s="275" t="str">
        <x:f t="shared" ca="1" si="187"/>
        <x:v/>
      </x:c>
      <x:c r="FV70" s="323" t="str">
        <x:f t="shared" ca="1" si="165"/>
        <x:v/>
      </x:c>
      <x:c r="FW70" s="276" t="str">
        <x:f t="shared" ca="1" si="188"/>
        <x:v/>
      </x:c>
      <x:c r="FX70" s="276" t="str">
        <x:f t="shared" ca="1" si="189"/>
        <x:v/>
      </x:c>
      <x:c r="FY70" s="276" t="str">
        <x:f t="shared" ca="1" si="190"/>
        <x:v/>
      </x:c>
      <x:c r="FZ70" s="276" t="str">
        <x:f t="shared" ca="1" si="191"/>
        <x:v/>
      </x:c>
      <x:c r="GA70" s="276" t="str">
        <x:f t="shared" ca="1" si="192"/>
        <x:v/>
      </x:c>
      <x:c r="GB70" s="277" t="str">
        <x:f ca="1">IF(FY70="","",2+SUM(FO70:OFFSET(FO70,(FU70-1)*-1,0)))</x:f>
        <x:v/>
      </x:c>
      <x:c r="GC70" s="316" t="e">
        <x:f t="shared" si="193"/>
        <x:v>#N/A</x:v>
      </x:c>
      <x:c r="GD70" s="324" t="str">
        <x:f t="shared" si="166"/>
        <x:v/>
      </x:c>
      <x:c r="GE70" s="325" t="str">
        <x:f t="shared" si="167"/>
        <x:v/>
      </x:c>
      <x:c r="GF70" s="278" t="str">
        <x:f t="shared" si="168"/>
        <x:v/>
      </x:c>
      <x:c r="GG70" s="279" t="str">
        <x:f t="shared" si="169"/>
        <x:v/>
      </x:c>
      <x:c r="GH70" s="279" t="str">
        <x:f t="shared" si="170"/>
        <x:v/>
      </x:c>
      <x:c r="GI70" s="280" t="str">
        <x:f t="shared" si="171"/>
        <x:v/>
      </x:c>
      <x:c r="GJ70" s="530">
        <x:f t="shared" ca="1" si="172"/>
        <x:v>0</x:v>
      </x:c>
      <x:c r="GK70" s="895" t="str">
        <x:f t="shared" ca="1" si="194"/>
        <x:v/>
      </x:c>
    </x:row>
    <x:row r="71" spans="78:193" ht="12.6" hidden="1" customHeight="1" x14ac:dyDescent="0.2">
      <x:c r="BZ71" s="293"/>
      <x:c r="CA71" s="293"/>
      <x:c r="CB71" s="365" t="str">
        <x:f t="shared" si="100"/>
        <x:v/>
      </x:c>
      <x:c r="CC71" s="366" t="str">
        <x:f>IF(CG31="","",VLOOKUP(CG31,SectInfo!$B:$N,12,FALSE))</x:f>
        <x:v/>
      </x:c>
      <x:c r="CD71" s="1305" t="str">
        <x:f>IF(ISBLANK(CN31),IF(CG31="","",VLOOKUP(CG31,SectInfo!$B:$N,13,FALSE)),CN31)</x:f>
        <x:v/>
      </x:c>
      <x:c r="CE71" s="1305" t="str">
        <x:f>IF(CG31="","",IF(VLOOKUP(CG31,SectInfo!$B:$N,5,FALSE)="","R",UPPER(VLOOKUP(CG31,SectInfo!$B:$N,5,FALSE))))</x:f>
        <x:v/>
      </x:c>
      <x:c r="CF71" s="1305" t="str">
        <x:f>IF(ISBLANK(CP31),IF(CG31="","",VLOOKUP(CG31,SectInfo!$B:$N,6,FALSE)),CP31)</x:f>
        <x:v/>
      </x:c>
      <x:c r="CG71" s="1305" t="str">
        <x:f>IF(CG31="","",IF(VLOOKUP(CG31,SectInfo!$B:$N,10,FALSE)="","",(VLOOKUP(CG31,SectInfo!$B:$N,10,FALSE)*-1)))</x:f>
        <x:v/>
      </x:c>
      <x:c r="CH71" s="1305" t="str">
        <x:f>IF(CG31="","",IF(VLOOKUP(CG31,SectInfo!$B:$N,7,FALSE)="","",(VLOOKUP(CG31,SectInfo!$B:$N,7,FALSE)*-1)))</x:f>
        <x:v/>
      </x:c>
      <x:c r="CI71" s="1305" t="str">
        <x:f>IF(CG31="","",IF(VLOOKUP(CG31,SectInfo!$B:$N,8,FALSE)="",$FC$4,(VLOOKUP(CG31,SectInfo!$B:$N,8,FALSE))))</x:f>
        <x:v/>
      </x:c>
      <x:c r="CJ71" s="1305" t="str">
        <x:f>IF(CG31="","",VLOOKUP(CG31,SectInfo!$B:$N,9,FALSE))</x:f>
        <x:v/>
      </x:c>
      <x:c r="CK71" s="1306">
        <x:f t="shared" si="101"/>
        <x:v>0</x:v>
      </x:c>
      <x:c r="CL71" s="1304" t="str">
        <x:f>IF(CQ31="","",VLOOKUP(CQ31,SectInfo!$B:$N,12,FALSE))</x:f>
        <x:v/>
      </x:c>
      <x:c r="CM71" s="1305" t="str">
        <x:f>IF(ISBLANK(CX31),IF(CQ31="","",VLOOKUP(CQ31,SectInfo!$B:$N,13,FALSE)),CX31)</x:f>
        <x:v/>
      </x:c>
      <x:c r="CN71" s="1305" t="str">
        <x:f>IF(CQ31="","",IF(VLOOKUP(CQ31,SectInfo!$B:$N,5,FALSE)="","R",UPPER(VLOOKUP(CQ31,SectInfo!$B:$N,5,FALSE))))</x:f>
        <x:v/>
      </x:c>
      <x:c r="CO71" s="1305" t="str">
        <x:f>IF(ISBLANK(CZ31),IF(CQ31="","",VLOOKUP(CQ31,SectInfo!$B:$N,6,FALSE)),CZ31)</x:f>
        <x:v/>
      </x:c>
      <x:c r="CP71" s="1305" t="str">
        <x:f>IF(CQ31="","",IF(VLOOKUP(CQ31,SectInfo!$B:$N,10,FALSE)="","",(VLOOKUP(CQ31,SectInfo!$B:$N,10,FALSE)*-1)))</x:f>
        <x:v/>
      </x:c>
      <x:c r="CQ71" s="1305" t="str">
        <x:f>IF(CQ31="","",IF(VLOOKUP(CQ31,SectInfo!$B:$N,7,FALSE)="","",(VLOOKUP(CQ31,SectInfo!$B:$N,7,FALSE)*-1)))</x:f>
        <x:v/>
      </x:c>
      <x:c r="CR71" s="1305" t="str">
        <x:f>IF(CQ31="","",IF(VLOOKUP(CQ31,SectInfo!$B:$N,8,FALSE)="",$FC$4,(VLOOKUP(CQ31,SectInfo!$B:$N,8,FALSE))))</x:f>
        <x:v/>
      </x:c>
      <x:c r="CS71" s="1305" t="str">
        <x:f>IF(CQ31="","",VLOOKUP(CQ31,SectInfo!$B:$N,9,FALSE))</x:f>
        <x:v/>
      </x:c>
      <x:c r="CT71" s="1306">
        <x:f t="shared" si="102"/>
        <x:v>0</x:v>
      </x:c>
      <x:c r="CU71" s="1316">
        <x:f t="shared" si="103"/>
        <x:v>0</x:v>
      </x:c>
      <x:c r="CV71" s="1310" t="str">
        <x:f t="shared" si="104"/>
        <x:v/>
      </x:c>
      <x:c r="CW71" s="1310" t="str">
        <x:f t="shared" si="105"/>
        <x:v/>
      </x:c>
      <x:c r="CX71" s="1310" t="str">
        <x:f t="shared" si="106"/>
        <x:v/>
      </x:c>
      <x:c r="CY71" s="1312">
        <x:f t="shared" si="107"/>
        <x:v>0</x:v>
      </x:c>
      <x:c r="CZ71" s="1312">
        <x:f t="shared" si="108"/>
        <x:v>0</x:v>
      </x:c>
      <x:c r="DA71" s="1312" t="str">
        <x:f t="shared" si="109"/>
        <x:v/>
      </x:c>
      <x:c r="DB71" s="1310" t="str">
        <x:f t="shared" si="173"/>
        <x:v/>
      </x:c>
      <x:c r="DC71" s="1310" t="str">
        <x:f t="shared" si="110"/>
        <x:v/>
      </x:c>
      <x:c r="DD71" s="875">
        <x:f t="shared" si="174"/>
        <x:v>0</x:v>
      </x:c>
      <x:c r="DE71" s="873">
        <x:f t="shared" si="111"/>
        <x:v>0</x:v>
      </x:c>
      <x:c r="DF71" s="874">
        <x:f t="shared" si="112"/>
        <x:v>0</x:v>
      </x:c>
      <x:c r="DG71" s="874" t="str">
        <x:f t="shared" si="113"/>
        <x:v/>
      </x:c>
      <x:c r="DH71" s="1310" t="str">
        <x:f t="shared" si="175"/>
        <x:v/>
      </x:c>
      <x:c r="DI71" s="1310" t="str">
        <x:f t="shared" si="114"/>
        <x:v/>
      </x:c>
      <x:c r="DJ71" s="1311">
        <x:f t="shared" si="176"/>
        <x:v>0</x:v>
      </x:c>
      <x:c r="DK71" s="1310" t="str">
        <x:f t="shared" si="115"/>
        <x:v/>
      </x:c>
      <x:c r="DL71" s="1310" t="str">
        <x:f t="shared" si="116"/>
        <x:v/>
      </x:c>
      <x:c r="DM71" s="1310" t="str">
        <x:f t="shared" si="117"/>
        <x:v/>
      </x:c>
      <x:c r="DN71" s="1310" t="str">
        <x:f t="shared" si="118"/>
        <x:v/>
      </x:c>
      <x:c r="DO71" s="889" t="str">
        <x:f t="shared" si="119"/>
        <x:v>ERR</x:v>
      </x:c>
      <x:c r="DP71" s="889" t="str">
        <x:f t="shared" si="120"/>
        <x:v>ERR</x:v>
      </x:c>
      <x:c r="DQ71" s="1310" t="str">
        <x:f t="shared" si="121"/>
        <x:v/>
      </x:c>
      <x:c r="DR71" s="1310" t="str">
        <x:f t="shared" si="121"/>
        <x:v/>
      </x:c>
      <x:c r="DS71" s="1310" t="str">
        <x:f t="shared" si="122"/>
        <x:v/>
      </x:c>
      <x:c r="DT71" s="1310" t="str">
        <x:f t="shared" si="123"/>
        <x:v/>
      </x:c>
      <x:c r="DU71" s="1310" t="str">
        <x:f t="shared" si="124"/>
        <x:v/>
      </x:c>
      <x:c r="DV71" s="889" t="str">
        <x:f t="shared" si="125"/>
        <x:v>ERR</x:v>
      </x:c>
      <x:c r="DW71" s="889" t="str">
        <x:f t="shared" si="126"/>
        <x:v>ERR</x:v>
      </x:c>
      <x:c r="DX71" s="873" t="str">
        <x:f t="shared" si="127"/>
        <x:v/>
      </x:c>
      <x:c r="DY71" s="873" t="str">
        <x:f t="shared" si="127"/>
        <x:v/>
      </x:c>
      <x:c r="DZ71" s="873" t="str">
        <x:f t="shared" si="128"/>
        <x:v/>
      </x:c>
      <x:c r="EA71" s="873" t="str">
        <x:f t="shared" si="129"/>
        <x:v/>
      </x:c>
      <x:c r="EB71" s="876" t="str">
        <x:f t="shared" si="130"/>
        <x:v/>
      </x:c>
      <x:c r="EC71" s="877" t="str">
        <x:f t="shared" si="131"/>
        <x:v/>
      </x:c>
      <x:c r="ED71" s="876" t="str">
        <x:f t="shared" si="132"/>
        <x:v/>
      </x:c>
      <x:c r="EE71" s="876" t="str">
        <x:f t="shared" si="133"/>
        <x:v/>
      </x:c>
      <x:c r="EF71" s="876" t="str">
        <x:f t="shared" si="134"/>
        <x:v/>
      </x:c>
      <x:c r="EG71" s="876" t="str">
        <x:f t="shared" si="135"/>
        <x:v/>
      </x:c>
      <x:c r="EH71" s="876" t="str">
        <x:f t="shared" si="136"/>
        <x:v/>
      </x:c>
      <x:c r="EI71" s="876" t="str">
        <x:f t="shared" si="137"/>
        <x:v/>
      </x:c>
      <x:c r="EJ71" s="876" t="str">
        <x:f t="shared" si="138"/>
        <x:v/>
      </x:c>
      <x:c r="EK71" s="874">
        <x:f t="shared" si="139"/>
        <x:v>0</x:v>
      </x:c>
      <x:c r="EL71" s="874">
        <x:f t="shared" si="140"/>
        <x:v>0</x:v>
      </x:c>
      <x:c r="EM71" s="874">
        <x:f t="shared" si="141"/>
        <x:v>0</x:v>
      </x:c>
      <x:c r="EN71" s="874" t="str">
        <x:f t="shared" si="142"/>
        <x:v/>
      </x:c>
      <x:c r="EO71" s="873" t="str">
        <x:f t="shared" si="143"/>
        <x:v/>
      </x:c>
      <x:c r="EP71" s="874">
        <x:f t="shared" si="144"/>
        <x:v>0</x:v>
      </x:c>
      <x:c r="EQ71" s="874">
        <x:f t="shared" si="145"/>
        <x:v>0</x:v>
      </x:c>
      <x:c r="ER71" s="874">
        <x:f t="shared" si="146"/>
        <x:v>0</x:v>
      </x:c>
      <x:c r="ES71" s="874" t="str">
        <x:f t="shared" si="147"/>
        <x:v/>
      </x:c>
      <x:c r="ET71" s="873" t="str">
        <x:f t="shared" si="148"/>
        <x:v/>
      </x:c>
      <x:c r="EU71" s="873">
        <x:f t="shared" si="149"/>
        <x:v>0</x:v>
      </x:c>
      <x:c r="EV71" s="876" t="e">
        <x:f t="shared" si="150"/>
        <x:v>#VALUE!</x:v>
      </x:c>
      <x:c r="EW71" s="876" t="e">
        <x:f t="shared" si="151"/>
        <x:v>#VALUE!</x:v>
      </x:c>
      <x:c r="EX71" s="878" t="str">
        <x:f t="shared" si="152"/>
        <x:v/>
      </x:c>
      <x:c r="EY71" s="879" t="e">
        <x:f t="shared" si="153"/>
        <x:v>#DIV/0!</x:v>
      </x:c>
      <x:c r="EZ71" s="959" t="e">
        <x:f t="shared" si="154"/>
        <x:v>#DIV/0!</x:v>
      </x:c>
      <x:c r="FA71" s="960" t="e">
        <x:f t="shared" si="155"/>
        <x:v>#DIV/0!</x:v>
      </x:c>
      <x:c r="FB71" s="880" t="str">
        <x:f t="shared" si="156"/>
        <x:v/>
      </x:c>
      <x:c r="FC71" s="881" t="str">
        <x:f t="shared" si="157"/>
        <x:v/>
      </x:c>
      <x:c r="FD71" s="890">
        <x:f t="shared" si="158"/>
        <x:v>0</x:v>
      </x:c>
      <x:c r="FE71" s="833">
        <x:f t="shared" si="159"/>
        <x:v>0</x:v>
      </x:c>
      <x:c r="FF71" s="755" t="b">
        <x:f t="shared" si="160"/>
        <x:v>0</x:v>
      </x:c>
      <x:c r="FG71" s="755" t="b">
        <x:f t="shared" si="161"/>
        <x:v>0</x:v>
      </x:c>
      <x:c r="FH71" s="755" t="b">
        <x:f t="shared" si="162"/>
        <x:v>0</x:v>
      </x:c>
      <x:c r="FI71" s="755" t="b">
        <x:f t="shared" si="163"/>
        <x:v>0</x:v>
      </x:c>
      <x:c r="FJ71" s="920" t="str">
        <x:f t="shared" si="177"/>
        <x:v/>
      </x:c>
      <x:c r="FK71" s="919" t="str">
        <x:f t="shared" si="178"/>
        <x:v/>
      </x:c>
      <x:c r="FL71" s="320" t="e">
        <x:f t="shared" si="179"/>
        <x:v>#N/A</x:v>
      </x:c>
      <x:c r="FM71" s="312" t="str">
        <x:f t="shared" si="164"/>
        <x:v/>
      </x:c>
      <x:c r="FN71" s="272" t="str">
        <x:f t="shared" ca="1" si="180"/>
        <x:v/>
      </x:c>
      <x:c r="FO71" s="273" t="str">
        <x:f t="shared" ca="1" si="181"/>
        <x:v/>
      </x:c>
      <x:c r="FP71" s="274" t="str">
        <x:f t="shared" ca="1" si="182"/>
        <x:v/>
      </x:c>
      <x:c r="FQ71" s="274" t="str">
        <x:f t="shared" ca="1" si="183"/>
        <x:v/>
      </x:c>
      <x:c r="FR71" s="321">
        <x:f t="shared" ca="1" si="184"/>
        <x:v>0</x:v>
      </x:c>
      <x:c r="FS71" s="322">
        <x:f t="shared" ca="1" si="185"/>
        <x:v>0</x:v>
      </x:c>
      <x:c r="FT71" s="272" t="str">
        <x:f t="shared" ca="1" si="186"/>
        <x:v/>
      </x:c>
      <x:c r="FU71" s="275" t="str">
        <x:f t="shared" ca="1" si="187"/>
        <x:v/>
      </x:c>
      <x:c r="FV71" s="323" t="str">
        <x:f t="shared" ca="1" si="165"/>
        <x:v/>
      </x:c>
      <x:c r="FW71" s="276" t="str">
        <x:f t="shared" ca="1" si="188"/>
        <x:v/>
      </x:c>
      <x:c r="FX71" s="276" t="str">
        <x:f t="shared" ca="1" si="189"/>
        <x:v/>
      </x:c>
      <x:c r="FY71" s="276" t="str">
        <x:f t="shared" ca="1" si="190"/>
        <x:v/>
      </x:c>
      <x:c r="FZ71" s="276" t="str">
        <x:f t="shared" ca="1" si="191"/>
        <x:v/>
      </x:c>
      <x:c r="GA71" s="276" t="str">
        <x:f t="shared" ca="1" si="192"/>
        <x:v/>
      </x:c>
      <x:c r="GB71" s="277" t="str">
        <x:f ca="1">IF(FY71="","",2+SUM(FO71:OFFSET(FO71,(FU71-1)*-1,0)))</x:f>
        <x:v/>
      </x:c>
      <x:c r="GC71" s="316" t="e">
        <x:f t="shared" si="193"/>
        <x:v>#N/A</x:v>
      </x:c>
      <x:c r="GD71" s="324" t="str">
        <x:f t="shared" si="166"/>
        <x:v/>
      </x:c>
      <x:c r="GE71" s="325" t="str">
        <x:f t="shared" si="167"/>
        <x:v/>
      </x:c>
      <x:c r="GF71" s="278" t="str">
        <x:f t="shared" si="168"/>
        <x:v/>
      </x:c>
      <x:c r="GG71" s="279" t="str">
        <x:f t="shared" si="169"/>
        <x:v/>
      </x:c>
      <x:c r="GH71" s="279" t="str">
        <x:f t="shared" si="170"/>
        <x:v/>
      </x:c>
      <x:c r="GI71" s="280" t="str">
        <x:f t="shared" si="171"/>
        <x:v/>
      </x:c>
      <x:c r="GJ71" s="530">
        <x:f t="shared" ca="1" si="172"/>
        <x:v>0</x:v>
      </x:c>
      <x:c r="GK71" s="895" t="str">
        <x:f t="shared" ca="1" si="194"/>
        <x:v/>
      </x:c>
    </x:row>
    <x:row r="72" spans="78:193" ht="12.6" hidden="1" customHeight="1" x14ac:dyDescent="0.2">
      <x:c r="BZ72" s="293"/>
      <x:c r="CA72" s="293"/>
      <x:c r="CB72" s="365" t="str">
        <x:f t="shared" si="100"/>
        <x:v/>
      </x:c>
      <x:c r="CC72" s="366" t="str">
        <x:f>IF(CG32="","",VLOOKUP(CG32,SectInfo!$B:$N,12,FALSE))</x:f>
        <x:v/>
      </x:c>
      <x:c r="CD72" s="1305" t="str">
        <x:f>IF(ISBLANK(CN32),IF(CG32="","",VLOOKUP(CG32,SectInfo!$B:$N,13,FALSE)),CN32)</x:f>
        <x:v/>
      </x:c>
      <x:c r="CE72" s="1305" t="str">
        <x:f>IF(CG32="","",IF(VLOOKUP(CG32,SectInfo!$B:$N,5,FALSE)="","R",UPPER(VLOOKUP(CG32,SectInfo!$B:$N,5,FALSE))))</x:f>
        <x:v/>
      </x:c>
      <x:c r="CF72" s="1305" t="str">
        <x:f>IF(ISBLANK(CP32),IF(CG32="","",VLOOKUP(CG32,SectInfo!$B:$N,6,FALSE)),CP32)</x:f>
        <x:v/>
      </x:c>
      <x:c r="CG72" s="1305" t="str">
        <x:f>IF(CG32="","",IF(VLOOKUP(CG32,SectInfo!$B:$N,10,FALSE)="","",(VLOOKUP(CG32,SectInfo!$B:$N,10,FALSE)*-1)))</x:f>
        <x:v/>
      </x:c>
      <x:c r="CH72" s="1305" t="str">
        <x:f>IF(CG32="","",IF(VLOOKUP(CG32,SectInfo!$B:$N,7,FALSE)="","",(VLOOKUP(CG32,SectInfo!$B:$N,7,FALSE)*-1)))</x:f>
        <x:v/>
      </x:c>
      <x:c r="CI72" s="1305" t="str">
        <x:f>IF(CG32="","",IF(VLOOKUP(CG32,SectInfo!$B:$N,8,FALSE)="",$FC$4,(VLOOKUP(CG32,SectInfo!$B:$N,8,FALSE))))</x:f>
        <x:v/>
      </x:c>
      <x:c r="CJ72" s="1305" t="str">
        <x:f>IF(CG32="","",VLOOKUP(CG32,SectInfo!$B:$N,9,FALSE))</x:f>
        <x:v/>
      </x:c>
      <x:c r="CK72" s="1306">
        <x:f t="shared" si="101"/>
        <x:v>0</x:v>
      </x:c>
      <x:c r="CL72" s="1304" t="str">
        <x:f>IF(CQ32="","",VLOOKUP(CQ32,SectInfo!$B:$N,12,FALSE))</x:f>
        <x:v/>
      </x:c>
      <x:c r="CM72" s="1305" t="str">
        <x:f>IF(ISBLANK(CX32),IF(CQ32="","",VLOOKUP(CQ32,SectInfo!$B:$N,13,FALSE)),CX32)</x:f>
        <x:v/>
      </x:c>
      <x:c r="CN72" s="1305" t="str">
        <x:f>IF(CQ32="","",IF(VLOOKUP(CQ32,SectInfo!$B:$N,5,FALSE)="","R",UPPER(VLOOKUP(CQ32,SectInfo!$B:$N,5,FALSE))))</x:f>
        <x:v/>
      </x:c>
      <x:c r="CO72" s="1305" t="str">
        <x:f>IF(ISBLANK(CZ32),IF(CQ32="","",VLOOKUP(CQ32,SectInfo!$B:$N,6,FALSE)),CZ32)</x:f>
        <x:v/>
      </x:c>
      <x:c r="CP72" s="1305" t="str">
        <x:f>IF(CQ32="","",IF(VLOOKUP(CQ32,SectInfo!$B:$N,10,FALSE)="","",(VLOOKUP(CQ32,SectInfo!$B:$N,10,FALSE)*-1)))</x:f>
        <x:v/>
      </x:c>
      <x:c r="CQ72" s="1305" t="str">
        <x:f>IF(CQ32="","",IF(VLOOKUP(CQ32,SectInfo!$B:$N,7,FALSE)="","",(VLOOKUP(CQ32,SectInfo!$B:$N,7,FALSE)*-1)))</x:f>
        <x:v/>
      </x:c>
      <x:c r="CR72" s="1305" t="str">
        <x:f>IF(CQ32="","",IF(VLOOKUP(CQ32,SectInfo!$B:$N,8,FALSE)="",$FC$4,(VLOOKUP(CQ32,SectInfo!$B:$N,8,FALSE))))</x:f>
        <x:v/>
      </x:c>
      <x:c r="CS72" s="1305" t="str">
        <x:f>IF(CQ32="","",VLOOKUP(CQ32,SectInfo!$B:$N,9,FALSE))</x:f>
        <x:v/>
      </x:c>
      <x:c r="CT72" s="1306">
        <x:f t="shared" si="102"/>
        <x:v>0</x:v>
      </x:c>
      <x:c r="CU72" s="1316">
        <x:f t="shared" si="103"/>
        <x:v>0</x:v>
      </x:c>
      <x:c r="CV72" s="1310" t="str">
        <x:f t="shared" si="104"/>
        <x:v/>
      </x:c>
      <x:c r="CW72" s="1310" t="str">
        <x:f t="shared" si="105"/>
        <x:v/>
      </x:c>
      <x:c r="CX72" s="1310" t="str">
        <x:f t="shared" si="106"/>
        <x:v/>
      </x:c>
      <x:c r="CY72" s="1312">
        <x:f t="shared" si="107"/>
        <x:v>0</x:v>
      </x:c>
      <x:c r="CZ72" s="1312">
        <x:f t="shared" si="108"/>
        <x:v>0</x:v>
      </x:c>
      <x:c r="DA72" s="1312" t="str">
        <x:f t="shared" si="109"/>
        <x:v/>
      </x:c>
      <x:c r="DB72" s="1310" t="str">
        <x:f t="shared" si="173"/>
        <x:v/>
      </x:c>
      <x:c r="DC72" s="1310" t="str">
        <x:f t="shared" si="110"/>
        <x:v/>
      </x:c>
      <x:c r="DD72" s="875">
        <x:f t="shared" si="174"/>
        <x:v>0</x:v>
      </x:c>
      <x:c r="DE72" s="873">
        <x:f t="shared" si="111"/>
        <x:v>0</x:v>
      </x:c>
      <x:c r="DF72" s="874">
        <x:f t="shared" si="112"/>
        <x:v>0</x:v>
      </x:c>
      <x:c r="DG72" s="874" t="str">
        <x:f t="shared" si="113"/>
        <x:v/>
      </x:c>
      <x:c r="DH72" s="1310" t="str">
        <x:f t="shared" si="175"/>
        <x:v/>
      </x:c>
      <x:c r="DI72" s="1310" t="str">
        <x:f t="shared" si="114"/>
        <x:v/>
      </x:c>
      <x:c r="DJ72" s="1311">
        <x:f t="shared" si="176"/>
        <x:v>0</x:v>
      </x:c>
      <x:c r="DK72" s="1310" t="str">
        <x:f t="shared" si="115"/>
        <x:v/>
      </x:c>
      <x:c r="DL72" s="1310" t="str">
        <x:f t="shared" si="116"/>
        <x:v/>
      </x:c>
      <x:c r="DM72" s="1310" t="str">
        <x:f t="shared" si="117"/>
        <x:v/>
      </x:c>
      <x:c r="DN72" s="1310" t="str">
        <x:f t="shared" si="118"/>
        <x:v/>
      </x:c>
      <x:c r="DO72" s="889" t="str">
        <x:f t="shared" si="119"/>
        <x:v>ERR</x:v>
      </x:c>
      <x:c r="DP72" s="889" t="str">
        <x:f t="shared" si="120"/>
        <x:v>ERR</x:v>
      </x:c>
      <x:c r="DQ72" s="1310" t="str">
        <x:f t="shared" si="121"/>
        <x:v/>
      </x:c>
      <x:c r="DR72" s="1310" t="str">
        <x:f t="shared" si="121"/>
        <x:v/>
      </x:c>
      <x:c r="DS72" s="1310" t="str">
        <x:f t="shared" si="122"/>
        <x:v/>
      </x:c>
      <x:c r="DT72" s="1310" t="str">
        <x:f t="shared" si="123"/>
        <x:v/>
      </x:c>
      <x:c r="DU72" s="1310" t="str">
        <x:f t="shared" si="124"/>
        <x:v/>
      </x:c>
      <x:c r="DV72" s="889" t="str">
        <x:f t="shared" si="125"/>
        <x:v>ERR</x:v>
      </x:c>
      <x:c r="DW72" s="889" t="str">
        <x:f t="shared" si="126"/>
        <x:v>ERR</x:v>
      </x:c>
      <x:c r="DX72" s="873" t="str">
        <x:f t="shared" si="127"/>
        <x:v/>
      </x:c>
      <x:c r="DY72" s="873" t="str">
        <x:f t="shared" si="127"/>
        <x:v/>
      </x:c>
      <x:c r="DZ72" s="873" t="str">
        <x:f t="shared" si="128"/>
        <x:v/>
      </x:c>
      <x:c r="EA72" s="873" t="str">
        <x:f t="shared" si="129"/>
        <x:v/>
      </x:c>
      <x:c r="EB72" s="876" t="str">
        <x:f t="shared" si="130"/>
        <x:v/>
      </x:c>
      <x:c r="EC72" s="877" t="str">
        <x:f t="shared" si="131"/>
        <x:v/>
      </x:c>
      <x:c r="ED72" s="876" t="str">
        <x:f t="shared" si="132"/>
        <x:v/>
      </x:c>
      <x:c r="EE72" s="876" t="str">
        <x:f t="shared" si="133"/>
        <x:v/>
      </x:c>
      <x:c r="EF72" s="876" t="str">
        <x:f t="shared" si="134"/>
        <x:v/>
      </x:c>
      <x:c r="EG72" s="876" t="str">
        <x:f t="shared" si="135"/>
        <x:v/>
      </x:c>
      <x:c r="EH72" s="876" t="str">
        <x:f t="shared" si="136"/>
        <x:v/>
      </x:c>
      <x:c r="EI72" s="876" t="str">
        <x:f t="shared" si="137"/>
        <x:v/>
      </x:c>
      <x:c r="EJ72" s="876" t="str">
        <x:f t="shared" si="138"/>
        <x:v/>
      </x:c>
      <x:c r="EK72" s="874">
        <x:f t="shared" si="139"/>
        <x:v>0</x:v>
      </x:c>
      <x:c r="EL72" s="874">
        <x:f t="shared" si="140"/>
        <x:v>0</x:v>
      </x:c>
      <x:c r="EM72" s="874">
        <x:f t="shared" si="141"/>
        <x:v>0</x:v>
      </x:c>
      <x:c r="EN72" s="874" t="str">
        <x:f t="shared" si="142"/>
        <x:v/>
      </x:c>
      <x:c r="EO72" s="873" t="str">
        <x:f t="shared" si="143"/>
        <x:v/>
      </x:c>
      <x:c r="EP72" s="874">
        <x:f t="shared" si="144"/>
        <x:v>0</x:v>
      </x:c>
      <x:c r="EQ72" s="874">
        <x:f t="shared" si="145"/>
        <x:v>0</x:v>
      </x:c>
      <x:c r="ER72" s="874">
        <x:f t="shared" si="146"/>
        <x:v>0</x:v>
      </x:c>
      <x:c r="ES72" s="874" t="str">
        <x:f t="shared" si="147"/>
        <x:v/>
      </x:c>
      <x:c r="ET72" s="873" t="str">
        <x:f t="shared" si="148"/>
        <x:v/>
      </x:c>
      <x:c r="EU72" s="873">
        <x:f t="shared" si="149"/>
        <x:v>0</x:v>
      </x:c>
      <x:c r="EV72" s="876" t="e">
        <x:f t="shared" si="150"/>
        <x:v>#VALUE!</x:v>
      </x:c>
      <x:c r="EW72" s="876" t="e">
        <x:f t="shared" si="151"/>
        <x:v>#VALUE!</x:v>
      </x:c>
      <x:c r="EX72" s="878" t="str">
        <x:f t="shared" si="152"/>
        <x:v/>
      </x:c>
      <x:c r="EY72" s="879" t="e">
        <x:f t="shared" si="153"/>
        <x:v>#DIV/0!</x:v>
      </x:c>
      <x:c r="EZ72" s="959" t="e">
        <x:f t="shared" si="154"/>
        <x:v>#DIV/0!</x:v>
      </x:c>
      <x:c r="FA72" s="960" t="e">
        <x:f t="shared" si="155"/>
        <x:v>#DIV/0!</x:v>
      </x:c>
      <x:c r="FB72" s="880" t="str">
        <x:f t="shared" si="156"/>
        <x:v/>
      </x:c>
      <x:c r="FC72" s="881" t="str">
        <x:f t="shared" si="157"/>
        <x:v/>
      </x:c>
      <x:c r="FD72" s="890">
        <x:f t="shared" si="158"/>
        <x:v>0</x:v>
      </x:c>
      <x:c r="FE72" s="833">
        <x:f t="shared" si="159"/>
        <x:v>0</x:v>
      </x:c>
      <x:c r="FF72" s="754" t="b">
        <x:f t="shared" si="160"/>
        <x:v>0</x:v>
      </x:c>
      <x:c r="FG72" s="754" t="b">
        <x:f t="shared" si="161"/>
        <x:v>0</x:v>
      </x:c>
      <x:c r="FH72" s="754" t="b">
        <x:f t="shared" si="162"/>
        <x:v>0</x:v>
      </x:c>
      <x:c r="FI72" s="754" t="b">
        <x:f t="shared" si="163"/>
        <x:v>0</x:v>
      </x:c>
      <x:c r="FJ72" s="920" t="str">
        <x:f t="shared" si="177"/>
        <x:v/>
      </x:c>
      <x:c r="FK72" s="919" t="str">
        <x:f t="shared" si="178"/>
        <x:v/>
      </x:c>
      <x:c r="FL72" s="320" t="e">
        <x:f t="shared" si="179"/>
        <x:v>#N/A</x:v>
      </x:c>
      <x:c r="FM72" s="312" t="str">
        <x:f t="shared" si="164"/>
        <x:v/>
      </x:c>
      <x:c r="FN72" s="272" t="str">
        <x:f t="shared" ca="1" si="180"/>
        <x:v/>
      </x:c>
      <x:c r="FO72" s="273" t="str">
        <x:f t="shared" ca="1" si="181"/>
        <x:v/>
      </x:c>
      <x:c r="FP72" s="274" t="str">
        <x:f t="shared" ca="1" si="182"/>
        <x:v/>
      </x:c>
      <x:c r="FQ72" s="274" t="str">
        <x:f t="shared" ca="1" si="183"/>
        <x:v/>
      </x:c>
      <x:c r="FR72" s="321">
        <x:f t="shared" ca="1" si="184"/>
        <x:v>0</x:v>
      </x:c>
      <x:c r="FS72" s="322">
        <x:f t="shared" ca="1" si="185"/>
        <x:v>0</x:v>
      </x:c>
      <x:c r="FT72" s="272" t="str">
        <x:f t="shared" ca="1" si="186"/>
        <x:v/>
      </x:c>
      <x:c r="FU72" s="275" t="str">
        <x:f t="shared" ca="1" si="187"/>
        <x:v/>
      </x:c>
      <x:c r="FV72" s="323" t="str">
        <x:f t="shared" ca="1" si="165"/>
        <x:v/>
      </x:c>
      <x:c r="FW72" s="276" t="str">
        <x:f t="shared" ca="1" si="188"/>
        <x:v/>
      </x:c>
      <x:c r="FX72" s="276" t="str">
        <x:f t="shared" ca="1" si="189"/>
        <x:v/>
      </x:c>
      <x:c r="FY72" s="276" t="str">
        <x:f t="shared" ca="1" si="190"/>
        <x:v/>
      </x:c>
      <x:c r="FZ72" s="276" t="str">
        <x:f t="shared" ca="1" si="191"/>
        <x:v/>
      </x:c>
      <x:c r="GA72" s="276" t="str">
        <x:f t="shared" ca="1" si="192"/>
        <x:v/>
      </x:c>
      <x:c r="GB72" s="277" t="str">
        <x:f ca="1">IF(FY72="","",2+SUM(FO72:OFFSET(FO72,(FU72-1)*-1,0)))</x:f>
        <x:v/>
      </x:c>
      <x:c r="GC72" s="316" t="e">
        <x:f t="shared" si="193"/>
        <x:v>#N/A</x:v>
      </x:c>
      <x:c r="GD72" s="324" t="str">
        <x:f t="shared" si="166"/>
        <x:v/>
      </x:c>
      <x:c r="GE72" s="325" t="str">
        <x:f t="shared" si="167"/>
        <x:v/>
      </x:c>
      <x:c r="GF72" s="278" t="str">
        <x:f t="shared" si="168"/>
        <x:v/>
      </x:c>
      <x:c r="GG72" s="279" t="str">
        <x:f t="shared" si="169"/>
        <x:v/>
      </x:c>
      <x:c r="GH72" s="279" t="str">
        <x:f t="shared" si="170"/>
        <x:v/>
      </x:c>
      <x:c r="GI72" s="280" t="str">
        <x:f t="shared" si="171"/>
        <x:v/>
      </x:c>
      <x:c r="GJ72" s="530">
        <x:f t="shared" ca="1" si="172"/>
        <x:v>0</x:v>
      </x:c>
      <x:c r="GK72" s="895" t="str">
        <x:f t="shared" ca="1" si="194"/>
        <x:v/>
      </x:c>
    </x:row>
    <x:row r="73" spans="78:193" ht="12.6" hidden="1" customHeight="1" x14ac:dyDescent="0.2">
      <x:c r="BZ73" s="293"/>
      <x:c r="CA73" s="293"/>
      <x:c r="CB73" s="365" t="str">
        <x:f t="shared" si="100"/>
        <x:v/>
      </x:c>
      <x:c r="CC73" s="366" t="str">
        <x:f>IF(CG33="","",VLOOKUP(CG33,SectInfo!$B:$N,12,FALSE))</x:f>
        <x:v/>
      </x:c>
      <x:c r="CD73" s="1305" t="str">
        <x:f>IF(ISBLANK(CN33),IF(CG33="","",VLOOKUP(CG33,SectInfo!$B:$N,13,FALSE)),CN33)</x:f>
        <x:v/>
      </x:c>
      <x:c r="CE73" s="1305" t="str">
        <x:f>IF(CG33="","",IF(VLOOKUP(CG33,SectInfo!$B:$N,5,FALSE)="","R",UPPER(VLOOKUP(CG33,SectInfo!$B:$N,5,FALSE))))</x:f>
        <x:v/>
      </x:c>
      <x:c r="CF73" s="1305" t="str">
        <x:f>IF(ISBLANK(CP33),IF(CG33="","",VLOOKUP(CG33,SectInfo!$B:$N,6,FALSE)),CP33)</x:f>
        <x:v/>
      </x:c>
      <x:c r="CG73" s="1305" t="str">
        <x:f>IF(CG33="","",IF(VLOOKUP(CG33,SectInfo!$B:$N,10,FALSE)="","",(VLOOKUP(CG33,SectInfo!$B:$N,10,FALSE)*-1)))</x:f>
        <x:v/>
      </x:c>
      <x:c r="CH73" s="1305" t="str">
        <x:f>IF(CG33="","",IF(VLOOKUP(CG33,SectInfo!$B:$N,7,FALSE)="","",(VLOOKUP(CG33,SectInfo!$B:$N,7,FALSE)*-1)))</x:f>
        <x:v/>
      </x:c>
      <x:c r="CI73" s="1305" t="str">
        <x:f>IF(CG33="","",IF(VLOOKUP(CG33,SectInfo!$B:$N,8,FALSE)="",$FC$4,(VLOOKUP(CG33,SectInfo!$B:$N,8,FALSE))))</x:f>
        <x:v/>
      </x:c>
      <x:c r="CJ73" s="1305" t="str">
        <x:f>IF(CG33="","",VLOOKUP(CG33,SectInfo!$B:$N,9,FALSE))</x:f>
        <x:v/>
      </x:c>
      <x:c r="CK73" s="1306">
        <x:f t="shared" si="101"/>
        <x:v>0</x:v>
      </x:c>
      <x:c r="CL73" s="1304" t="str">
        <x:f>IF(CQ33="","",VLOOKUP(CQ33,SectInfo!$B:$N,12,FALSE))</x:f>
        <x:v/>
      </x:c>
      <x:c r="CM73" s="1305" t="str">
        <x:f>IF(ISBLANK(CX33),IF(CQ33="","",VLOOKUP(CQ33,SectInfo!$B:$N,13,FALSE)),CX33)</x:f>
        <x:v/>
      </x:c>
      <x:c r="CN73" s="1305" t="str">
        <x:f>IF(CQ33="","",IF(VLOOKUP(CQ33,SectInfo!$B:$N,5,FALSE)="","R",UPPER(VLOOKUP(CQ33,SectInfo!$B:$N,5,FALSE))))</x:f>
        <x:v/>
      </x:c>
      <x:c r="CO73" s="1305" t="str">
        <x:f>IF(ISBLANK(CZ33),IF(CQ33="","",VLOOKUP(CQ33,SectInfo!$B:$N,6,FALSE)),CZ33)</x:f>
        <x:v/>
      </x:c>
      <x:c r="CP73" s="1305" t="str">
        <x:f>IF(CQ33="","",IF(VLOOKUP(CQ33,SectInfo!$B:$N,10,FALSE)="","",(VLOOKUP(CQ33,SectInfo!$B:$N,10,FALSE)*-1)))</x:f>
        <x:v/>
      </x:c>
      <x:c r="CQ73" s="1305" t="str">
        <x:f>IF(CQ33="","",IF(VLOOKUP(CQ33,SectInfo!$B:$N,7,FALSE)="","",(VLOOKUP(CQ33,SectInfo!$B:$N,7,FALSE)*-1)))</x:f>
        <x:v/>
      </x:c>
      <x:c r="CR73" s="1305" t="str">
        <x:f>IF(CQ33="","",IF(VLOOKUP(CQ33,SectInfo!$B:$N,8,FALSE)="",$FC$4,(VLOOKUP(CQ33,SectInfo!$B:$N,8,FALSE))))</x:f>
        <x:v/>
      </x:c>
      <x:c r="CS73" s="1305" t="str">
        <x:f>IF(CQ33="","",VLOOKUP(CQ33,SectInfo!$B:$N,9,FALSE))</x:f>
        <x:v/>
      </x:c>
      <x:c r="CT73" s="1306">
        <x:f t="shared" si="102"/>
        <x:v>0</x:v>
      </x:c>
      <x:c r="CU73" s="1316">
        <x:f t="shared" si="103"/>
        <x:v>0</x:v>
      </x:c>
      <x:c r="CV73" s="1310" t="str">
        <x:f t="shared" si="104"/>
        <x:v/>
      </x:c>
      <x:c r="CW73" s="1310" t="str">
        <x:f t="shared" si="105"/>
        <x:v/>
      </x:c>
      <x:c r="CX73" s="1310" t="str">
        <x:f t="shared" si="106"/>
        <x:v/>
      </x:c>
      <x:c r="CY73" s="1312">
        <x:f t="shared" si="107"/>
        <x:v>0</x:v>
      </x:c>
      <x:c r="CZ73" s="1312">
        <x:f t="shared" si="108"/>
        <x:v>0</x:v>
      </x:c>
      <x:c r="DA73" s="1312" t="str">
        <x:f t="shared" si="109"/>
        <x:v/>
      </x:c>
      <x:c r="DB73" s="1310" t="str">
        <x:f t="shared" si="173"/>
        <x:v/>
      </x:c>
      <x:c r="DC73" s="1310" t="str">
        <x:f t="shared" si="110"/>
        <x:v/>
      </x:c>
      <x:c r="DD73" s="875">
        <x:f t="shared" si="174"/>
        <x:v>0</x:v>
      </x:c>
      <x:c r="DE73" s="873">
        <x:f t="shared" si="111"/>
        <x:v>0</x:v>
      </x:c>
      <x:c r="DF73" s="874">
        <x:f t="shared" si="112"/>
        <x:v>0</x:v>
      </x:c>
      <x:c r="DG73" s="874" t="str">
        <x:f t="shared" si="113"/>
        <x:v/>
      </x:c>
      <x:c r="DH73" s="1310" t="str">
        <x:f t="shared" si="175"/>
        <x:v/>
      </x:c>
      <x:c r="DI73" s="1310" t="str">
        <x:f t="shared" si="114"/>
        <x:v/>
      </x:c>
      <x:c r="DJ73" s="1311">
        <x:f t="shared" si="176"/>
        <x:v>0</x:v>
      </x:c>
      <x:c r="DK73" s="1310" t="str">
        <x:f t="shared" si="115"/>
        <x:v/>
      </x:c>
      <x:c r="DL73" s="1310" t="str">
        <x:f t="shared" si="116"/>
        <x:v/>
      </x:c>
      <x:c r="DM73" s="1310" t="str">
        <x:f t="shared" si="117"/>
        <x:v/>
      </x:c>
      <x:c r="DN73" s="1310" t="str">
        <x:f t="shared" si="118"/>
        <x:v/>
      </x:c>
      <x:c r="DO73" s="889" t="str">
        <x:f t="shared" si="119"/>
        <x:v>ERR</x:v>
      </x:c>
      <x:c r="DP73" s="889" t="str">
        <x:f t="shared" si="120"/>
        <x:v>ERR</x:v>
      </x:c>
      <x:c r="DQ73" s="1310" t="str">
        <x:f t="shared" si="121"/>
        <x:v/>
      </x:c>
      <x:c r="DR73" s="1310" t="str">
        <x:f t="shared" si="121"/>
        <x:v/>
      </x:c>
      <x:c r="DS73" s="1310" t="str">
        <x:f t="shared" si="122"/>
        <x:v/>
      </x:c>
      <x:c r="DT73" s="1310" t="str">
        <x:f t="shared" si="123"/>
        <x:v/>
      </x:c>
      <x:c r="DU73" s="1310" t="str">
        <x:f t="shared" si="124"/>
        <x:v/>
      </x:c>
      <x:c r="DV73" s="889" t="str">
        <x:f t="shared" si="125"/>
        <x:v>ERR</x:v>
      </x:c>
      <x:c r="DW73" s="889" t="str">
        <x:f t="shared" si="126"/>
        <x:v>ERR</x:v>
      </x:c>
      <x:c r="DX73" s="873" t="str">
        <x:f t="shared" si="127"/>
        <x:v/>
      </x:c>
      <x:c r="DY73" s="873" t="str">
        <x:f t="shared" si="127"/>
        <x:v/>
      </x:c>
      <x:c r="DZ73" s="873" t="str">
        <x:f t="shared" si="128"/>
        <x:v/>
      </x:c>
      <x:c r="EA73" s="873" t="str">
        <x:f t="shared" si="129"/>
        <x:v/>
      </x:c>
      <x:c r="EB73" s="876" t="str">
        <x:f t="shared" si="130"/>
        <x:v/>
      </x:c>
      <x:c r="EC73" s="877" t="str">
        <x:f t="shared" si="131"/>
        <x:v/>
      </x:c>
      <x:c r="ED73" s="876" t="str">
        <x:f t="shared" si="132"/>
        <x:v/>
      </x:c>
      <x:c r="EE73" s="876" t="str">
        <x:f t="shared" si="133"/>
        <x:v/>
      </x:c>
      <x:c r="EF73" s="876" t="str">
        <x:f t="shared" si="134"/>
        <x:v/>
      </x:c>
      <x:c r="EG73" s="876" t="str">
        <x:f t="shared" si="135"/>
        <x:v/>
      </x:c>
      <x:c r="EH73" s="876" t="str">
        <x:f t="shared" si="136"/>
        <x:v/>
      </x:c>
      <x:c r="EI73" s="876" t="str">
        <x:f t="shared" si="137"/>
        <x:v/>
      </x:c>
      <x:c r="EJ73" s="876" t="str">
        <x:f t="shared" si="138"/>
        <x:v/>
      </x:c>
      <x:c r="EK73" s="874">
        <x:f t="shared" si="139"/>
        <x:v>0</x:v>
      </x:c>
      <x:c r="EL73" s="874">
        <x:f t="shared" si="140"/>
        <x:v>0</x:v>
      </x:c>
      <x:c r="EM73" s="874">
        <x:f t="shared" si="141"/>
        <x:v>0</x:v>
      </x:c>
      <x:c r="EN73" s="874" t="str">
        <x:f t="shared" si="142"/>
        <x:v/>
      </x:c>
      <x:c r="EO73" s="873" t="str">
        <x:f t="shared" si="143"/>
        <x:v/>
      </x:c>
      <x:c r="EP73" s="874">
        <x:f t="shared" si="144"/>
        <x:v>0</x:v>
      </x:c>
      <x:c r="EQ73" s="874">
        <x:f t="shared" si="145"/>
        <x:v>0</x:v>
      </x:c>
      <x:c r="ER73" s="874">
        <x:f t="shared" si="146"/>
        <x:v>0</x:v>
      </x:c>
      <x:c r="ES73" s="874" t="str">
        <x:f t="shared" si="147"/>
        <x:v/>
      </x:c>
      <x:c r="ET73" s="873" t="str">
        <x:f t="shared" si="148"/>
        <x:v/>
      </x:c>
      <x:c r="EU73" s="873">
        <x:f t="shared" si="149"/>
        <x:v>0</x:v>
      </x:c>
      <x:c r="EV73" s="876" t="e">
        <x:f t="shared" si="150"/>
        <x:v>#VALUE!</x:v>
      </x:c>
      <x:c r="EW73" s="876" t="e">
        <x:f t="shared" si="151"/>
        <x:v>#VALUE!</x:v>
      </x:c>
      <x:c r="EX73" s="878" t="str">
        <x:f t="shared" si="152"/>
        <x:v/>
      </x:c>
      <x:c r="EY73" s="879" t="e">
        <x:f t="shared" si="153"/>
        <x:v>#DIV/0!</x:v>
      </x:c>
      <x:c r="EZ73" s="959" t="e">
        <x:f t="shared" si="154"/>
        <x:v>#DIV/0!</x:v>
      </x:c>
      <x:c r="FA73" s="960" t="e">
        <x:f t="shared" si="155"/>
        <x:v>#DIV/0!</x:v>
      </x:c>
      <x:c r="FB73" s="880" t="str">
        <x:f t="shared" si="156"/>
        <x:v/>
      </x:c>
      <x:c r="FC73" s="881" t="str">
        <x:f t="shared" si="157"/>
        <x:v/>
      </x:c>
      <x:c r="FD73" s="890">
        <x:f t="shared" si="158"/>
        <x:v>0</x:v>
      </x:c>
      <x:c r="FE73" s="833">
        <x:f t="shared" si="159"/>
        <x:v>0</x:v>
      </x:c>
      <x:c r="FF73" s="754" t="b">
        <x:f t="shared" si="160"/>
        <x:v>0</x:v>
      </x:c>
      <x:c r="FG73" s="754" t="b">
        <x:f t="shared" si="161"/>
        <x:v>0</x:v>
      </x:c>
      <x:c r="FH73" s="754" t="b">
        <x:f t="shared" si="162"/>
        <x:v>0</x:v>
      </x:c>
      <x:c r="FI73" s="754" t="b">
        <x:f t="shared" si="163"/>
        <x:v>0</x:v>
      </x:c>
      <x:c r="FJ73" s="920" t="str">
        <x:f t="shared" si="177"/>
        <x:v/>
      </x:c>
      <x:c r="FK73" s="919" t="str">
        <x:f t="shared" si="178"/>
        <x:v/>
      </x:c>
      <x:c r="FL73" s="320" t="e">
        <x:f t="shared" si="179"/>
        <x:v>#N/A</x:v>
      </x:c>
      <x:c r="FM73" s="312" t="str">
        <x:f t="shared" si="164"/>
        <x:v/>
      </x:c>
      <x:c r="FN73" s="272" t="str">
        <x:f t="shared" ca="1" si="180"/>
        <x:v/>
      </x:c>
      <x:c r="FO73" s="273" t="str">
        <x:f t="shared" ca="1" si="181"/>
        <x:v/>
      </x:c>
      <x:c r="FP73" s="274" t="str">
        <x:f t="shared" ca="1" si="182"/>
        <x:v/>
      </x:c>
      <x:c r="FQ73" s="274" t="str">
        <x:f t="shared" ca="1" si="183"/>
        <x:v/>
      </x:c>
      <x:c r="FR73" s="321">
        <x:f t="shared" ca="1" si="184"/>
        <x:v>0</x:v>
      </x:c>
      <x:c r="FS73" s="322">
        <x:f t="shared" ca="1" si="185"/>
        <x:v>0</x:v>
      </x:c>
      <x:c r="FT73" s="272" t="str">
        <x:f t="shared" ca="1" si="186"/>
        <x:v/>
      </x:c>
      <x:c r="FU73" s="275" t="str">
        <x:f t="shared" ca="1" si="187"/>
        <x:v/>
      </x:c>
      <x:c r="FV73" s="323" t="str">
        <x:f t="shared" ca="1" si="165"/>
        <x:v/>
      </x:c>
      <x:c r="FW73" s="276" t="str">
        <x:f t="shared" ca="1" si="188"/>
        <x:v/>
      </x:c>
      <x:c r="FX73" s="276" t="str">
        <x:f t="shared" ca="1" si="189"/>
        <x:v/>
      </x:c>
      <x:c r="FY73" s="276" t="str">
        <x:f t="shared" ca="1" si="190"/>
        <x:v/>
      </x:c>
      <x:c r="FZ73" s="276" t="str">
        <x:f t="shared" ca="1" si="191"/>
        <x:v/>
      </x:c>
      <x:c r="GA73" s="276" t="str">
        <x:f t="shared" ca="1" si="192"/>
        <x:v/>
      </x:c>
      <x:c r="GB73" s="277" t="str">
        <x:f ca="1">IF(FY73="","",2+SUM(FO73:OFFSET(FO73,(FU73-1)*-1,0)))</x:f>
        <x:v/>
      </x:c>
      <x:c r="GC73" s="316" t="e">
        <x:f t="shared" si="193"/>
        <x:v>#N/A</x:v>
      </x:c>
      <x:c r="GD73" s="324" t="str">
        <x:f t="shared" si="166"/>
        <x:v/>
      </x:c>
      <x:c r="GE73" s="325" t="str">
        <x:f t="shared" si="167"/>
        <x:v/>
      </x:c>
      <x:c r="GF73" s="278" t="str">
        <x:f t="shared" si="168"/>
        <x:v/>
      </x:c>
      <x:c r="GG73" s="279" t="str">
        <x:f t="shared" si="169"/>
        <x:v/>
      </x:c>
      <x:c r="GH73" s="279" t="str">
        <x:f t="shared" si="170"/>
        <x:v/>
      </x:c>
      <x:c r="GI73" s="280" t="str">
        <x:f t="shared" si="171"/>
        <x:v/>
      </x:c>
      <x:c r="GJ73" s="530">
        <x:f t="shared" ca="1" si="172"/>
        <x:v>0</x:v>
      </x:c>
      <x:c r="GK73" s="895" t="str">
        <x:f t="shared" ca="1" si="194"/>
        <x:v/>
      </x:c>
    </x:row>
    <x:row r="74" spans="78:193" ht="12.6" hidden="1" customHeight="1" x14ac:dyDescent="0.2">
      <x:c r="BZ74" s="293"/>
      <x:c r="CA74" s="293"/>
      <x:c r="CB74" s="365" t="str">
        <x:f t="shared" si="100"/>
        <x:v/>
      </x:c>
      <x:c r="CC74" s="366" t="str">
        <x:f>IF(CG34="","",VLOOKUP(CG34,SectInfo!$B:$N,12,FALSE))</x:f>
        <x:v/>
      </x:c>
      <x:c r="CD74" s="1305" t="str">
        <x:f>IF(ISBLANK(CN34),IF(CG34="","",VLOOKUP(CG34,SectInfo!$B:$N,13,FALSE)),CN34)</x:f>
        <x:v/>
      </x:c>
      <x:c r="CE74" s="1305" t="str">
        <x:f>IF(CG34="","",IF(VLOOKUP(CG34,SectInfo!$B:$N,5,FALSE)="","R",UPPER(VLOOKUP(CG34,SectInfo!$B:$N,5,FALSE))))</x:f>
        <x:v/>
      </x:c>
      <x:c r="CF74" s="1305" t="str">
        <x:f>IF(ISBLANK(CP34),IF(CG34="","",VLOOKUP(CG34,SectInfo!$B:$N,6,FALSE)),CP34)</x:f>
        <x:v/>
      </x:c>
      <x:c r="CG74" s="1305" t="str">
        <x:f>IF(CG34="","",IF(VLOOKUP(CG34,SectInfo!$B:$N,10,FALSE)="","",(VLOOKUP(CG34,SectInfo!$B:$N,10,FALSE)*-1)))</x:f>
        <x:v/>
      </x:c>
      <x:c r="CH74" s="1305" t="str">
        <x:f>IF(CG34="","",IF(VLOOKUP(CG34,SectInfo!$B:$N,7,FALSE)="","",(VLOOKUP(CG34,SectInfo!$B:$N,7,FALSE)*-1)))</x:f>
        <x:v/>
      </x:c>
      <x:c r="CI74" s="1305" t="str">
        <x:f>IF(CG34="","",IF(VLOOKUP(CG34,SectInfo!$B:$N,8,FALSE)="",$FC$4,(VLOOKUP(CG34,SectInfo!$B:$N,8,FALSE))))</x:f>
        <x:v/>
      </x:c>
      <x:c r="CJ74" s="1305" t="str">
        <x:f>IF(CG34="","",VLOOKUP(CG34,SectInfo!$B:$N,9,FALSE))</x:f>
        <x:v/>
      </x:c>
      <x:c r="CK74" s="1306">
        <x:f t="shared" si="101"/>
        <x:v>0</x:v>
      </x:c>
      <x:c r="CL74" s="1304" t="str">
        <x:f>IF(CQ34="","",VLOOKUP(CQ34,SectInfo!$B:$N,12,FALSE))</x:f>
        <x:v/>
      </x:c>
      <x:c r="CM74" s="1305" t="str">
        <x:f>IF(ISBLANK(CX34),IF(CQ34="","",VLOOKUP(CQ34,SectInfo!$B:$N,13,FALSE)),CX34)</x:f>
        <x:v/>
      </x:c>
      <x:c r="CN74" s="1305" t="str">
        <x:f>IF(CQ34="","",IF(VLOOKUP(CQ34,SectInfo!$B:$N,5,FALSE)="","R",UPPER(VLOOKUP(CQ34,SectInfo!$B:$N,5,FALSE))))</x:f>
        <x:v/>
      </x:c>
      <x:c r="CO74" s="1305" t="str">
        <x:f>IF(ISBLANK(CZ34),IF(CQ34="","",VLOOKUP(CQ34,SectInfo!$B:$N,6,FALSE)),CZ34)</x:f>
        <x:v/>
      </x:c>
      <x:c r="CP74" s="1305" t="str">
        <x:f>IF(CQ34="","",IF(VLOOKUP(CQ34,SectInfo!$B:$N,10,FALSE)="","",(VLOOKUP(CQ34,SectInfo!$B:$N,10,FALSE)*-1)))</x:f>
        <x:v/>
      </x:c>
      <x:c r="CQ74" s="1305" t="str">
        <x:f>IF(CQ34="","",IF(VLOOKUP(CQ34,SectInfo!$B:$N,7,FALSE)="","",(VLOOKUP(CQ34,SectInfo!$B:$N,7,FALSE)*-1)))</x:f>
        <x:v/>
      </x:c>
      <x:c r="CR74" s="1305" t="str">
        <x:f>IF(CQ34="","",IF(VLOOKUP(CQ34,SectInfo!$B:$N,8,FALSE)="",$FC$4,(VLOOKUP(CQ34,SectInfo!$B:$N,8,FALSE))))</x:f>
        <x:v/>
      </x:c>
      <x:c r="CS74" s="1305" t="str">
        <x:f>IF(CQ34="","",VLOOKUP(CQ34,SectInfo!$B:$N,9,FALSE))</x:f>
        <x:v/>
      </x:c>
      <x:c r="CT74" s="1306">
        <x:f t="shared" si="102"/>
        <x:v>0</x:v>
      </x:c>
      <x:c r="CU74" s="1316">
        <x:f t="shared" si="103"/>
        <x:v>0</x:v>
      </x:c>
      <x:c r="CV74" s="1310" t="str">
        <x:f t="shared" si="104"/>
        <x:v/>
      </x:c>
      <x:c r="CW74" s="1310" t="str">
        <x:f t="shared" si="105"/>
        <x:v/>
      </x:c>
      <x:c r="CX74" s="1310" t="str">
        <x:f t="shared" si="106"/>
        <x:v/>
      </x:c>
      <x:c r="CY74" s="1312">
        <x:f t="shared" si="107"/>
        <x:v>0</x:v>
      </x:c>
      <x:c r="CZ74" s="1312">
        <x:f t="shared" si="108"/>
        <x:v>0</x:v>
      </x:c>
      <x:c r="DA74" s="1312" t="str">
        <x:f t="shared" si="109"/>
        <x:v/>
      </x:c>
      <x:c r="DB74" s="1310" t="str">
        <x:f t="shared" si="173"/>
        <x:v/>
      </x:c>
      <x:c r="DC74" s="1310" t="str">
        <x:f t="shared" si="110"/>
        <x:v/>
      </x:c>
      <x:c r="DD74" s="875">
        <x:f t="shared" si="174"/>
        <x:v>0</x:v>
      </x:c>
      <x:c r="DE74" s="873">
        <x:f t="shared" si="111"/>
        <x:v>0</x:v>
      </x:c>
      <x:c r="DF74" s="874">
        <x:f t="shared" si="112"/>
        <x:v>0</x:v>
      </x:c>
      <x:c r="DG74" s="874" t="str">
        <x:f t="shared" si="113"/>
        <x:v/>
      </x:c>
      <x:c r="DH74" s="1310" t="str">
        <x:f t="shared" si="175"/>
        <x:v/>
      </x:c>
      <x:c r="DI74" s="1310" t="str">
        <x:f t="shared" si="114"/>
        <x:v/>
      </x:c>
      <x:c r="DJ74" s="1311">
        <x:f t="shared" si="176"/>
        <x:v>0</x:v>
      </x:c>
      <x:c r="DK74" s="1310" t="str">
        <x:f t="shared" si="115"/>
        <x:v/>
      </x:c>
      <x:c r="DL74" s="1310" t="str">
        <x:f t="shared" si="116"/>
        <x:v/>
      </x:c>
      <x:c r="DM74" s="1310" t="str">
        <x:f t="shared" si="117"/>
        <x:v/>
      </x:c>
      <x:c r="DN74" s="1310" t="str">
        <x:f t="shared" si="118"/>
        <x:v/>
      </x:c>
      <x:c r="DO74" s="889" t="str">
        <x:f t="shared" si="119"/>
        <x:v>ERR</x:v>
      </x:c>
      <x:c r="DP74" s="889" t="str">
        <x:f t="shared" si="120"/>
        <x:v>ERR</x:v>
      </x:c>
      <x:c r="DQ74" s="1310" t="str">
        <x:f t="shared" si="121"/>
        <x:v/>
      </x:c>
      <x:c r="DR74" s="1310" t="str">
        <x:f t="shared" si="121"/>
        <x:v/>
      </x:c>
      <x:c r="DS74" s="1310" t="str">
        <x:f t="shared" si="122"/>
        <x:v/>
      </x:c>
      <x:c r="DT74" s="1310" t="str">
        <x:f t="shared" si="123"/>
        <x:v/>
      </x:c>
      <x:c r="DU74" s="1310" t="str">
        <x:f t="shared" si="124"/>
        <x:v/>
      </x:c>
      <x:c r="DV74" s="889" t="str">
        <x:f t="shared" si="125"/>
        <x:v>ERR</x:v>
      </x:c>
      <x:c r="DW74" s="889" t="str">
        <x:f t="shared" si="126"/>
        <x:v>ERR</x:v>
      </x:c>
      <x:c r="DX74" s="873" t="str">
        <x:f t="shared" si="127"/>
        <x:v/>
      </x:c>
      <x:c r="DY74" s="873" t="str">
        <x:f t="shared" si="127"/>
        <x:v/>
      </x:c>
      <x:c r="DZ74" s="873" t="str">
        <x:f t="shared" si="128"/>
        <x:v/>
      </x:c>
      <x:c r="EA74" s="873" t="str">
        <x:f t="shared" si="129"/>
        <x:v/>
      </x:c>
      <x:c r="EB74" s="876" t="str">
        <x:f t="shared" si="130"/>
        <x:v/>
      </x:c>
      <x:c r="EC74" s="877" t="str">
        <x:f t="shared" si="131"/>
        <x:v/>
      </x:c>
      <x:c r="ED74" s="876" t="str">
        <x:f t="shared" si="132"/>
        <x:v/>
      </x:c>
      <x:c r="EE74" s="876" t="str">
        <x:f t="shared" si="133"/>
        <x:v/>
      </x:c>
      <x:c r="EF74" s="876" t="str">
        <x:f t="shared" si="134"/>
        <x:v/>
      </x:c>
      <x:c r="EG74" s="876" t="str">
        <x:f t="shared" si="135"/>
        <x:v/>
      </x:c>
      <x:c r="EH74" s="876" t="str">
        <x:f t="shared" si="136"/>
        <x:v/>
      </x:c>
      <x:c r="EI74" s="876" t="str">
        <x:f t="shared" si="137"/>
        <x:v/>
      </x:c>
      <x:c r="EJ74" s="876" t="str">
        <x:f t="shared" si="138"/>
        <x:v/>
      </x:c>
      <x:c r="EK74" s="874">
        <x:f t="shared" si="139"/>
        <x:v>0</x:v>
      </x:c>
      <x:c r="EL74" s="874">
        <x:f t="shared" si="140"/>
        <x:v>0</x:v>
      </x:c>
      <x:c r="EM74" s="874">
        <x:f t="shared" si="141"/>
        <x:v>0</x:v>
      </x:c>
      <x:c r="EN74" s="874" t="str">
        <x:f t="shared" si="142"/>
        <x:v/>
      </x:c>
      <x:c r="EO74" s="873" t="str">
        <x:f t="shared" si="143"/>
        <x:v/>
      </x:c>
      <x:c r="EP74" s="874">
        <x:f t="shared" si="144"/>
        <x:v>0</x:v>
      </x:c>
      <x:c r="EQ74" s="874">
        <x:f t="shared" si="145"/>
        <x:v>0</x:v>
      </x:c>
      <x:c r="ER74" s="874">
        <x:f t="shared" si="146"/>
        <x:v>0</x:v>
      </x:c>
      <x:c r="ES74" s="874" t="str">
        <x:f t="shared" si="147"/>
        <x:v/>
      </x:c>
      <x:c r="ET74" s="873" t="str">
        <x:f t="shared" si="148"/>
        <x:v/>
      </x:c>
      <x:c r="EU74" s="873">
        <x:f t="shared" si="149"/>
        <x:v>0</x:v>
      </x:c>
      <x:c r="EV74" s="876" t="e">
        <x:f t="shared" si="150"/>
        <x:v>#VALUE!</x:v>
      </x:c>
      <x:c r="EW74" s="876" t="e">
        <x:f t="shared" si="151"/>
        <x:v>#VALUE!</x:v>
      </x:c>
      <x:c r="EX74" s="878" t="str">
        <x:f t="shared" si="152"/>
        <x:v/>
      </x:c>
      <x:c r="EY74" s="879" t="e">
        <x:f t="shared" si="153"/>
        <x:v>#DIV/0!</x:v>
      </x:c>
      <x:c r="EZ74" s="959" t="e">
        <x:f t="shared" si="154"/>
        <x:v>#DIV/0!</x:v>
      </x:c>
      <x:c r="FA74" s="960" t="e">
        <x:f t="shared" si="155"/>
        <x:v>#DIV/0!</x:v>
      </x:c>
      <x:c r="FB74" s="880" t="str">
        <x:f t="shared" si="156"/>
        <x:v/>
      </x:c>
      <x:c r="FC74" s="881" t="str">
        <x:f t="shared" si="157"/>
        <x:v/>
      </x:c>
      <x:c r="FD74" s="890">
        <x:f t="shared" si="158"/>
        <x:v>0</x:v>
      </x:c>
      <x:c r="FE74" s="833">
        <x:f t="shared" si="159"/>
        <x:v>0</x:v>
      </x:c>
      <x:c r="FF74" s="754" t="b">
        <x:f t="shared" si="160"/>
        <x:v>0</x:v>
      </x:c>
      <x:c r="FG74" s="754" t="b">
        <x:f t="shared" si="161"/>
        <x:v>0</x:v>
      </x:c>
      <x:c r="FH74" s="754" t="b">
        <x:f t="shared" si="162"/>
        <x:v>0</x:v>
      </x:c>
      <x:c r="FI74" s="754" t="b">
        <x:f t="shared" si="163"/>
        <x:v>0</x:v>
      </x:c>
      <x:c r="FJ74" s="920" t="str">
        <x:f t="shared" si="177"/>
        <x:v/>
      </x:c>
      <x:c r="FK74" s="919" t="str">
        <x:f t="shared" si="178"/>
        <x:v/>
      </x:c>
      <x:c r="FL74" s="320" t="e">
        <x:f t="shared" si="179"/>
        <x:v>#N/A</x:v>
      </x:c>
      <x:c r="FM74" s="312" t="str">
        <x:f t="shared" si="164"/>
        <x:v/>
      </x:c>
      <x:c r="FN74" s="272" t="str">
        <x:f t="shared" ca="1" si="180"/>
        <x:v/>
      </x:c>
      <x:c r="FO74" s="273" t="str">
        <x:f t="shared" ca="1" si="181"/>
        <x:v/>
      </x:c>
      <x:c r="FP74" s="274" t="str">
        <x:f t="shared" ca="1" si="182"/>
        <x:v/>
      </x:c>
      <x:c r="FQ74" s="274" t="str">
        <x:f t="shared" ca="1" si="183"/>
        <x:v/>
      </x:c>
      <x:c r="FR74" s="321">
        <x:f t="shared" ca="1" si="184"/>
        <x:v>0</x:v>
      </x:c>
      <x:c r="FS74" s="322">
        <x:f t="shared" ca="1" si="185"/>
        <x:v>0</x:v>
      </x:c>
      <x:c r="FT74" s="272" t="str">
        <x:f t="shared" ca="1" si="186"/>
        <x:v/>
      </x:c>
      <x:c r="FU74" s="275" t="str">
        <x:f t="shared" ca="1" si="187"/>
        <x:v/>
      </x:c>
      <x:c r="FV74" s="323" t="str">
        <x:f t="shared" ca="1" si="165"/>
        <x:v/>
      </x:c>
      <x:c r="FW74" s="276" t="str">
        <x:f t="shared" ca="1" si="188"/>
        <x:v/>
      </x:c>
      <x:c r="FX74" s="276" t="str">
        <x:f t="shared" ca="1" si="189"/>
        <x:v/>
      </x:c>
      <x:c r="FY74" s="276" t="str">
        <x:f t="shared" ca="1" si="190"/>
        <x:v/>
      </x:c>
      <x:c r="FZ74" s="276" t="str">
        <x:f t="shared" ca="1" si="191"/>
        <x:v/>
      </x:c>
      <x:c r="GA74" s="276" t="str">
        <x:f t="shared" ca="1" si="192"/>
        <x:v/>
      </x:c>
      <x:c r="GB74" s="277" t="str">
        <x:f ca="1">IF(FY74="","",2+SUM(FO74:OFFSET(FO74,(FU74-1)*-1,0)))</x:f>
        <x:v/>
      </x:c>
      <x:c r="GC74" s="316" t="e">
        <x:f t="shared" si="193"/>
        <x:v>#N/A</x:v>
      </x:c>
      <x:c r="GD74" s="324" t="str">
        <x:f t="shared" si="166"/>
        <x:v/>
      </x:c>
      <x:c r="GE74" s="325" t="str">
        <x:f t="shared" si="167"/>
        <x:v/>
      </x:c>
      <x:c r="GF74" s="278" t="str">
        <x:f t="shared" si="168"/>
        <x:v/>
      </x:c>
      <x:c r="GG74" s="279" t="str">
        <x:f t="shared" si="169"/>
        <x:v/>
      </x:c>
      <x:c r="GH74" s="279" t="str">
        <x:f t="shared" si="170"/>
        <x:v/>
      </x:c>
      <x:c r="GI74" s="280" t="str">
        <x:f t="shared" si="171"/>
        <x:v/>
      </x:c>
      <x:c r="GJ74" s="530">
        <x:f t="shared" ca="1" si="172"/>
        <x:v>0</x:v>
      </x:c>
      <x:c r="GK74" s="895" t="str">
        <x:f t="shared" ca="1" si="194"/>
        <x:v/>
      </x:c>
    </x:row>
    <x:row r="75" spans="78:193" ht="12.6" hidden="1" customHeight="1" x14ac:dyDescent="0.2">
      <x:c r="BZ75" s="293"/>
      <x:c r="CA75" s="293"/>
      <x:c r="CB75" s="365" t="str">
        <x:f t="shared" si="100"/>
        <x:v/>
      </x:c>
      <x:c r="CC75" s="366" t="str">
        <x:f>IF(CG35="","",VLOOKUP(CG35,SectInfo!$B:$N,12,FALSE))</x:f>
        <x:v/>
      </x:c>
      <x:c r="CD75" s="1305" t="str">
        <x:f>IF(ISBLANK(CN35),IF(CG35="","",VLOOKUP(CG35,SectInfo!$B:$N,13,FALSE)),CN35)</x:f>
        <x:v/>
      </x:c>
      <x:c r="CE75" s="1305" t="str">
        <x:f>IF(CG35="","",IF(VLOOKUP(CG35,SectInfo!$B:$N,5,FALSE)="","R",UPPER(VLOOKUP(CG35,SectInfo!$B:$N,5,FALSE))))</x:f>
        <x:v/>
      </x:c>
      <x:c r="CF75" s="1305" t="str">
        <x:f>IF(ISBLANK(CP35),IF(CG35="","",VLOOKUP(CG35,SectInfo!$B:$N,6,FALSE)),CP35)</x:f>
        <x:v/>
      </x:c>
      <x:c r="CG75" s="1305" t="str">
        <x:f>IF(CG35="","",IF(VLOOKUP(CG35,SectInfo!$B:$N,10,FALSE)="","",(VLOOKUP(CG35,SectInfo!$B:$N,10,FALSE)*-1)))</x:f>
        <x:v/>
      </x:c>
      <x:c r="CH75" s="1305" t="str">
        <x:f>IF(CG35="","",IF(VLOOKUP(CG35,SectInfo!$B:$N,7,FALSE)="","",(VLOOKUP(CG35,SectInfo!$B:$N,7,FALSE)*-1)))</x:f>
        <x:v/>
      </x:c>
      <x:c r="CI75" s="1305" t="str">
        <x:f>IF(CG35="","",IF(VLOOKUP(CG35,SectInfo!$B:$N,8,FALSE)="",$FC$4,(VLOOKUP(CG35,SectInfo!$B:$N,8,FALSE))))</x:f>
        <x:v/>
      </x:c>
      <x:c r="CJ75" s="1305" t="str">
        <x:f>IF(CG35="","",VLOOKUP(CG35,SectInfo!$B:$N,9,FALSE))</x:f>
        <x:v/>
      </x:c>
      <x:c r="CK75" s="1306">
        <x:f t="shared" si="101"/>
        <x:v>0</x:v>
      </x:c>
      <x:c r="CL75" s="1304" t="str">
        <x:f>IF(CQ35="","",VLOOKUP(CQ35,SectInfo!$B:$N,12,FALSE))</x:f>
        <x:v/>
      </x:c>
      <x:c r="CM75" s="1305" t="str">
        <x:f>IF(ISBLANK(CX35),IF(CQ35="","",VLOOKUP(CQ35,SectInfo!$B:$N,13,FALSE)),CX35)</x:f>
        <x:v/>
      </x:c>
      <x:c r="CN75" s="1305" t="str">
        <x:f>IF(CQ35="","",IF(VLOOKUP(CQ35,SectInfo!$B:$N,5,FALSE)="","R",UPPER(VLOOKUP(CQ35,SectInfo!$B:$N,5,FALSE))))</x:f>
        <x:v/>
      </x:c>
      <x:c r="CO75" s="1305" t="str">
        <x:f>IF(ISBLANK(CZ35),IF(CQ35="","",VLOOKUP(CQ35,SectInfo!$B:$N,6,FALSE)),CZ35)</x:f>
        <x:v/>
      </x:c>
      <x:c r="CP75" s="1305" t="str">
        <x:f>IF(CQ35="","",IF(VLOOKUP(CQ35,SectInfo!$B:$N,10,FALSE)="","",(VLOOKUP(CQ35,SectInfo!$B:$N,10,FALSE)*-1)))</x:f>
        <x:v/>
      </x:c>
      <x:c r="CQ75" s="1305" t="str">
        <x:f>IF(CQ35="","",IF(VLOOKUP(CQ35,SectInfo!$B:$N,7,FALSE)="","",(VLOOKUP(CQ35,SectInfo!$B:$N,7,FALSE)*-1)))</x:f>
        <x:v/>
      </x:c>
      <x:c r="CR75" s="1305" t="str">
        <x:f>IF(CQ35="","",IF(VLOOKUP(CQ35,SectInfo!$B:$N,8,FALSE)="",$FC$4,(VLOOKUP(CQ35,SectInfo!$B:$N,8,FALSE))))</x:f>
        <x:v/>
      </x:c>
      <x:c r="CS75" s="1305" t="str">
        <x:f>IF(CQ35="","",VLOOKUP(CQ35,SectInfo!$B:$N,9,FALSE))</x:f>
        <x:v/>
      </x:c>
      <x:c r="CT75" s="1306">
        <x:f t="shared" si="102"/>
        <x:v>0</x:v>
      </x:c>
      <x:c r="CU75" s="1316">
        <x:f t="shared" si="103"/>
        <x:v>0</x:v>
      </x:c>
      <x:c r="CV75" s="1310" t="str">
        <x:f t="shared" si="104"/>
        <x:v/>
      </x:c>
      <x:c r="CW75" s="1310" t="str">
        <x:f t="shared" si="105"/>
        <x:v/>
      </x:c>
      <x:c r="CX75" s="1310" t="str">
        <x:f t="shared" si="106"/>
        <x:v/>
      </x:c>
      <x:c r="CY75" s="1312">
        <x:f t="shared" si="107"/>
        <x:v>0</x:v>
      </x:c>
      <x:c r="CZ75" s="1312">
        <x:f t="shared" si="108"/>
        <x:v>0</x:v>
      </x:c>
      <x:c r="DA75" s="1312" t="str">
        <x:f t="shared" si="109"/>
        <x:v/>
      </x:c>
      <x:c r="DB75" s="1310" t="str">
        <x:f t="shared" si="173"/>
        <x:v/>
      </x:c>
      <x:c r="DC75" s="1310" t="str">
        <x:f t="shared" si="110"/>
        <x:v/>
      </x:c>
      <x:c r="DD75" s="875">
        <x:f t="shared" si="174"/>
        <x:v>0</x:v>
      </x:c>
      <x:c r="DE75" s="873">
        <x:f t="shared" si="111"/>
        <x:v>0</x:v>
      </x:c>
      <x:c r="DF75" s="874">
        <x:f t="shared" si="112"/>
        <x:v>0</x:v>
      </x:c>
      <x:c r="DG75" s="874" t="str">
        <x:f t="shared" si="113"/>
        <x:v/>
      </x:c>
      <x:c r="DH75" s="1310" t="str">
        <x:f t="shared" si="175"/>
        <x:v/>
      </x:c>
      <x:c r="DI75" s="1310" t="str">
        <x:f t="shared" si="114"/>
        <x:v/>
      </x:c>
      <x:c r="DJ75" s="1311">
        <x:f t="shared" si="176"/>
        <x:v>0</x:v>
      </x:c>
      <x:c r="DK75" s="1310" t="str">
        <x:f t="shared" si="115"/>
        <x:v/>
      </x:c>
      <x:c r="DL75" s="1310" t="str">
        <x:f t="shared" si="116"/>
        <x:v/>
      </x:c>
      <x:c r="DM75" s="1310" t="str">
        <x:f t="shared" si="117"/>
        <x:v/>
      </x:c>
      <x:c r="DN75" s="1310" t="str">
        <x:f t="shared" si="118"/>
        <x:v/>
      </x:c>
      <x:c r="DO75" s="889" t="str">
        <x:f t="shared" si="119"/>
        <x:v>ERR</x:v>
      </x:c>
      <x:c r="DP75" s="889" t="str">
        <x:f t="shared" si="120"/>
        <x:v>ERR</x:v>
      </x:c>
      <x:c r="DQ75" s="1310" t="str">
        <x:f t="shared" si="121"/>
        <x:v/>
      </x:c>
      <x:c r="DR75" s="1310" t="str">
        <x:f t="shared" si="121"/>
        <x:v/>
      </x:c>
      <x:c r="DS75" s="1310" t="str">
        <x:f t="shared" si="122"/>
        <x:v/>
      </x:c>
      <x:c r="DT75" s="1310" t="str">
        <x:f t="shared" si="123"/>
        <x:v/>
      </x:c>
      <x:c r="DU75" s="1310" t="str">
        <x:f t="shared" si="124"/>
        <x:v/>
      </x:c>
      <x:c r="DV75" s="889" t="str">
        <x:f t="shared" si="125"/>
        <x:v>ERR</x:v>
      </x:c>
      <x:c r="DW75" s="889" t="str">
        <x:f t="shared" si="126"/>
        <x:v>ERR</x:v>
      </x:c>
      <x:c r="DX75" s="873" t="str">
        <x:f t="shared" ref="DX75:DY85" si="195">IF(ISERROR(DT75),"ERR",IF(DT75="","",IF(DV75="ERR","ERR",CEILING(DV75-0.0625,0.125))))</x:f>
        <x:v/>
      </x:c>
      <x:c r="DY75" s="873" t="str">
        <x:f t="shared" si="195"/>
        <x:v/>
      </x:c>
      <x:c r="DZ75" s="873" t="str">
        <x:f t="shared" si="128"/>
        <x:v/>
      </x:c>
      <x:c r="EA75" s="873" t="str">
        <x:f t="shared" si="129"/>
        <x:v/>
      </x:c>
      <x:c r="EB75" s="876" t="str">
        <x:f t="shared" si="130"/>
        <x:v/>
      </x:c>
      <x:c r="EC75" s="877" t="str">
        <x:f t="shared" si="131"/>
        <x:v/>
      </x:c>
      <x:c r="ED75" s="876" t="str">
        <x:f t="shared" si="132"/>
        <x:v/>
      </x:c>
      <x:c r="EE75" s="876" t="str">
        <x:f t="shared" si="133"/>
        <x:v/>
      </x:c>
      <x:c r="EF75" s="876" t="str">
        <x:f t="shared" si="134"/>
        <x:v/>
      </x:c>
      <x:c r="EG75" s="876" t="str">
        <x:f t="shared" si="135"/>
        <x:v/>
      </x:c>
      <x:c r="EH75" s="876" t="str">
        <x:f t="shared" si="136"/>
        <x:v/>
      </x:c>
      <x:c r="EI75" s="876" t="str">
        <x:f t="shared" si="137"/>
        <x:v/>
      </x:c>
      <x:c r="EJ75" s="876" t="str">
        <x:f t="shared" si="138"/>
        <x:v/>
      </x:c>
      <x:c r="EK75" s="874">
        <x:f t="shared" si="139"/>
        <x:v>0</x:v>
      </x:c>
      <x:c r="EL75" s="874">
        <x:f t="shared" si="140"/>
        <x:v>0</x:v>
      </x:c>
      <x:c r="EM75" s="874">
        <x:f t="shared" si="141"/>
        <x:v>0</x:v>
      </x:c>
      <x:c r="EN75" s="874" t="str">
        <x:f t="shared" si="142"/>
        <x:v/>
      </x:c>
      <x:c r="EO75" s="873" t="str">
        <x:f t="shared" si="143"/>
        <x:v/>
      </x:c>
      <x:c r="EP75" s="874">
        <x:f t="shared" si="144"/>
        <x:v>0</x:v>
      </x:c>
      <x:c r="EQ75" s="874">
        <x:f t="shared" si="145"/>
        <x:v>0</x:v>
      </x:c>
      <x:c r="ER75" s="874">
        <x:f t="shared" si="146"/>
        <x:v>0</x:v>
      </x:c>
      <x:c r="ES75" s="874" t="str">
        <x:f t="shared" si="147"/>
        <x:v/>
      </x:c>
      <x:c r="ET75" s="873" t="str">
        <x:f t="shared" si="148"/>
        <x:v/>
      </x:c>
      <x:c r="EU75" s="873">
        <x:f t="shared" si="149"/>
        <x:v>0</x:v>
      </x:c>
      <x:c r="EV75" s="876" t="e">
        <x:f t="shared" si="150"/>
        <x:v>#VALUE!</x:v>
      </x:c>
      <x:c r="EW75" s="876" t="e">
        <x:f t="shared" si="151"/>
        <x:v>#VALUE!</x:v>
      </x:c>
      <x:c r="EX75" s="878" t="str">
        <x:f t="shared" si="152"/>
        <x:v/>
      </x:c>
      <x:c r="EY75" s="879" t="e">
        <x:f t="shared" si="153"/>
        <x:v>#DIV/0!</x:v>
      </x:c>
      <x:c r="EZ75" s="959" t="e">
        <x:f t="shared" si="154"/>
        <x:v>#DIV/0!</x:v>
      </x:c>
      <x:c r="FA75" s="960" t="e">
        <x:f t="shared" si="155"/>
        <x:v>#DIV/0!</x:v>
      </x:c>
      <x:c r="FB75" s="880" t="str">
        <x:f t="shared" si="156"/>
        <x:v/>
      </x:c>
      <x:c r="FC75" s="881" t="str">
        <x:f t="shared" si="157"/>
        <x:v/>
      </x:c>
      <x:c r="FD75" s="890">
        <x:f t="shared" si="158"/>
        <x:v>0</x:v>
      </x:c>
      <x:c r="FE75" s="833">
        <x:f t="shared" si="159"/>
        <x:v>0</x:v>
      </x:c>
      <x:c r="FF75" s="754" t="b">
        <x:f t="shared" si="160"/>
        <x:v>0</x:v>
      </x:c>
      <x:c r="FG75" s="754" t="b">
        <x:f t="shared" si="161"/>
        <x:v>0</x:v>
      </x:c>
      <x:c r="FH75" s="754" t="b">
        <x:f t="shared" si="162"/>
        <x:v>0</x:v>
      </x:c>
      <x:c r="FI75" s="754" t="b">
        <x:f t="shared" si="163"/>
        <x:v>0</x:v>
      </x:c>
      <x:c r="FJ75" s="920" t="str">
        <x:f t="shared" si="177"/>
        <x:v/>
      </x:c>
      <x:c r="FK75" s="919" t="str">
        <x:f t="shared" si="178"/>
        <x:v/>
      </x:c>
      <x:c r="FL75" s="320" t="e">
        <x:f t="shared" si="179"/>
        <x:v>#N/A</x:v>
      </x:c>
      <x:c r="FM75" s="312" t="str">
        <x:f t="shared" si="164"/>
        <x:v/>
      </x:c>
      <x:c r="FN75" s="272" t="str">
        <x:f t="shared" ca="1" si="180"/>
        <x:v/>
      </x:c>
      <x:c r="FO75" s="273" t="str">
        <x:f t="shared" ca="1" si="181"/>
        <x:v/>
      </x:c>
      <x:c r="FP75" s="274" t="str">
        <x:f t="shared" ca="1" si="182"/>
        <x:v/>
      </x:c>
      <x:c r="FQ75" s="274" t="str">
        <x:f t="shared" ca="1" si="183"/>
        <x:v/>
      </x:c>
      <x:c r="FR75" s="321">
        <x:f t="shared" ca="1" si="184"/>
        <x:v>0</x:v>
      </x:c>
      <x:c r="FS75" s="322">
        <x:f t="shared" ca="1" si="185"/>
        <x:v>0</x:v>
      </x:c>
      <x:c r="FT75" s="272" t="str">
        <x:f t="shared" ca="1" si="186"/>
        <x:v/>
      </x:c>
      <x:c r="FU75" s="275" t="str">
        <x:f t="shared" ca="1" si="187"/>
        <x:v/>
      </x:c>
      <x:c r="FV75" s="323" t="str">
        <x:f t="shared" ca="1" si="165"/>
        <x:v/>
      </x:c>
      <x:c r="FW75" s="276" t="str">
        <x:f t="shared" ca="1" si="188"/>
        <x:v/>
      </x:c>
      <x:c r="FX75" s="276" t="str">
        <x:f t="shared" ca="1" si="189"/>
        <x:v/>
      </x:c>
      <x:c r="FY75" s="276" t="str">
        <x:f t="shared" ca="1" si="190"/>
        <x:v/>
      </x:c>
      <x:c r="FZ75" s="276" t="str">
        <x:f t="shared" ca="1" si="191"/>
        <x:v/>
      </x:c>
      <x:c r="GA75" s="276" t="str">
        <x:f t="shared" ca="1" si="192"/>
        <x:v/>
      </x:c>
      <x:c r="GB75" s="277" t="str">
        <x:f ca="1">IF(FY75="","",2+SUM(FO75:OFFSET(FO75,(FU75-1)*-1,0)))</x:f>
        <x:v/>
      </x:c>
      <x:c r="GC75" s="316" t="e">
        <x:f t="shared" si="193"/>
        <x:v>#N/A</x:v>
      </x:c>
      <x:c r="GD75" s="324" t="str">
        <x:f t="shared" si="166"/>
        <x:v/>
      </x:c>
      <x:c r="GE75" s="325" t="str">
        <x:f t="shared" si="167"/>
        <x:v/>
      </x:c>
      <x:c r="GF75" s="278" t="str">
        <x:f t="shared" si="168"/>
        <x:v/>
      </x:c>
      <x:c r="GG75" s="279" t="str">
        <x:f t="shared" si="169"/>
        <x:v/>
      </x:c>
      <x:c r="GH75" s="279" t="str">
        <x:f t="shared" si="170"/>
        <x:v/>
      </x:c>
      <x:c r="GI75" s="280" t="str">
        <x:f t="shared" si="171"/>
        <x:v/>
      </x:c>
      <x:c r="GJ75" s="530">
        <x:f t="shared" ca="1" si="172"/>
        <x:v>0</x:v>
      </x:c>
      <x:c r="GK75" s="895" t="str">
        <x:f t="shared" ca="1" si="194"/>
        <x:v/>
      </x:c>
    </x:row>
    <x:row r="76" spans="78:193" ht="12.6" hidden="1" customHeight="1" x14ac:dyDescent="0.2">
      <x:c r="BZ76" s="293"/>
      <x:c r="CA76" s="293"/>
      <x:c r="CB76" s="365" t="str">
        <x:f t="shared" si="100"/>
        <x:v/>
      </x:c>
      <x:c r="CC76" s="366" t="str">
        <x:f>IF(CG36="","",VLOOKUP(CG36,SectInfo!$B:$N,12,FALSE))</x:f>
        <x:v/>
      </x:c>
      <x:c r="CD76" s="1305" t="str">
        <x:f>IF(ISBLANK(CN36),IF(CG36="","",VLOOKUP(CG36,SectInfo!$B:$N,13,FALSE)),CN36)</x:f>
        <x:v/>
      </x:c>
      <x:c r="CE76" s="1305" t="str">
        <x:f>IF(CG36="","",IF(VLOOKUP(CG36,SectInfo!$B:$N,5,FALSE)="","R",UPPER(VLOOKUP(CG36,SectInfo!$B:$N,5,FALSE))))</x:f>
        <x:v/>
      </x:c>
      <x:c r="CF76" s="1305" t="str">
        <x:f>IF(ISBLANK(CP36),IF(CG36="","",VLOOKUP(CG36,SectInfo!$B:$N,6,FALSE)),CP36)</x:f>
        <x:v/>
      </x:c>
      <x:c r="CG76" s="1305" t="str">
        <x:f>IF(CG36="","",IF(VLOOKUP(CG36,SectInfo!$B:$N,10,FALSE)="","",(VLOOKUP(CG36,SectInfo!$B:$N,10,FALSE)*-1)))</x:f>
        <x:v/>
      </x:c>
      <x:c r="CH76" s="1305" t="str">
        <x:f>IF(CG36="","",IF(VLOOKUP(CG36,SectInfo!$B:$N,7,FALSE)="","",(VLOOKUP(CG36,SectInfo!$B:$N,7,FALSE)*-1)))</x:f>
        <x:v/>
      </x:c>
      <x:c r="CI76" s="1305" t="str">
        <x:f>IF(CG36="","",IF(VLOOKUP(CG36,SectInfo!$B:$N,8,FALSE)="",$FC$4,(VLOOKUP(CG36,SectInfo!$B:$N,8,FALSE))))</x:f>
        <x:v/>
      </x:c>
      <x:c r="CJ76" s="1305" t="str">
        <x:f>IF(CG36="","",VLOOKUP(CG36,SectInfo!$B:$N,9,FALSE))</x:f>
        <x:v/>
      </x:c>
      <x:c r="CK76" s="1306">
        <x:f t="shared" si="101"/>
        <x:v>0</x:v>
      </x:c>
      <x:c r="CL76" s="1304" t="str">
        <x:f>IF(CQ36="","",VLOOKUP(CQ36,SectInfo!$B:$N,12,FALSE))</x:f>
        <x:v/>
      </x:c>
      <x:c r="CM76" s="1305" t="str">
        <x:f>IF(ISBLANK(CX36),IF(CQ36="","",VLOOKUP(CQ36,SectInfo!$B:$N,13,FALSE)),CX36)</x:f>
        <x:v/>
      </x:c>
      <x:c r="CN76" s="1305" t="str">
        <x:f>IF(CQ36="","",IF(VLOOKUP(CQ36,SectInfo!$B:$N,5,FALSE)="","R",UPPER(VLOOKUP(CQ36,SectInfo!$B:$N,5,FALSE))))</x:f>
        <x:v/>
      </x:c>
      <x:c r="CO76" s="1305" t="str">
        <x:f>IF(ISBLANK(CZ36),IF(CQ36="","",VLOOKUP(CQ36,SectInfo!$B:$N,6,FALSE)),CZ36)</x:f>
        <x:v/>
      </x:c>
      <x:c r="CP76" s="1305" t="str">
        <x:f>IF(CQ36="","",IF(VLOOKUP(CQ36,SectInfo!$B:$N,10,FALSE)="","",(VLOOKUP(CQ36,SectInfo!$B:$N,10,FALSE)*-1)))</x:f>
        <x:v/>
      </x:c>
      <x:c r="CQ76" s="1305" t="str">
        <x:f>IF(CQ36="","",IF(VLOOKUP(CQ36,SectInfo!$B:$N,7,FALSE)="","",(VLOOKUP(CQ36,SectInfo!$B:$N,7,FALSE)*-1)))</x:f>
        <x:v/>
      </x:c>
      <x:c r="CR76" s="1305" t="str">
        <x:f>IF(CQ36="","",IF(VLOOKUP(CQ36,SectInfo!$B:$N,8,FALSE)="",$FC$4,(VLOOKUP(CQ36,SectInfo!$B:$N,8,FALSE))))</x:f>
        <x:v/>
      </x:c>
      <x:c r="CS76" s="1305" t="str">
        <x:f>IF(CQ36="","",VLOOKUP(CQ36,SectInfo!$B:$N,9,FALSE))</x:f>
        <x:v/>
      </x:c>
      <x:c r="CT76" s="1306">
        <x:f t="shared" si="102"/>
        <x:v>0</x:v>
      </x:c>
      <x:c r="CU76" s="1316">
        <x:f t="shared" si="103"/>
        <x:v>0</x:v>
      </x:c>
      <x:c r="CV76" s="1310" t="str">
        <x:f t="shared" si="104"/>
        <x:v/>
      </x:c>
      <x:c r="CW76" s="1310" t="str">
        <x:f t="shared" si="105"/>
        <x:v/>
      </x:c>
      <x:c r="CX76" s="1310" t="str">
        <x:f t="shared" si="106"/>
        <x:v/>
      </x:c>
      <x:c r="CY76" s="1312">
        <x:f t="shared" si="107"/>
        <x:v>0</x:v>
      </x:c>
      <x:c r="CZ76" s="1312">
        <x:f t="shared" si="108"/>
        <x:v>0</x:v>
      </x:c>
      <x:c r="DA76" s="1312" t="str">
        <x:f t="shared" si="109"/>
        <x:v/>
      </x:c>
      <x:c r="DB76" s="1310" t="str">
        <x:f t="shared" si="173"/>
        <x:v/>
      </x:c>
      <x:c r="DC76" s="1310" t="str">
        <x:f t="shared" si="110"/>
        <x:v/>
      </x:c>
      <x:c r="DD76" s="875">
        <x:f t="shared" si="174"/>
        <x:v>0</x:v>
      </x:c>
      <x:c r="DE76" s="873">
        <x:f t="shared" si="111"/>
        <x:v>0</x:v>
      </x:c>
      <x:c r="DF76" s="874">
        <x:f t="shared" si="112"/>
        <x:v>0</x:v>
      </x:c>
      <x:c r="DG76" s="874" t="str">
        <x:f t="shared" si="113"/>
        <x:v/>
      </x:c>
      <x:c r="DH76" s="1310" t="str">
        <x:f t="shared" si="175"/>
        <x:v/>
      </x:c>
      <x:c r="DI76" s="1310" t="str">
        <x:f t="shared" si="114"/>
        <x:v/>
      </x:c>
      <x:c r="DJ76" s="1311">
        <x:f t="shared" si="176"/>
        <x:v>0</x:v>
      </x:c>
      <x:c r="DK76" s="1310" t="str">
        <x:f t="shared" si="115"/>
        <x:v/>
      </x:c>
      <x:c r="DL76" s="1310" t="str">
        <x:f t="shared" si="116"/>
        <x:v/>
      </x:c>
      <x:c r="DM76" s="1310" t="str">
        <x:f t="shared" si="117"/>
        <x:v/>
      </x:c>
      <x:c r="DN76" s="1310" t="str">
        <x:f t="shared" si="118"/>
        <x:v/>
      </x:c>
      <x:c r="DO76" s="889" t="str">
        <x:f t="shared" si="119"/>
        <x:v>ERR</x:v>
      </x:c>
      <x:c r="DP76" s="889" t="str">
        <x:f t="shared" si="120"/>
        <x:v>ERR</x:v>
      </x:c>
      <x:c r="DQ76" s="1310" t="str">
        <x:f t="shared" si="121"/>
        <x:v/>
      </x:c>
      <x:c r="DR76" s="1310" t="str">
        <x:f t="shared" si="121"/>
        <x:v/>
      </x:c>
      <x:c r="DS76" s="1310" t="str">
        <x:f t="shared" si="122"/>
        <x:v/>
      </x:c>
      <x:c r="DT76" s="1310" t="str">
        <x:f t="shared" si="123"/>
        <x:v/>
      </x:c>
      <x:c r="DU76" s="1310" t="str">
        <x:f t="shared" si="124"/>
        <x:v/>
      </x:c>
      <x:c r="DV76" s="889" t="str">
        <x:f t="shared" si="125"/>
        <x:v>ERR</x:v>
      </x:c>
      <x:c r="DW76" s="889" t="str">
        <x:f t="shared" si="126"/>
        <x:v>ERR</x:v>
      </x:c>
      <x:c r="DX76" s="873" t="str">
        <x:f t="shared" si="195"/>
        <x:v/>
      </x:c>
      <x:c r="DY76" s="873" t="str">
        <x:f t="shared" si="195"/>
        <x:v/>
      </x:c>
      <x:c r="DZ76" s="873" t="str">
        <x:f t="shared" si="128"/>
        <x:v/>
      </x:c>
      <x:c r="EA76" s="873" t="str">
        <x:f t="shared" si="129"/>
        <x:v/>
      </x:c>
      <x:c r="EB76" s="876" t="str">
        <x:f t="shared" si="130"/>
        <x:v/>
      </x:c>
      <x:c r="EC76" s="877" t="str">
        <x:f t="shared" si="131"/>
        <x:v/>
      </x:c>
      <x:c r="ED76" s="876" t="str">
        <x:f t="shared" si="132"/>
        <x:v/>
      </x:c>
      <x:c r="EE76" s="876" t="str">
        <x:f t="shared" si="133"/>
        <x:v/>
      </x:c>
      <x:c r="EF76" s="876" t="str">
        <x:f t="shared" si="134"/>
        <x:v/>
      </x:c>
      <x:c r="EG76" s="876" t="str">
        <x:f t="shared" si="135"/>
        <x:v/>
      </x:c>
      <x:c r="EH76" s="876" t="str">
        <x:f t="shared" si="136"/>
        <x:v/>
      </x:c>
      <x:c r="EI76" s="876" t="str">
        <x:f t="shared" si="137"/>
        <x:v/>
      </x:c>
      <x:c r="EJ76" s="876" t="str">
        <x:f t="shared" si="138"/>
        <x:v/>
      </x:c>
      <x:c r="EK76" s="874">
        <x:f t="shared" si="139"/>
        <x:v>0</x:v>
      </x:c>
      <x:c r="EL76" s="874">
        <x:f t="shared" si="140"/>
        <x:v>0</x:v>
      </x:c>
      <x:c r="EM76" s="874">
        <x:f t="shared" si="141"/>
        <x:v>0</x:v>
      </x:c>
      <x:c r="EN76" s="874" t="str">
        <x:f t="shared" si="142"/>
        <x:v/>
      </x:c>
      <x:c r="EO76" s="873" t="str">
        <x:f t="shared" si="143"/>
        <x:v/>
      </x:c>
      <x:c r="EP76" s="874">
        <x:f t="shared" si="144"/>
        <x:v>0</x:v>
      </x:c>
      <x:c r="EQ76" s="874">
        <x:f t="shared" si="145"/>
        <x:v>0</x:v>
      </x:c>
      <x:c r="ER76" s="874">
        <x:f t="shared" si="146"/>
        <x:v>0</x:v>
      </x:c>
      <x:c r="ES76" s="874" t="str">
        <x:f t="shared" si="147"/>
        <x:v/>
      </x:c>
      <x:c r="ET76" s="873" t="str">
        <x:f t="shared" si="148"/>
        <x:v/>
      </x:c>
      <x:c r="EU76" s="873">
        <x:f t="shared" si="149"/>
        <x:v>0</x:v>
      </x:c>
      <x:c r="EV76" s="876" t="e">
        <x:f t="shared" si="150"/>
        <x:v>#VALUE!</x:v>
      </x:c>
      <x:c r="EW76" s="876" t="e">
        <x:f t="shared" si="151"/>
        <x:v>#VALUE!</x:v>
      </x:c>
      <x:c r="EX76" s="878" t="str">
        <x:f t="shared" si="152"/>
        <x:v/>
      </x:c>
      <x:c r="EY76" s="879" t="e">
        <x:f t="shared" si="153"/>
        <x:v>#DIV/0!</x:v>
      </x:c>
      <x:c r="EZ76" s="959" t="e">
        <x:f t="shared" si="154"/>
        <x:v>#DIV/0!</x:v>
      </x:c>
      <x:c r="FA76" s="960" t="e">
        <x:f t="shared" si="155"/>
        <x:v>#DIV/0!</x:v>
      </x:c>
      <x:c r="FB76" s="880" t="str">
        <x:f t="shared" si="156"/>
        <x:v/>
      </x:c>
      <x:c r="FC76" s="881" t="str">
        <x:f t="shared" si="157"/>
        <x:v/>
      </x:c>
      <x:c r="FD76" s="890">
        <x:f t="shared" si="158"/>
        <x:v>0</x:v>
      </x:c>
      <x:c r="FE76" s="833">
        <x:f t="shared" si="159"/>
        <x:v>0</x:v>
      </x:c>
      <x:c r="FF76" s="754" t="b">
        <x:f t="shared" si="160"/>
        <x:v>0</x:v>
      </x:c>
      <x:c r="FG76" s="754" t="b">
        <x:f t="shared" si="161"/>
        <x:v>0</x:v>
      </x:c>
      <x:c r="FH76" s="754" t="b">
        <x:f t="shared" si="162"/>
        <x:v>0</x:v>
      </x:c>
      <x:c r="FI76" s="754" t="b">
        <x:f t="shared" si="163"/>
        <x:v>0</x:v>
      </x:c>
      <x:c r="FJ76" s="920" t="str">
        <x:f t="shared" si="177"/>
        <x:v/>
      </x:c>
      <x:c r="FK76" s="919" t="str">
        <x:f t="shared" si="178"/>
        <x:v/>
      </x:c>
      <x:c r="FL76" s="320" t="e">
        <x:f t="shared" si="179"/>
        <x:v>#N/A</x:v>
      </x:c>
      <x:c r="FM76" s="312" t="str">
        <x:f t="shared" si="164"/>
        <x:v/>
      </x:c>
      <x:c r="FN76" s="272" t="str">
        <x:f t="shared" ca="1" si="180"/>
        <x:v/>
      </x:c>
      <x:c r="FO76" s="273" t="str">
        <x:f t="shared" ca="1" si="181"/>
        <x:v/>
      </x:c>
      <x:c r="FP76" s="274" t="str">
        <x:f t="shared" ca="1" si="182"/>
        <x:v/>
      </x:c>
      <x:c r="FQ76" s="274" t="str">
        <x:f t="shared" ca="1" si="183"/>
        <x:v/>
      </x:c>
      <x:c r="FR76" s="321">
        <x:f t="shared" ca="1" si="184"/>
        <x:v>0</x:v>
      </x:c>
      <x:c r="FS76" s="322">
        <x:f t="shared" ca="1" si="185"/>
        <x:v>0</x:v>
      </x:c>
      <x:c r="FT76" s="272" t="str">
        <x:f t="shared" ca="1" si="186"/>
        <x:v/>
      </x:c>
      <x:c r="FU76" s="275" t="str">
        <x:f t="shared" ca="1" si="187"/>
        <x:v/>
      </x:c>
      <x:c r="FV76" s="323" t="str">
        <x:f t="shared" ca="1" si="165"/>
        <x:v/>
      </x:c>
      <x:c r="FW76" s="276" t="str">
        <x:f t="shared" ca="1" si="188"/>
        <x:v/>
      </x:c>
      <x:c r="FX76" s="276" t="str">
        <x:f t="shared" ca="1" si="189"/>
        <x:v/>
      </x:c>
      <x:c r="FY76" s="276" t="str">
        <x:f t="shared" ca="1" si="190"/>
        <x:v/>
      </x:c>
      <x:c r="FZ76" s="276" t="str">
        <x:f t="shared" ca="1" si="191"/>
        <x:v/>
      </x:c>
      <x:c r="GA76" s="276" t="str">
        <x:f t="shared" ca="1" si="192"/>
        <x:v/>
      </x:c>
      <x:c r="GB76" s="277" t="str">
        <x:f ca="1">IF(FY76="","",2+SUM(FO76:OFFSET(FO76,(FU76-1)*-1,0)))</x:f>
        <x:v/>
      </x:c>
      <x:c r="GC76" s="316" t="e">
        <x:f t="shared" si="193"/>
        <x:v>#N/A</x:v>
      </x:c>
      <x:c r="GD76" s="324" t="str">
        <x:f t="shared" si="166"/>
        <x:v/>
      </x:c>
      <x:c r="GE76" s="325" t="str">
        <x:f t="shared" si="167"/>
        <x:v/>
      </x:c>
      <x:c r="GF76" s="278" t="str">
        <x:f t="shared" si="168"/>
        <x:v/>
      </x:c>
      <x:c r="GG76" s="279" t="str">
        <x:f t="shared" si="169"/>
        <x:v/>
      </x:c>
      <x:c r="GH76" s="279" t="str">
        <x:f t="shared" si="170"/>
        <x:v/>
      </x:c>
      <x:c r="GI76" s="280" t="str">
        <x:f t="shared" si="171"/>
        <x:v/>
      </x:c>
      <x:c r="GJ76" s="530">
        <x:f t="shared" ca="1" si="172"/>
        <x:v>0</x:v>
      </x:c>
      <x:c r="GK76" s="895" t="str">
        <x:f t="shared" ca="1" si="194"/>
        <x:v/>
      </x:c>
    </x:row>
    <x:row r="77" spans="78:193" ht="12.6" hidden="1" customHeight="1" x14ac:dyDescent="0.2">
      <x:c r="BZ77" s="293"/>
      <x:c r="CA77" s="293"/>
      <x:c r="CB77" s="365" t="str">
        <x:f t="shared" si="100"/>
        <x:v/>
      </x:c>
      <x:c r="CC77" s="366" t="str">
        <x:f>IF(CG37="","",VLOOKUP(CG37,SectInfo!$B:$N,12,FALSE))</x:f>
        <x:v/>
      </x:c>
      <x:c r="CD77" s="1305" t="str">
        <x:f>IF(ISBLANK(CN37),IF(CG37="","",VLOOKUP(CG37,SectInfo!$B:$N,13,FALSE)),CN37)</x:f>
        <x:v/>
      </x:c>
      <x:c r="CE77" s="1305" t="str">
        <x:f>IF(CG37="","",IF(VLOOKUP(CG37,SectInfo!$B:$N,5,FALSE)="","R",UPPER(VLOOKUP(CG37,SectInfo!$B:$N,5,FALSE))))</x:f>
        <x:v/>
      </x:c>
      <x:c r="CF77" s="1305" t="str">
        <x:f>IF(ISBLANK(CP37),IF(CG37="","",VLOOKUP(CG37,SectInfo!$B:$N,6,FALSE)),CP37)</x:f>
        <x:v/>
      </x:c>
      <x:c r="CG77" s="1305" t="str">
        <x:f>IF(CG37="","",IF(VLOOKUP(CG37,SectInfo!$B:$N,10,FALSE)="","",(VLOOKUP(CG37,SectInfo!$B:$N,10,FALSE)*-1)))</x:f>
        <x:v/>
      </x:c>
      <x:c r="CH77" s="1305" t="str">
        <x:f>IF(CG37="","",IF(VLOOKUP(CG37,SectInfo!$B:$N,7,FALSE)="","",(VLOOKUP(CG37,SectInfo!$B:$N,7,FALSE)*-1)))</x:f>
        <x:v/>
      </x:c>
      <x:c r="CI77" s="1305" t="str">
        <x:f>IF(CG37="","",IF(VLOOKUP(CG37,SectInfo!$B:$N,8,FALSE)="",$FC$4,(VLOOKUP(CG37,SectInfo!$B:$N,8,FALSE))))</x:f>
        <x:v/>
      </x:c>
      <x:c r="CJ77" s="1305" t="str">
        <x:f>IF(CG37="","",VLOOKUP(CG37,SectInfo!$B:$N,9,FALSE))</x:f>
        <x:v/>
      </x:c>
      <x:c r="CK77" s="1306">
        <x:f t="shared" si="101"/>
        <x:v>0</x:v>
      </x:c>
      <x:c r="CL77" s="1304" t="str">
        <x:f>IF(CQ37="","",VLOOKUP(CQ37,SectInfo!$B:$N,12,FALSE))</x:f>
        <x:v/>
      </x:c>
      <x:c r="CM77" s="1305" t="str">
        <x:f>IF(ISBLANK(CX37),IF(CQ37="","",VLOOKUP(CQ37,SectInfo!$B:$N,13,FALSE)),CX37)</x:f>
        <x:v/>
      </x:c>
      <x:c r="CN77" s="1305" t="str">
        <x:f>IF(CQ37="","",IF(VLOOKUP(CQ37,SectInfo!$B:$N,5,FALSE)="","R",UPPER(VLOOKUP(CQ37,SectInfo!$B:$N,5,FALSE))))</x:f>
        <x:v/>
      </x:c>
      <x:c r="CO77" s="1305" t="str">
        <x:f>IF(ISBLANK(CZ37),IF(CQ37="","",VLOOKUP(CQ37,SectInfo!$B:$N,6,FALSE)),CZ37)</x:f>
        <x:v/>
      </x:c>
      <x:c r="CP77" s="1305" t="str">
        <x:f>IF(CQ37="","",IF(VLOOKUP(CQ37,SectInfo!$B:$N,10,FALSE)="","",(VLOOKUP(CQ37,SectInfo!$B:$N,10,FALSE)*-1)))</x:f>
        <x:v/>
      </x:c>
      <x:c r="CQ77" s="1305" t="str">
        <x:f>IF(CQ37="","",IF(VLOOKUP(CQ37,SectInfo!$B:$N,7,FALSE)="","",(VLOOKUP(CQ37,SectInfo!$B:$N,7,FALSE)*-1)))</x:f>
        <x:v/>
      </x:c>
      <x:c r="CR77" s="1305" t="str">
        <x:f>IF(CQ37="","",IF(VLOOKUP(CQ37,SectInfo!$B:$N,8,FALSE)="",$FC$4,(VLOOKUP(CQ37,SectInfo!$B:$N,8,FALSE))))</x:f>
        <x:v/>
      </x:c>
      <x:c r="CS77" s="1305" t="str">
        <x:f>IF(CQ37="","",VLOOKUP(CQ37,SectInfo!$B:$N,9,FALSE))</x:f>
        <x:v/>
      </x:c>
      <x:c r="CT77" s="1306">
        <x:f t="shared" si="102"/>
        <x:v>0</x:v>
      </x:c>
      <x:c r="CU77" s="1316">
        <x:f t="shared" si="103"/>
        <x:v>0</x:v>
      </x:c>
      <x:c r="CV77" s="1310" t="str">
        <x:f t="shared" si="104"/>
        <x:v/>
      </x:c>
      <x:c r="CW77" s="1310" t="str">
        <x:f t="shared" si="105"/>
        <x:v/>
      </x:c>
      <x:c r="CX77" s="1310" t="str">
        <x:f t="shared" si="106"/>
        <x:v/>
      </x:c>
      <x:c r="CY77" s="1312">
        <x:f t="shared" si="107"/>
        <x:v>0</x:v>
      </x:c>
      <x:c r="CZ77" s="1312">
        <x:f t="shared" si="108"/>
        <x:v>0</x:v>
      </x:c>
      <x:c r="DA77" s="1312" t="str">
        <x:f t="shared" si="109"/>
        <x:v/>
      </x:c>
      <x:c r="DB77" s="1310" t="str">
        <x:f t="shared" si="173"/>
        <x:v/>
      </x:c>
      <x:c r="DC77" s="1310" t="str">
        <x:f t="shared" si="110"/>
        <x:v/>
      </x:c>
      <x:c r="DD77" s="875">
        <x:f t="shared" si="174"/>
        <x:v>0</x:v>
      </x:c>
      <x:c r="DE77" s="873">
        <x:f t="shared" si="111"/>
        <x:v>0</x:v>
      </x:c>
      <x:c r="DF77" s="874">
        <x:f t="shared" si="112"/>
        <x:v>0</x:v>
      </x:c>
      <x:c r="DG77" s="874" t="str">
        <x:f t="shared" si="113"/>
        <x:v/>
      </x:c>
      <x:c r="DH77" s="1310" t="str">
        <x:f t="shared" si="175"/>
        <x:v/>
      </x:c>
      <x:c r="DI77" s="1310" t="str">
        <x:f t="shared" si="114"/>
        <x:v/>
      </x:c>
      <x:c r="DJ77" s="1311">
        <x:f t="shared" si="176"/>
        <x:v>0</x:v>
      </x:c>
      <x:c r="DK77" s="1310" t="str">
        <x:f t="shared" si="115"/>
        <x:v/>
      </x:c>
      <x:c r="DL77" s="1310" t="str">
        <x:f t="shared" si="116"/>
        <x:v/>
      </x:c>
      <x:c r="DM77" s="1310" t="str">
        <x:f t="shared" si="117"/>
        <x:v/>
      </x:c>
      <x:c r="DN77" s="1310" t="str">
        <x:f t="shared" si="118"/>
        <x:v/>
      </x:c>
      <x:c r="DO77" s="889" t="str">
        <x:f t="shared" si="119"/>
        <x:v>ERR</x:v>
      </x:c>
      <x:c r="DP77" s="889" t="str">
        <x:f t="shared" si="120"/>
        <x:v>ERR</x:v>
      </x:c>
      <x:c r="DQ77" s="1310" t="str">
        <x:f t="shared" si="121"/>
        <x:v/>
      </x:c>
      <x:c r="DR77" s="1310" t="str">
        <x:f t="shared" si="121"/>
        <x:v/>
      </x:c>
      <x:c r="DS77" s="1310" t="str">
        <x:f t="shared" si="122"/>
        <x:v/>
      </x:c>
      <x:c r="DT77" s="1310" t="str">
        <x:f t="shared" si="123"/>
        <x:v/>
      </x:c>
      <x:c r="DU77" s="1310" t="str">
        <x:f t="shared" si="124"/>
        <x:v/>
      </x:c>
      <x:c r="DV77" s="889" t="str">
        <x:f t="shared" si="125"/>
        <x:v>ERR</x:v>
      </x:c>
      <x:c r="DW77" s="889" t="str">
        <x:f t="shared" si="126"/>
        <x:v>ERR</x:v>
      </x:c>
      <x:c r="DX77" s="873" t="str">
        <x:f t="shared" si="195"/>
        <x:v/>
      </x:c>
      <x:c r="DY77" s="873" t="str">
        <x:f t="shared" si="195"/>
        <x:v/>
      </x:c>
      <x:c r="DZ77" s="873" t="str">
        <x:f t="shared" si="128"/>
        <x:v/>
      </x:c>
      <x:c r="EA77" s="873" t="str">
        <x:f t="shared" si="129"/>
        <x:v/>
      </x:c>
      <x:c r="EB77" s="876" t="str">
        <x:f t="shared" si="130"/>
        <x:v/>
      </x:c>
      <x:c r="EC77" s="877" t="str">
        <x:f t="shared" si="131"/>
        <x:v/>
      </x:c>
      <x:c r="ED77" s="876" t="str">
        <x:f t="shared" si="132"/>
        <x:v/>
      </x:c>
      <x:c r="EE77" s="876" t="str">
        <x:f t="shared" si="133"/>
        <x:v/>
      </x:c>
      <x:c r="EF77" s="876" t="str">
        <x:f t="shared" si="134"/>
        <x:v/>
      </x:c>
      <x:c r="EG77" s="876" t="str">
        <x:f t="shared" si="135"/>
        <x:v/>
      </x:c>
      <x:c r="EH77" s="876" t="str">
        <x:f t="shared" si="136"/>
        <x:v/>
      </x:c>
      <x:c r="EI77" s="876" t="str">
        <x:f t="shared" si="137"/>
        <x:v/>
      </x:c>
      <x:c r="EJ77" s="876" t="str">
        <x:f t="shared" si="138"/>
        <x:v/>
      </x:c>
      <x:c r="EK77" s="874">
        <x:f t="shared" si="139"/>
        <x:v>0</x:v>
      </x:c>
      <x:c r="EL77" s="874">
        <x:f t="shared" si="140"/>
        <x:v>0</x:v>
      </x:c>
      <x:c r="EM77" s="874">
        <x:f t="shared" si="141"/>
        <x:v>0</x:v>
      </x:c>
      <x:c r="EN77" s="874" t="str">
        <x:f t="shared" si="142"/>
        <x:v/>
      </x:c>
      <x:c r="EO77" s="873" t="str">
        <x:f t="shared" si="143"/>
        <x:v/>
      </x:c>
      <x:c r="EP77" s="874">
        <x:f t="shared" si="144"/>
        <x:v>0</x:v>
      </x:c>
      <x:c r="EQ77" s="874">
        <x:f t="shared" si="145"/>
        <x:v>0</x:v>
      </x:c>
      <x:c r="ER77" s="874">
        <x:f t="shared" si="146"/>
        <x:v>0</x:v>
      </x:c>
      <x:c r="ES77" s="874" t="str">
        <x:f t="shared" si="147"/>
        <x:v/>
      </x:c>
      <x:c r="ET77" s="873" t="str">
        <x:f t="shared" si="148"/>
        <x:v/>
      </x:c>
      <x:c r="EU77" s="873">
        <x:f t="shared" si="149"/>
        <x:v>0</x:v>
      </x:c>
      <x:c r="EV77" s="876" t="e">
        <x:f t="shared" si="150"/>
        <x:v>#VALUE!</x:v>
      </x:c>
      <x:c r="EW77" s="876" t="e">
        <x:f t="shared" si="151"/>
        <x:v>#VALUE!</x:v>
      </x:c>
      <x:c r="EX77" s="878" t="str">
        <x:f t="shared" si="152"/>
        <x:v/>
      </x:c>
      <x:c r="EY77" s="879" t="e">
        <x:f t="shared" si="153"/>
        <x:v>#DIV/0!</x:v>
      </x:c>
      <x:c r="EZ77" s="959" t="e">
        <x:f t="shared" si="154"/>
        <x:v>#DIV/0!</x:v>
      </x:c>
      <x:c r="FA77" s="960" t="e">
        <x:f t="shared" si="155"/>
        <x:v>#DIV/0!</x:v>
      </x:c>
      <x:c r="FB77" s="880" t="str">
        <x:f t="shared" si="156"/>
        <x:v/>
      </x:c>
      <x:c r="FC77" s="881" t="str">
        <x:f t="shared" si="157"/>
        <x:v/>
      </x:c>
      <x:c r="FD77" s="890">
        <x:f t="shared" si="158"/>
        <x:v>0</x:v>
      </x:c>
      <x:c r="FE77" s="833">
        <x:f t="shared" si="159"/>
        <x:v>0</x:v>
      </x:c>
      <x:c r="FF77" s="754" t="b">
        <x:f t="shared" si="160"/>
        <x:v>0</x:v>
      </x:c>
      <x:c r="FG77" s="754" t="b">
        <x:f t="shared" si="161"/>
        <x:v>0</x:v>
      </x:c>
      <x:c r="FH77" s="754" t="b">
        <x:f t="shared" si="162"/>
        <x:v>0</x:v>
      </x:c>
      <x:c r="FI77" s="754" t="b">
        <x:f t="shared" si="163"/>
        <x:v>0</x:v>
      </x:c>
      <x:c r="FJ77" s="920" t="str">
        <x:f t="shared" si="177"/>
        <x:v/>
      </x:c>
      <x:c r="FK77" s="919" t="str">
        <x:f t="shared" si="178"/>
        <x:v/>
      </x:c>
      <x:c r="FL77" s="320" t="e">
        <x:f t="shared" si="179"/>
        <x:v>#N/A</x:v>
      </x:c>
      <x:c r="FM77" s="312" t="str">
        <x:f t="shared" si="164"/>
        <x:v/>
      </x:c>
      <x:c r="FN77" s="272" t="str">
        <x:f t="shared" ca="1" si="180"/>
        <x:v/>
      </x:c>
      <x:c r="FO77" s="273" t="str">
        <x:f t="shared" ca="1" si="181"/>
        <x:v/>
      </x:c>
      <x:c r="FP77" s="274" t="str">
        <x:f t="shared" ca="1" si="182"/>
        <x:v/>
      </x:c>
      <x:c r="FQ77" s="274" t="str">
        <x:f t="shared" ca="1" si="183"/>
        <x:v/>
      </x:c>
      <x:c r="FR77" s="321">
        <x:f t="shared" ca="1" si="184"/>
        <x:v>0</x:v>
      </x:c>
      <x:c r="FS77" s="322">
        <x:f t="shared" ca="1" si="185"/>
        <x:v>0</x:v>
      </x:c>
      <x:c r="FT77" s="272" t="str">
        <x:f t="shared" ca="1" si="186"/>
        <x:v/>
      </x:c>
      <x:c r="FU77" s="275" t="str">
        <x:f t="shared" ca="1" si="187"/>
        <x:v/>
      </x:c>
      <x:c r="FV77" s="323" t="str">
        <x:f t="shared" ca="1" si="165"/>
        <x:v/>
      </x:c>
      <x:c r="FW77" s="276" t="str">
        <x:f t="shared" ca="1" si="188"/>
        <x:v/>
      </x:c>
      <x:c r="FX77" s="276" t="str">
        <x:f t="shared" ca="1" si="189"/>
        <x:v/>
      </x:c>
      <x:c r="FY77" s="276" t="str">
        <x:f t="shared" ca="1" si="190"/>
        <x:v/>
      </x:c>
      <x:c r="FZ77" s="276" t="str">
        <x:f t="shared" ca="1" si="191"/>
        <x:v/>
      </x:c>
      <x:c r="GA77" s="276" t="str">
        <x:f t="shared" ca="1" si="192"/>
        <x:v/>
      </x:c>
      <x:c r="GB77" s="277" t="str">
        <x:f ca="1">IF(FY77="","",2+SUM(FO77:OFFSET(FO77,(FU77-1)*-1,0)))</x:f>
        <x:v/>
      </x:c>
      <x:c r="GC77" s="316" t="e">
        <x:f t="shared" si="193"/>
        <x:v>#N/A</x:v>
      </x:c>
      <x:c r="GD77" s="324" t="str">
        <x:f t="shared" si="166"/>
        <x:v/>
      </x:c>
      <x:c r="GE77" s="325" t="str">
        <x:f t="shared" si="167"/>
        <x:v/>
      </x:c>
      <x:c r="GF77" s="278" t="str">
        <x:f t="shared" si="168"/>
        <x:v/>
      </x:c>
      <x:c r="GG77" s="279" t="str">
        <x:f t="shared" si="169"/>
        <x:v/>
      </x:c>
      <x:c r="GH77" s="279" t="str">
        <x:f t="shared" si="170"/>
        <x:v/>
      </x:c>
      <x:c r="GI77" s="280" t="str">
        <x:f t="shared" si="171"/>
        <x:v/>
      </x:c>
      <x:c r="GJ77" s="530">
        <x:f t="shared" ca="1" si="172"/>
        <x:v>0</x:v>
      </x:c>
      <x:c r="GK77" s="895" t="str">
        <x:f t="shared" ca="1" si="194"/>
        <x:v/>
      </x:c>
    </x:row>
    <x:row r="78" spans="78:193" ht="12.6" hidden="1" customHeight="1" x14ac:dyDescent="0.2">
      <x:c r="BZ78" s="293"/>
      <x:c r="CA78" s="293"/>
      <x:c r="CB78" s="365" t="str">
        <x:f t="shared" si="100"/>
        <x:v/>
      </x:c>
      <x:c r="CC78" s="366" t="str">
        <x:f>IF(CG38="","",VLOOKUP(CG38,SectInfo!$B:$N,12,FALSE))</x:f>
        <x:v/>
      </x:c>
      <x:c r="CD78" s="1305" t="str">
        <x:f>IF(ISBLANK(CN38),IF(CG38="","",VLOOKUP(CG38,SectInfo!$B:$N,13,FALSE)),CN38)</x:f>
        <x:v/>
      </x:c>
      <x:c r="CE78" s="1305" t="str">
        <x:f>IF(CG38="","",IF(VLOOKUP(CG38,SectInfo!$B:$N,5,FALSE)="","R",UPPER(VLOOKUP(CG38,SectInfo!$B:$N,5,FALSE))))</x:f>
        <x:v/>
      </x:c>
      <x:c r="CF78" s="1305" t="str">
        <x:f>IF(ISBLANK(CP38),IF(CG38="","",VLOOKUP(CG38,SectInfo!$B:$N,6,FALSE)),CP38)</x:f>
        <x:v/>
      </x:c>
      <x:c r="CG78" s="1305" t="str">
        <x:f>IF(CG38="","",IF(VLOOKUP(CG38,SectInfo!$B:$N,10,FALSE)="","",(VLOOKUP(CG38,SectInfo!$B:$N,10,FALSE)*-1)))</x:f>
        <x:v/>
      </x:c>
      <x:c r="CH78" s="1305" t="str">
        <x:f>IF(CG38="","",IF(VLOOKUP(CG38,SectInfo!$B:$N,7,FALSE)="","",(VLOOKUP(CG38,SectInfo!$B:$N,7,FALSE)*-1)))</x:f>
        <x:v/>
      </x:c>
      <x:c r="CI78" s="1305" t="str">
        <x:f>IF(CG38="","",IF(VLOOKUP(CG38,SectInfo!$B:$N,8,FALSE)="",$FC$4,(VLOOKUP(CG38,SectInfo!$B:$N,8,FALSE))))</x:f>
        <x:v/>
      </x:c>
      <x:c r="CJ78" s="1305" t="str">
        <x:f>IF(CG38="","",VLOOKUP(CG38,SectInfo!$B:$N,9,FALSE))</x:f>
        <x:v/>
      </x:c>
      <x:c r="CK78" s="1306">
        <x:f t="shared" si="101"/>
        <x:v>0</x:v>
      </x:c>
      <x:c r="CL78" s="1304" t="str">
        <x:f>IF(CQ38="","",VLOOKUP(CQ38,SectInfo!$B:$N,12,FALSE))</x:f>
        <x:v/>
      </x:c>
      <x:c r="CM78" s="1305" t="str">
        <x:f>IF(ISBLANK(CX38),IF(CQ38="","",VLOOKUP(CQ38,SectInfo!$B:$N,13,FALSE)),CX38)</x:f>
        <x:v/>
      </x:c>
      <x:c r="CN78" s="1305" t="str">
        <x:f>IF(CQ38="","",IF(VLOOKUP(CQ38,SectInfo!$B:$N,5,FALSE)="","R",UPPER(VLOOKUP(CQ38,SectInfo!$B:$N,5,FALSE))))</x:f>
        <x:v/>
      </x:c>
      <x:c r="CO78" s="1305" t="str">
        <x:f>IF(ISBLANK(CZ38),IF(CQ38="","",VLOOKUP(CQ38,SectInfo!$B:$N,6,FALSE)),CZ38)</x:f>
        <x:v/>
      </x:c>
      <x:c r="CP78" s="1305" t="str">
        <x:f>IF(CQ38="","",IF(VLOOKUP(CQ38,SectInfo!$B:$N,10,FALSE)="","",(VLOOKUP(CQ38,SectInfo!$B:$N,10,FALSE)*-1)))</x:f>
        <x:v/>
      </x:c>
      <x:c r="CQ78" s="1305" t="str">
        <x:f>IF(CQ38="","",IF(VLOOKUP(CQ38,SectInfo!$B:$N,7,FALSE)="","",(VLOOKUP(CQ38,SectInfo!$B:$N,7,FALSE)*-1)))</x:f>
        <x:v/>
      </x:c>
      <x:c r="CR78" s="1305" t="str">
        <x:f>IF(CQ38="","",IF(VLOOKUP(CQ38,SectInfo!$B:$N,8,FALSE)="",$FC$4,(VLOOKUP(CQ38,SectInfo!$B:$N,8,FALSE))))</x:f>
        <x:v/>
      </x:c>
      <x:c r="CS78" s="1305" t="str">
        <x:f>IF(CQ38="","",VLOOKUP(CQ38,SectInfo!$B:$N,9,FALSE))</x:f>
        <x:v/>
      </x:c>
      <x:c r="CT78" s="1306">
        <x:f t="shared" si="102"/>
        <x:v>0</x:v>
      </x:c>
      <x:c r="CU78" s="1316">
        <x:f t="shared" si="103"/>
        <x:v>0</x:v>
      </x:c>
      <x:c r="CV78" s="1310" t="str">
        <x:f t="shared" si="104"/>
        <x:v/>
      </x:c>
      <x:c r="CW78" s="1310" t="str">
        <x:f t="shared" si="105"/>
        <x:v/>
      </x:c>
      <x:c r="CX78" s="1310" t="str">
        <x:f t="shared" si="106"/>
        <x:v/>
      </x:c>
      <x:c r="CY78" s="1312">
        <x:f t="shared" si="107"/>
        <x:v>0</x:v>
      </x:c>
      <x:c r="CZ78" s="1312">
        <x:f t="shared" si="108"/>
        <x:v>0</x:v>
      </x:c>
      <x:c r="DA78" s="1312" t="str">
        <x:f t="shared" si="109"/>
        <x:v/>
      </x:c>
      <x:c r="DB78" s="1310" t="str">
        <x:f t="shared" si="173"/>
        <x:v/>
      </x:c>
      <x:c r="DC78" s="1310" t="str">
        <x:f t="shared" si="110"/>
        <x:v/>
      </x:c>
      <x:c r="DD78" s="875">
        <x:f t="shared" si="174"/>
        <x:v>0</x:v>
      </x:c>
      <x:c r="DE78" s="873">
        <x:f t="shared" si="111"/>
        <x:v>0</x:v>
      </x:c>
      <x:c r="DF78" s="874">
        <x:f t="shared" si="112"/>
        <x:v>0</x:v>
      </x:c>
      <x:c r="DG78" s="874" t="str">
        <x:f t="shared" si="113"/>
        <x:v/>
      </x:c>
      <x:c r="DH78" s="1310" t="str">
        <x:f t="shared" si="175"/>
        <x:v/>
      </x:c>
      <x:c r="DI78" s="1310" t="str">
        <x:f t="shared" si="114"/>
        <x:v/>
      </x:c>
      <x:c r="DJ78" s="1311">
        <x:f t="shared" si="176"/>
        <x:v>0</x:v>
      </x:c>
      <x:c r="DK78" s="1310" t="str">
        <x:f t="shared" si="115"/>
        <x:v/>
      </x:c>
      <x:c r="DL78" s="1310" t="str">
        <x:f t="shared" si="116"/>
        <x:v/>
      </x:c>
      <x:c r="DM78" s="1310" t="str">
        <x:f t="shared" si="117"/>
        <x:v/>
      </x:c>
      <x:c r="DN78" s="1310" t="str">
        <x:f t="shared" si="118"/>
        <x:v/>
      </x:c>
      <x:c r="DO78" s="889" t="str">
        <x:f t="shared" si="119"/>
        <x:v>ERR</x:v>
      </x:c>
      <x:c r="DP78" s="889" t="str">
        <x:f t="shared" si="120"/>
        <x:v>ERR</x:v>
      </x:c>
      <x:c r="DQ78" s="1310" t="str">
        <x:f t="shared" si="121"/>
        <x:v/>
      </x:c>
      <x:c r="DR78" s="1310" t="str">
        <x:f t="shared" si="121"/>
        <x:v/>
      </x:c>
      <x:c r="DS78" s="1310" t="str">
        <x:f t="shared" si="122"/>
        <x:v/>
      </x:c>
      <x:c r="DT78" s="1310" t="str">
        <x:f t="shared" si="123"/>
        <x:v/>
      </x:c>
      <x:c r="DU78" s="1310" t="str">
        <x:f t="shared" si="124"/>
        <x:v/>
      </x:c>
      <x:c r="DV78" s="889" t="str">
        <x:f t="shared" si="125"/>
        <x:v>ERR</x:v>
      </x:c>
      <x:c r="DW78" s="889" t="str">
        <x:f t="shared" si="126"/>
        <x:v>ERR</x:v>
      </x:c>
      <x:c r="DX78" s="873" t="str">
        <x:f t="shared" si="195"/>
        <x:v/>
      </x:c>
      <x:c r="DY78" s="873" t="str">
        <x:f t="shared" si="195"/>
        <x:v/>
      </x:c>
      <x:c r="DZ78" s="873" t="str">
        <x:f t="shared" si="128"/>
        <x:v/>
      </x:c>
      <x:c r="EA78" s="873" t="str">
        <x:f t="shared" si="129"/>
        <x:v/>
      </x:c>
      <x:c r="EB78" s="876" t="str">
        <x:f t="shared" si="130"/>
        <x:v/>
      </x:c>
      <x:c r="EC78" s="877" t="str">
        <x:f t="shared" si="131"/>
        <x:v/>
      </x:c>
      <x:c r="ED78" s="876" t="str">
        <x:f t="shared" si="132"/>
        <x:v/>
      </x:c>
      <x:c r="EE78" s="876" t="str">
        <x:f t="shared" si="133"/>
        <x:v/>
      </x:c>
      <x:c r="EF78" s="876" t="str">
        <x:f t="shared" si="134"/>
        <x:v/>
      </x:c>
      <x:c r="EG78" s="876" t="str">
        <x:f t="shared" si="135"/>
        <x:v/>
      </x:c>
      <x:c r="EH78" s="876" t="str">
        <x:f t="shared" si="136"/>
        <x:v/>
      </x:c>
      <x:c r="EI78" s="876" t="str">
        <x:f t="shared" si="137"/>
        <x:v/>
      </x:c>
      <x:c r="EJ78" s="876" t="str">
        <x:f t="shared" si="138"/>
        <x:v/>
      </x:c>
      <x:c r="EK78" s="874">
        <x:f t="shared" si="139"/>
        <x:v>0</x:v>
      </x:c>
      <x:c r="EL78" s="874">
        <x:f t="shared" si="140"/>
        <x:v>0</x:v>
      </x:c>
      <x:c r="EM78" s="874">
        <x:f t="shared" si="141"/>
        <x:v>0</x:v>
      </x:c>
      <x:c r="EN78" s="874" t="str">
        <x:f t="shared" si="142"/>
        <x:v/>
      </x:c>
      <x:c r="EO78" s="873" t="str">
        <x:f t="shared" si="143"/>
        <x:v/>
      </x:c>
      <x:c r="EP78" s="874">
        <x:f t="shared" si="144"/>
        <x:v>0</x:v>
      </x:c>
      <x:c r="EQ78" s="874">
        <x:f t="shared" si="145"/>
        <x:v>0</x:v>
      </x:c>
      <x:c r="ER78" s="874">
        <x:f t="shared" si="146"/>
        <x:v>0</x:v>
      </x:c>
      <x:c r="ES78" s="874" t="str">
        <x:f t="shared" si="147"/>
        <x:v/>
      </x:c>
      <x:c r="ET78" s="873" t="str">
        <x:f t="shared" si="148"/>
        <x:v/>
      </x:c>
      <x:c r="EU78" s="873">
        <x:f t="shared" si="149"/>
        <x:v>0</x:v>
      </x:c>
      <x:c r="EV78" s="876" t="e">
        <x:f t="shared" si="150"/>
        <x:v>#VALUE!</x:v>
      </x:c>
      <x:c r="EW78" s="876" t="e">
        <x:f t="shared" si="151"/>
        <x:v>#VALUE!</x:v>
      </x:c>
      <x:c r="EX78" s="878" t="str">
        <x:f t="shared" si="152"/>
        <x:v/>
      </x:c>
      <x:c r="EY78" s="879" t="e">
        <x:f t="shared" si="153"/>
        <x:v>#DIV/0!</x:v>
      </x:c>
      <x:c r="EZ78" s="959" t="e">
        <x:f t="shared" si="154"/>
        <x:v>#DIV/0!</x:v>
      </x:c>
      <x:c r="FA78" s="960" t="e">
        <x:f t="shared" si="155"/>
        <x:v>#DIV/0!</x:v>
      </x:c>
      <x:c r="FB78" s="880" t="str">
        <x:f t="shared" si="156"/>
        <x:v/>
      </x:c>
      <x:c r="FC78" s="881" t="str">
        <x:f t="shared" si="157"/>
        <x:v/>
      </x:c>
      <x:c r="FD78" s="890">
        <x:f t="shared" si="158"/>
        <x:v>0</x:v>
      </x:c>
      <x:c r="FE78" s="833">
        <x:f t="shared" si="159"/>
        <x:v>0</x:v>
      </x:c>
      <x:c r="FF78" s="754" t="b">
        <x:f t="shared" si="160"/>
        <x:v>0</x:v>
      </x:c>
      <x:c r="FG78" s="754" t="b">
        <x:f t="shared" si="161"/>
        <x:v>0</x:v>
      </x:c>
      <x:c r="FH78" s="754" t="b">
        <x:f t="shared" si="162"/>
        <x:v>0</x:v>
      </x:c>
      <x:c r="FI78" s="754" t="b">
        <x:f t="shared" si="163"/>
        <x:v>0</x:v>
      </x:c>
      <x:c r="FJ78" s="920" t="str">
        <x:f t="shared" si="177"/>
        <x:v/>
      </x:c>
      <x:c r="FK78" s="919" t="str">
        <x:f t="shared" si="178"/>
        <x:v/>
      </x:c>
      <x:c r="FL78" s="320" t="e">
        <x:f t="shared" si="179"/>
        <x:v>#N/A</x:v>
      </x:c>
      <x:c r="FM78" s="312" t="str">
        <x:f t="shared" si="164"/>
        <x:v/>
      </x:c>
      <x:c r="FN78" s="272" t="str">
        <x:f t="shared" ca="1" si="180"/>
        <x:v/>
      </x:c>
      <x:c r="FO78" s="273" t="str">
        <x:f t="shared" ca="1" si="181"/>
        <x:v/>
      </x:c>
      <x:c r="FP78" s="274" t="str">
        <x:f t="shared" ca="1" si="182"/>
        <x:v/>
      </x:c>
      <x:c r="FQ78" s="274" t="str">
        <x:f t="shared" ca="1" si="183"/>
        <x:v/>
      </x:c>
      <x:c r="FR78" s="321">
        <x:f t="shared" ca="1" si="184"/>
        <x:v>0</x:v>
      </x:c>
      <x:c r="FS78" s="322">
        <x:f t="shared" ca="1" si="185"/>
        <x:v>0</x:v>
      </x:c>
      <x:c r="FT78" s="272" t="str">
        <x:f t="shared" ca="1" si="186"/>
        <x:v/>
      </x:c>
      <x:c r="FU78" s="275" t="str">
        <x:f t="shared" ca="1" si="187"/>
        <x:v/>
      </x:c>
      <x:c r="FV78" s="323" t="str">
        <x:f t="shared" ca="1" si="165"/>
        <x:v/>
      </x:c>
      <x:c r="FW78" s="276" t="str">
        <x:f t="shared" ca="1" si="188"/>
        <x:v/>
      </x:c>
      <x:c r="FX78" s="276" t="str">
        <x:f t="shared" ca="1" si="189"/>
        <x:v/>
      </x:c>
      <x:c r="FY78" s="276" t="str">
        <x:f t="shared" ca="1" si="190"/>
        <x:v/>
      </x:c>
      <x:c r="FZ78" s="276" t="str">
        <x:f t="shared" ca="1" si="191"/>
        <x:v/>
      </x:c>
      <x:c r="GA78" s="276" t="str">
        <x:f t="shared" ca="1" si="192"/>
        <x:v/>
      </x:c>
      <x:c r="GB78" s="277" t="str">
        <x:f ca="1">IF(FY78="","",2+SUM(FO78:OFFSET(FO78,(FU78-1)*-1,0)))</x:f>
        <x:v/>
      </x:c>
      <x:c r="GC78" s="316" t="e">
        <x:f t="shared" si="193"/>
        <x:v>#N/A</x:v>
      </x:c>
      <x:c r="GD78" s="324" t="str">
        <x:f t="shared" si="166"/>
        <x:v/>
      </x:c>
      <x:c r="GE78" s="325" t="str">
        <x:f t="shared" si="167"/>
        <x:v/>
      </x:c>
      <x:c r="GF78" s="278" t="str">
        <x:f t="shared" si="168"/>
        <x:v/>
      </x:c>
      <x:c r="GG78" s="279" t="str">
        <x:f t="shared" si="169"/>
        <x:v/>
      </x:c>
      <x:c r="GH78" s="279" t="str">
        <x:f t="shared" si="170"/>
        <x:v/>
      </x:c>
      <x:c r="GI78" s="280" t="str">
        <x:f t="shared" si="171"/>
        <x:v/>
      </x:c>
      <x:c r="GJ78" s="530">
        <x:f t="shared" ca="1" si="172"/>
        <x:v>0</x:v>
      </x:c>
      <x:c r="GK78" s="895" t="str">
        <x:f t="shared" ca="1" si="194"/>
        <x:v/>
      </x:c>
    </x:row>
    <x:row r="79" spans="78:193" ht="12.6" hidden="1" customHeight="1" x14ac:dyDescent="0.2">
      <x:c r="BZ79" s="293"/>
      <x:c r="CA79" s="293"/>
      <x:c r="CB79" s="365" t="str">
        <x:f t="shared" si="100"/>
        <x:v/>
      </x:c>
      <x:c r="CC79" s="366" t="str">
        <x:f>IF(CG39="","",VLOOKUP(CG39,SectInfo!$B:$N,12,FALSE))</x:f>
        <x:v/>
      </x:c>
      <x:c r="CD79" s="1305" t="str">
        <x:f>IF(ISBLANK(CN39),IF(CG39="","",VLOOKUP(CG39,SectInfo!$B:$N,13,FALSE)),CN39)</x:f>
        <x:v/>
      </x:c>
      <x:c r="CE79" s="1305" t="str">
        <x:f>IF(CG39="","",IF(VLOOKUP(CG39,SectInfo!$B:$N,5,FALSE)="","R",UPPER(VLOOKUP(CG39,SectInfo!$B:$N,5,FALSE))))</x:f>
        <x:v/>
      </x:c>
      <x:c r="CF79" s="1305" t="str">
        <x:f>IF(ISBLANK(CP39),IF(CG39="","",VLOOKUP(CG39,SectInfo!$B:$N,6,FALSE)),CP39)</x:f>
        <x:v/>
      </x:c>
      <x:c r="CG79" s="1305" t="str">
        <x:f>IF(CG39="","",IF(VLOOKUP(CG39,SectInfo!$B:$N,10,FALSE)="","",(VLOOKUP(CG39,SectInfo!$B:$N,10,FALSE)*-1)))</x:f>
        <x:v/>
      </x:c>
      <x:c r="CH79" s="1305" t="str">
        <x:f>IF(CG39="","",IF(VLOOKUP(CG39,SectInfo!$B:$N,7,FALSE)="","",(VLOOKUP(CG39,SectInfo!$B:$N,7,FALSE)*-1)))</x:f>
        <x:v/>
      </x:c>
      <x:c r="CI79" s="1305" t="str">
        <x:f>IF(CG39="","",IF(VLOOKUP(CG39,SectInfo!$B:$N,8,FALSE)="",$FC$4,(VLOOKUP(CG39,SectInfo!$B:$N,8,FALSE))))</x:f>
        <x:v/>
      </x:c>
      <x:c r="CJ79" s="1305" t="str">
        <x:f>IF(CG39="","",VLOOKUP(CG39,SectInfo!$B:$N,9,FALSE))</x:f>
        <x:v/>
      </x:c>
      <x:c r="CK79" s="1306">
        <x:f t="shared" si="101"/>
        <x:v>0</x:v>
      </x:c>
      <x:c r="CL79" s="1304" t="str">
        <x:f>IF(CQ39="","",VLOOKUP(CQ39,SectInfo!$B:$N,12,FALSE))</x:f>
        <x:v/>
      </x:c>
      <x:c r="CM79" s="1305" t="str">
        <x:f>IF(ISBLANK(CX39),IF(CQ39="","",VLOOKUP(CQ39,SectInfo!$B:$N,13,FALSE)),CX39)</x:f>
        <x:v/>
      </x:c>
      <x:c r="CN79" s="1305" t="str">
        <x:f>IF(CQ39="","",IF(VLOOKUP(CQ39,SectInfo!$B:$N,5,FALSE)="","R",UPPER(VLOOKUP(CQ39,SectInfo!$B:$N,5,FALSE))))</x:f>
        <x:v/>
      </x:c>
      <x:c r="CO79" s="1305" t="str">
        <x:f>IF(ISBLANK(CZ39),IF(CQ39="","",VLOOKUP(CQ39,SectInfo!$B:$N,6,FALSE)),CZ39)</x:f>
        <x:v/>
      </x:c>
      <x:c r="CP79" s="1305" t="str">
        <x:f>IF(CQ39="","",IF(VLOOKUP(CQ39,SectInfo!$B:$N,10,FALSE)="","",(VLOOKUP(CQ39,SectInfo!$B:$N,10,FALSE)*-1)))</x:f>
        <x:v/>
      </x:c>
      <x:c r="CQ79" s="1305" t="str">
        <x:f>IF(CQ39="","",IF(VLOOKUP(CQ39,SectInfo!$B:$N,7,FALSE)="","",(VLOOKUP(CQ39,SectInfo!$B:$N,7,FALSE)*-1)))</x:f>
        <x:v/>
      </x:c>
      <x:c r="CR79" s="1305" t="str">
        <x:f>IF(CQ39="","",IF(VLOOKUP(CQ39,SectInfo!$B:$N,8,FALSE)="",$FC$4,(VLOOKUP(CQ39,SectInfo!$B:$N,8,FALSE))))</x:f>
        <x:v/>
      </x:c>
      <x:c r="CS79" s="1305" t="str">
        <x:f>IF(CQ39="","",VLOOKUP(CQ39,SectInfo!$B:$N,9,FALSE))</x:f>
        <x:v/>
      </x:c>
      <x:c r="CT79" s="1306">
        <x:f t="shared" si="102"/>
        <x:v>0</x:v>
      </x:c>
      <x:c r="CU79" s="1316">
        <x:f t="shared" si="103"/>
        <x:v>0</x:v>
      </x:c>
      <x:c r="CV79" s="1310" t="str">
        <x:f t="shared" si="104"/>
        <x:v/>
      </x:c>
      <x:c r="CW79" s="1310" t="str">
        <x:f t="shared" si="105"/>
        <x:v/>
      </x:c>
      <x:c r="CX79" s="1310" t="str">
        <x:f t="shared" si="106"/>
        <x:v/>
      </x:c>
      <x:c r="CY79" s="1312">
        <x:f t="shared" si="107"/>
        <x:v>0</x:v>
      </x:c>
      <x:c r="CZ79" s="1312">
        <x:f t="shared" si="108"/>
        <x:v>0</x:v>
      </x:c>
      <x:c r="DA79" s="1312" t="str">
        <x:f t="shared" si="109"/>
        <x:v/>
      </x:c>
      <x:c r="DB79" s="1310" t="str">
        <x:f t="shared" si="173"/>
        <x:v/>
      </x:c>
      <x:c r="DC79" s="1310" t="str">
        <x:f t="shared" si="110"/>
        <x:v/>
      </x:c>
      <x:c r="DD79" s="875">
        <x:f t="shared" si="174"/>
        <x:v>0</x:v>
      </x:c>
      <x:c r="DE79" s="873">
        <x:f t="shared" si="111"/>
        <x:v>0</x:v>
      </x:c>
      <x:c r="DF79" s="874">
        <x:f t="shared" si="112"/>
        <x:v>0</x:v>
      </x:c>
      <x:c r="DG79" s="874" t="str">
        <x:f t="shared" si="113"/>
        <x:v/>
      </x:c>
      <x:c r="DH79" s="1310" t="str">
        <x:f t="shared" si="175"/>
        <x:v/>
      </x:c>
      <x:c r="DI79" s="1310" t="str">
        <x:f t="shared" si="114"/>
        <x:v/>
      </x:c>
      <x:c r="DJ79" s="1311">
        <x:f t="shared" si="176"/>
        <x:v>0</x:v>
      </x:c>
      <x:c r="DK79" s="1310" t="str">
        <x:f t="shared" si="115"/>
        <x:v/>
      </x:c>
      <x:c r="DL79" s="1310" t="str">
        <x:f t="shared" si="116"/>
        <x:v/>
      </x:c>
      <x:c r="DM79" s="1310" t="str">
        <x:f t="shared" si="117"/>
        <x:v/>
      </x:c>
      <x:c r="DN79" s="1310" t="str">
        <x:f t="shared" si="118"/>
        <x:v/>
      </x:c>
      <x:c r="DO79" s="889" t="str">
        <x:f t="shared" si="119"/>
        <x:v>ERR</x:v>
      </x:c>
      <x:c r="DP79" s="889" t="str">
        <x:f t="shared" si="120"/>
        <x:v>ERR</x:v>
      </x:c>
      <x:c r="DQ79" s="1310" t="str">
        <x:f t="shared" si="121"/>
        <x:v/>
      </x:c>
      <x:c r="DR79" s="1310" t="str">
        <x:f t="shared" si="121"/>
        <x:v/>
      </x:c>
      <x:c r="DS79" s="1310" t="str">
        <x:f t="shared" si="122"/>
        <x:v/>
      </x:c>
      <x:c r="DT79" s="1310" t="str">
        <x:f t="shared" si="123"/>
        <x:v/>
      </x:c>
      <x:c r="DU79" s="1310" t="str">
        <x:f t="shared" si="124"/>
        <x:v/>
      </x:c>
      <x:c r="DV79" s="889" t="str">
        <x:f t="shared" si="125"/>
        <x:v>ERR</x:v>
      </x:c>
      <x:c r="DW79" s="889" t="str">
        <x:f t="shared" si="126"/>
        <x:v>ERR</x:v>
      </x:c>
      <x:c r="DX79" s="873" t="str">
        <x:f t="shared" si="195"/>
        <x:v/>
      </x:c>
      <x:c r="DY79" s="873" t="str">
        <x:f t="shared" si="195"/>
        <x:v/>
      </x:c>
      <x:c r="DZ79" s="873" t="str">
        <x:f t="shared" si="128"/>
        <x:v/>
      </x:c>
      <x:c r="EA79" s="873" t="str">
        <x:f t="shared" si="129"/>
        <x:v/>
      </x:c>
      <x:c r="EB79" s="876" t="str">
        <x:f t="shared" si="130"/>
        <x:v/>
      </x:c>
      <x:c r="EC79" s="877" t="str">
        <x:f t="shared" si="131"/>
        <x:v/>
      </x:c>
      <x:c r="ED79" s="876" t="str">
        <x:f t="shared" si="132"/>
        <x:v/>
      </x:c>
      <x:c r="EE79" s="876" t="str">
        <x:f t="shared" si="133"/>
        <x:v/>
      </x:c>
      <x:c r="EF79" s="876" t="str">
        <x:f t="shared" si="134"/>
        <x:v/>
      </x:c>
      <x:c r="EG79" s="876" t="str">
        <x:f t="shared" si="135"/>
        <x:v/>
      </x:c>
      <x:c r="EH79" s="876" t="str">
        <x:f t="shared" si="136"/>
        <x:v/>
      </x:c>
      <x:c r="EI79" s="876" t="str">
        <x:f t="shared" si="137"/>
        <x:v/>
      </x:c>
      <x:c r="EJ79" s="876" t="str">
        <x:f t="shared" si="138"/>
        <x:v/>
      </x:c>
      <x:c r="EK79" s="874">
        <x:f t="shared" si="139"/>
        <x:v>0</x:v>
      </x:c>
      <x:c r="EL79" s="874">
        <x:f t="shared" si="140"/>
        <x:v>0</x:v>
      </x:c>
      <x:c r="EM79" s="874">
        <x:f t="shared" si="141"/>
        <x:v>0</x:v>
      </x:c>
      <x:c r="EN79" s="874" t="str">
        <x:f t="shared" si="142"/>
        <x:v/>
      </x:c>
      <x:c r="EO79" s="873" t="str">
        <x:f t="shared" si="143"/>
        <x:v/>
      </x:c>
      <x:c r="EP79" s="874">
        <x:f t="shared" si="144"/>
        <x:v>0</x:v>
      </x:c>
      <x:c r="EQ79" s="874">
        <x:f t="shared" si="145"/>
        <x:v>0</x:v>
      </x:c>
      <x:c r="ER79" s="874">
        <x:f t="shared" si="146"/>
        <x:v>0</x:v>
      </x:c>
      <x:c r="ES79" s="874" t="str">
        <x:f t="shared" si="147"/>
        <x:v/>
      </x:c>
      <x:c r="ET79" s="873" t="str">
        <x:f t="shared" si="148"/>
        <x:v/>
      </x:c>
      <x:c r="EU79" s="873">
        <x:f t="shared" si="149"/>
        <x:v>0</x:v>
      </x:c>
      <x:c r="EV79" s="876" t="e">
        <x:f t="shared" si="150"/>
        <x:v>#VALUE!</x:v>
      </x:c>
      <x:c r="EW79" s="876" t="e">
        <x:f t="shared" si="151"/>
        <x:v>#VALUE!</x:v>
      </x:c>
      <x:c r="EX79" s="878" t="str">
        <x:f t="shared" si="152"/>
        <x:v/>
      </x:c>
      <x:c r="EY79" s="879" t="e">
        <x:f t="shared" si="153"/>
        <x:v>#DIV/0!</x:v>
      </x:c>
      <x:c r="EZ79" s="959" t="e">
        <x:f t="shared" si="154"/>
        <x:v>#DIV/0!</x:v>
      </x:c>
      <x:c r="FA79" s="960" t="e">
        <x:f t="shared" si="155"/>
        <x:v>#DIV/0!</x:v>
      </x:c>
      <x:c r="FB79" s="880" t="str">
        <x:f t="shared" si="156"/>
        <x:v/>
      </x:c>
      <x:c r="FC79" s="881" t="str">
        <x:f t="shared" si="157"/>
        <x:v/>
      </x:c>
      <x:c r="FD79" s="890">
        <x:f t="shared" si="158"/>
        <x:v>0</x:v>
      </x:c>
      <x:c r="FE79" s="833">
        <x:f t="shared" si="159"/>
        <x:v>0</x:v>
      </x:c>
      <x:c r="FF79" s="754" t="b">
        <x:f t="shared" si="160"/>
        <x:v>0</x:v>
      </x:c>
      <x:c r="FG79" s="754" t="b">
        <x:f t="shared" si="161"/>
        <x:v>0</x:v>
      </x:c>
      <x:c r="FH79" s="754" t="b">
        <x:f t="shared" si="162"/>
        <x:v>0</x:v>
      </x:c>
      <x:c r="FI79" s="754" t="b">
        <x:f t="shared" si="163"/>
        <x:v>0</x:v>
      </x:c>
      <x:c r="FJ79" s="920" t="str">
        <x:f t="shared" si="177"/>
        <x:v/>
      </x:c>
      <x:c r="FK79" s="919" t="str">
        <x:f t="shared" si="178"/>
        <x:v/>
      </x:c>
      <x:c r="FL79" s="320" t="e">
        <x:f t="shared" si="179"/>
        <x:v>#N/A</x:v>
      </x:c>
      <x:c r="FM79" s="312" t="str">
        <x:f t="shared" si="164"/>
        <x:v/>
      </x:c>
      <x:c r="FN79" s="272" t="str">
        <x:f t="shared" ca="1" si="180"/>
        <x:v/>
      </x:c>
      <x:c r="FO79" s="273" t="str">
        <x:f t="shared" ca="1" si="181"/>
        <x:v/>
      </x:c>
      <x:c r="FP79" s="274" t="str">
        <x:f t="shared" ca="1" si="182"/>
        <x:v/>
      </x:c>
      <x:c r="FQ79" s="274" t="str">
        <x:f t="shared" ca="1" si="183"/>
        <x:v/>
      </x:c>
      <x:c r="FR79" s="321">
        <x:f t="shared" ca="1" si="184"/>
        <x:v>0</x:v>
      </x:c>
      <x:c r="FS79" s="322">
        <x:f t="shared" ca="1" si="185"/>
        <x:v>0</x:v>
      </x:c>
      <x:c r="FT79" s="272" t="str">
        <x:f t="shared" ca="1" si="186"/>
        <x:v/>
      </x:c>
      <x:c r="FU79" s="275" t="str">
        <x:f t="shared" ca="1" si="187"/>
        <x:v/>
      </x:c>
      <x:c r="FV79" s="323" t="str">
        <x:f t="shared" ca="1" si="165"/>
        <x:v/>
      </x:c>
      <x:c r="FW79" s="276" t="str">
        <x:f t="shared" ca="1" si="188"/>
        <x:v/>
      </x:c>
      <x:c r="FX79" s="276" t="str">
        <x:f t="shared" ca="1" si="189"/>
        <x:v/>
      </x:c>
      <x:c r="FY79" s="276" t="str">
        <x:f t="shared" ca="1" si="190"/>
        <x:v/>
      </x:c>
      <x:c r="FZ79" s="276" t="str">
        <x:f t="shared" ca="1" si="191"/>
        <x:v/>
      </x:c>
      <x:c r="GA79" s="276" t="str">
        <x:f t="shared" ca="1" si="192"/>
        <x:v/>
      </x:c>
      <x:c r="GB79" s="277" t="str">
        <x:f ca="1">IF(FY79="","",2+SUM(FO79:OFFSET(FO79,(FU79-1)*-1,0)))</x:f>
        <x:v/>
      </x:c>
      <x:c r="GC79" s="316" t="e">
        <x:f t="shared" si="193"/>
        <x:v>#N/A</x:v>
      </x:c>
      <x:c r="GD79" s="324" t="str">
        <x:f t="shared" si="166"/>
        <x:v/>
      </x:c>
      <x:c r="GE79" s="325" t="str">
        <x:f t="shared" si="167"/>
        <x:v/>
      </x:c>
      <x:c r="GF79" s="278" t="str">
        <x:f t="shared" si="168"/>
        <x:v/>
      </x:c>
      <x:c r="GG79" s="279" t="str">
        <x:f t="shared" si="169"/>
        <x:v/>
      </x:c>
      <x:c r="GH79" s="279" t="str">
        <x:f t="shared" si="170"/>
        <x:v/>
      </x:c>
      <x:c r="GI79" s="280" t="str">
        <x:f t="shared" si="171"/>
        <x:v/>
      </x:c>
      <x:c r="GJ79" s="530">
        <x:f t="shared" ca="1" si="172"/>
        <x:v>0</x:v>
      </x:c>
      <x:c r="GK79" s="895" t="str">
        <x:f t="shared" ca="1" si="194"/>
        <x:v/>
      </x:c>
    </x:row>
    <x:row r="80" spans="78:193" ht="12.6" hidden="1" customHeight="1" x14ac:dyDescent="0.2">
      <x:c r="BZ80" s="293"/>
      <x:c r="CA80" s="293"/>
      <x:c r="CB80" s="365" t="str">
        <x:f t="shared" si="100"/>
        <x:v/>
      </x:c>
      <x:c r="CC80" s="366" t="str">
        <x:f>IF(CG40="","",VLOOKUP(CG40,SectInfo!$B:$N,12,FALSE))</x:f>
        <x:v/>
      </x:c>
      <x:c r="CD80" s="1305" t="str">
        <x:f>IF(ISBLANK(CN40),IF(CG40="","",VLOOKUP(CG40,SectInfo!$B:$N,13,FALSE)),CN40)</x:f>
        <x:v/>
      </x:c>
      <x:c r="CE80" s="1305" t="str">
        <x:f>IF(CG40="","",IF(VLOOKUP(CG40,SectInfo!$B:$N,5,FALSE)="","R",UPPER(VLOOKUP(CG40,SectInfo!$B:$N,5,FALSE))))</x:f>
        <x:v/>
      </x:c>
      <x:c r="CF80" s="1305" t="str">
        <x:f>IF(ISBLANK(CP40),IF(CG40="","",VLOOKUP(CG40,SectInfo!$B:$N,6,FALSE)),CP40)</x:f>
        <x:v/>
      </x:c>
      <x:c r="CG80" s="1305" t="str">
        <x:f>IF(CG40="","",IF(VLOOKUP(CG40,SectInfo!$B:$N,10,FALSE)="","",(VLOOKUP(CG40,SectInfo!$B:$N,10,FALSE)*-1)))</x:f>
        <x:v/>
      </x:c>
      <x:c r="CH80" s="1305" t="str">
        <x:f>IF(CG40="","",IF(VLOOKUP(CG40,SectInfo!$B:$N,7,FALSE)="","",(VLOOKUP(CG40,SectInfo!$B:$N,7,FALSE)*-1)))</x:f>
        <x:v/>
      </x:c>
      <x:c r="CI80" s="1305" t="str">
        <x:f>IF(CG40="","",IF(VLOOKUP(CG40,SectInfo!$B:$N,8,FALSE)="",$FC$4,(VLOOKUP(CG40,SectInfo!$B:$N,8,FALSE))))</x:f>
        <x:v/>
      </x:c>
      <x:c r="CJ80" s="1305" t="str">
        <x:f>IF(CG40="","",VLOOKUP(CG40,SectInfo!$B:$N,9,FALSE))</x:f>
        <x:v/>
      </x:c>
      <x:c r="CK80" s="1306">
        <x:f t="shared" si="101"/>
        <x:v>0</x:v>
      </x:c>
      <x:c r="CL80" s="1304" t="str">
        <x:f>IF(CQ40="","",VLOOKUP(CQ40,SectInfo!$B:$N,12,FALSE))</x:f>
        <x:v/>
      </x:c>
      <x:c r="CM80" s="1305" t="str">
        <x:f>IF(ISBLANK(CX40),IF(CQ40="","",VLOOKUP(CQ40,SectInfo!$B:$N,13,FALSE)),CX40)</x:f>
        <x:v/>
      </x:c>
      <x:c r="CN80" s="1305" t="str">
        <x:f>IF(CQ40="","",IF(VLOOKUP(CQ40,SectInfo!$B:$N,5,FALSE)="","R",UPPER(VLOOKUP(CQ40,SectInfo!$B:$N,5,FALSE))))</x:f>
        <x:v/>
      </x:c>
      <x:c r="CO80" s="1305" t="str">
        <x:f>IF(ISBLANK(CZ40),IF(CQ40="","",VLOOKUP(CQ40,SectInfo!$B:$N,6,FALSE)),CZ40)</x:f>
        <x:v/>
      </x:c>
      <x:c r="CP80" s="1305" t="str">
        <x:f>IF(CQ40="","",IF(VLOOKUP(CQ40,SectInfo!$B:$N,10,FALSE)="","",(VLOOKUP(CQ40,SectInfo!$B:$N,10,FALSE)*-1)))</x:f>
        <x:v/>
      </x:c>
      <x:c r="CQ80" s="1305" t="str">
        <x:f>IF(CQ40="","",IF(VLOOKUP(CQ40,SectInfo!$B:$N,7,FALSE)="","",(VLOOKUP(CQ40,SectInfo!$B:$N,7,FALSE)*-1)))</x:f>
        <x:v/>
      </x:c>
      <x:c r="CR80" s="1305" t="str">
        <x:f>IF(CQ40="","",IF(VLOOKUP(CQ40,SectInfo!$B:$N,8,FALSE)="",$FC$4,(VLOOKUP(CQ40,SectInfo!$B:$N,8,FALSE))))</x:f>
        <x:v/>
      </x:c>
      <x:c r="CS80" s="1305" t="str">
        <x:f>IF(CQ40="","",VLOOKUP(CQ40,SectInfo!$B:$N,9,FALSE))</x:f>
        <x:v/>
      </x:c>
      <x:c r="CT80" s="1306">
        <x:f t="shared" si="102"/>
        <x:v>0</x:v>
      </x:c>
      <x:c r="CU80" s="1316">
        <x:f t="shared" si="103"/>
        <x:v>0</x:v>
      </x:c>
      <x:c r="CV80" s="1310" t="str">
        <x:f t="shared" si="104"/>
        <x:v/>
      </x:c>
      <x:c r="CW80" s="1310" t="str">
        <x:f t="shared" si="105"/>
        <x:v/>
      </x:c>
      <x:c r="CX80" s="1310" t="str">
        <x:f t="shared" si="106"/>
        <x:v/>
      </x:c>
      <x:c r="CY80" s="1312">
        <x:f t="shared" si="107"/>
        <x:v>0</x:v>
      </x:c>
      <x:c r="CZ80" s="1312">
        <x:f t="shared" si="108"/>
        <x:v>0</x:v>
      </x:c>
      <x:c r="DA80" s="1312" t="str">
        <x:f t="shared" si="109"/>
        <x:v/>
      </x:c>
      <x:c r="DB80" s="1310" t="str">
        <x:f t="shared" si="173"/>
        <x:v/>
      </x:c>
      <x:c r="DC80" s="1310" t="str">
        <x:f t="shared" si="110"/>
        <x:v/>
      </x:c>
      <x:c r="DD80" s="875">
        <x:f t="shared" si="174"/>
        <x:v>0</x:v>
      </x:c>
      <x:c r="DE80" s="873">
        <x:f t="shared" si="111"/>
        <x:v>0</x:v>
      </x:c>
      <x:c r="DF80" s="874">
        <x:f t="shared" si="112"/>
        <x:v>0</x:v>
      </x:c>
      <x:c r="DG80" s="874" t="str">
        <x:f t="shared" si="113"/>
        <x:v/>
      </x:c>
      <x:c r="DH80" s="1310" t="str">
        <x:f t="shared" si="175"/>
        <x:v/>
      </x:c>
      <x:c r="DI80" s="1310" t="str">
        <x:f t="shared" si="114"/>
        <x:v/>
      </x:c>
      <x:c r="DJ80" s="1311">
        <x:f t="shared" si="176"/>
        <x:v>0</x:v>
      </x:c>
      <x:c r="DK80" s="1310" t="str">
        <x:f t="shared" si="115"/>
        <x:v/>
      </x:c>
      <x:c r="DL80" s="1310" t="str">
        <x:f t="shared" si="116"/>
        <x:v/>
      </x:c>
      <x:c r="DM80" s="1310" t="str">
        <x:f t="shared" si="117"/>
        <x:v/>
      </x:c>
      <x:c r="DN80" s="1310" t="str">
        <x:f t="shared" si="118"/>
        <x:v/>
      </x:c>
      <x:c r="DO80" s="889" t="str">
        <x:f t="shared" si="119"/>
        <x:v>ERR</x:v>
      </x:c>
      <x:c r="DP80" s="889" t="str">
        <x:f t="shared" si="120"/>
        <x:v>ERR</x:v>
      </x:c>
      <x:c r="DQ80" s="1310" t="str">
        <x:f t="shared" si="121"/>
        <x:v/>
      </x:c>
      <x:c r="DR80" s="1310" t="str">
        <x:f t="shared" si="121"/>
        <x:v/>
      </x:c>
      <x:c r="DS80" s="1310" t="str">
        <x:f t="shared" si="122"/>
        <x:v/>
      </x:c>
      <x:c r="DT80" s="1310" t="str">
        <x:f t="shared" si="123"/>
        <x:v/>
      </x:c>
      <x:c r="DU80" s="1310" t="str">
        <x:f t="shared" si="124"/>
        <x:v/>
      </x:c>
      <x:c r="DV80" s="889" t="str">
        <x:f t="shared" si="125"/>
        <x:v>ERR</x:v>
      </x:c>
      <x:c r="DW80" s="889" t="str">
        <x:f t="shared" si="126"/>
        <x:v>ERR</x:v>
      </x:c>
      <x:c r="DX80" s="873" t="str">
        <x:f t="shared" si="195"/>
        <x:v/>
      </x:c>
      <x:c r="DY80" s="873" t="str">
        <x:f t="shared" si="195"/>
        <x:v/>
      </x:c>
      <x:c r="DZ80" s="873" t="str">
        <x:f t="shared" si="128"/>
        <x:v/>
      </x:c>
      <x:c r="EA80" s="873" t="str">
        <x:f t="shared" si="129"/>
        <x:v/>
      </x:c>
      <x:c r="EB80" s="876" t="str">
        <x:f t="shared" si="130"/>
        <x:v/>
      </x:c>
      <x:c r="EC80" s="877" t="str">
        <x:f t="shared" si="131"/>
        <x:v/>
      </x:c>
      <x:c r="ED80" s="876" t="str">
        <x:f t="shared" si="132"/>
        <x:v/>
      </x:c>
      <x:c r="EE80" s="876" t="str">
        <x:f t="shared" si="133"/>
        <x:v/>
      </x:c>
      <x:c r="EF80" s="876" t="str">
        <x:f t="shared" si="134"/>
        <x:v/>
      </x:c>
      <x:c r="EG80" s="876" t="str">
        <x:f t="shared" si="135"/>
        <x:v/>
      </x:c>
      <x:c r="EH80" s="876" t="str">
        <x:f t="shared" si="136"/>
        <x:v/>
      </x:c>
      <x:c r="EI80" s="876" t="str">
        <x:f t="shared" si="137"/>
        <x:v/>
      </x:c>
      <x:c r="EJ80" s="876" t="str">
        <x:f t="shared" si="138"/>
        <x:v/>
      </x:c>
      <x:c r="EK80" s="874">
        <x:f t="shared" si="139"/>
        <x:v>0</x:v>
      </x:c>
      <x:c r="EL80" s="874">
        <x:f t="shared" si="140"/>
        <x:v>0</x:v>
      </x:c>
      <x:c r="EM80" s="874">
        <x:f t="shared" si="141"/>
        <x:v>0</x:v>
      </x:c>
      <x:c r="EN80" s="874" t="str">
        <x:f t="shared" si="142"/>
        <x:v/>
      </x:c>
      <x:c r="EO80" s="873" t="str">
        <x:f t="shared" si="143"/>
        <x:v/>
      </x:c>
      <x:c r="EP80" s="874">
        <x:f t="shared" si="144"/>
        <x:v>0</x:v>
      </x:c>
      <x:c r="EQ80" s="874">
        <x:f t="shared" si="145"/>
        <x:v>0</x:v>
      </x:c>
      <x:c r="ER80" s="874">
        <x:f t="shared" si="146"/>
        <x:v>0</x:v>
      </x:c>
      <x:c r="ES80" s="874" t="str">
        <x:f t="shared" si="147"/>
        <x:v/>
      </x:c>
      <x:c r="ET80" s="873" t="str">
        <x:f t="shared" si="148"/>
        <x:v/>
      </x:c>
      <x:c r="EU80" s="873">
        <x:f t="shared" si="149"/>
        <x:v>0</x:v>
      </x:c>
      <x:c r="EV80" s="876" t="e">
        <x:f t="shared" si="150"/>
        <x:v>#VALUE!</x:v>
      </x:c>
      <x:c r="EW80" s="876" t="e">
        <x:f t="shared" si="151"/>
        <x:v>#VALUE!</x:v>
      </x:c>
      <x:c r="EX80" s="878" t="str">
        <x:f t="shared" si="152"/>
        <x:v/>
      </x:c>
      <x:c r="EY80" s="879" t="e">
        <x:f t="shared" si="153"/>
        <x:v>#DIV/0!</x:v>
      </x:c>
      <x:c r="EZ80" s="959" t="e">
        <x:f t="shared" si="154"/>
        <x:v>#DIV/0!</x:v>
      </x:c>
      <x:c r="FA80" s="960" t="e">
        <x:f t="shared" si="155"/>
        <x:v>#DIV/0!</x:v>
      </x:c>
      <x:c r="FB80" s="880" t="str">
        <x:f t="shared" si="156"/>
        <x:v/>
      </x:c>
      <x:c r="FC80" s="881" t="str">
        <x:f t="shared" si="157"/>
        <x:v/>
      </x:c>
      <x:c r="FD80" s="890">
        <x:f t="shared" si="158"/>
        <x:v>0</x:v>
      </x:c>
      <x:c r="FE80" s="833">
        <x:f t="shared" si="159"/>
        <x:v>0</x:v>
      </x:c>
      <x:c r="FF80" s="754" t="b">
        <x:f t="shared" si="160"/>
        <x:v>0</x:v>
      </x:c>
      <x:c r="FG80" s="754" t="b">
        <x:f t="shared" si="161"/>
        <x:v>0</x:v>
      </x:c>
      <x:c r="FH80" s="754" t="b">
        <x:f t="shared" si="162"/>
        <x:v>0</x:v>
      </x:c>
      <x:c r="FI80" s="754" t="b">
        <x:f t="shared" si="163"/>
        <x:v>0</x:v>
      </x:c>
      <x:c r="FJ80" s="920" t="str">
        <x:f t="shared" si="177"/>
        <x:v/>
      </x:c>
      <x:c r="FK80" s="919" t="str">
        <x:f t="shared" si="178"/>
        <x:v/>
      </x:c>
      <x:c r="FL80" s="320" t="e">
        <x:f t="shared" si="179"/>
        <x:v>#N/A</x:v>
      </x:c>
      <x:c r="FM80" s="312" t="str">
        <x:f t="shared" si="164"/>
        <x:v/>
      </x:c>
      <x:c r="FN80" s="272" t="str">
        <x:f t="shared" ca="1" si="180"/>
        <x:v/>
      </x:c>
      <x:c r="FO80" s="273" t="str">
        <x:f t="shared" ca="1" si="181"/>
        <x:v/>
      </x:c>
      <x:c r="FP80" s="274" t="str">
        <x:f t="shared" ca="1" si="182"/>
        <x:v/>
      </x:c>
      <x:c r="FQ80" s="274" t="str">
        <x:f t="shared" ca="1" si="183"/>
        <x:v/>
      </x:c>
      <x:c r="FR80" s="321">
        <x:f t="shared" ca="1" si="184"/>
        <x:v>0</x:v>
      </x:c>
      <x:c r="FS80" s="322">
        <x:f t="shared" ca="1" si="185"/>
        <x:v>0</x:v>
      </x:c>
      <x:c r="FT80" s="272" t="str">
        <x:f t="shared" ca="1" si="186"/>
        <x:v/>
      </x:c>
      <x:c r="FU80" s="275" t="str">
        <x:f t="shared" ca="1" si="187"/>
        <x:v/>
      </x:c>
      <x:c r="FV80" s="323" t="str">
        <x:f t="shared" ca="1" si="165"/>
        <x:v/>
      </x:c>
      <x:c r="FW80" s="276" t="str">
        <x:f t="shared" ca="1" si="188"/>
        <x:v/>
      </x:c>
      <x:c r="FX80" s="276" t="str">
        <x:f t="shared" ca="1" si="189"/>
        <x:v/>
      </x:c>
      <x:c r="FY80" s="276" t="str">
        <x:f t="shared" ca="1" si="190"/>
        <x:v/>
      </x:c>
      <x:c r="FZ80" s="276" t="str">
        <x:f t="shared" ca="1" si="191"/>
        <x:v/>
      </x:c>
      <x:c r="GA80" s="276" t="str">
        <x:f t="shared" ca="1" si="192"/>
        <x:v/>
      </x:c>
      <x:c r="GB80" s="277" t="str">
        <x:f ca="1">IF(FY80="","",2+SUM(FO80:OFFSET(FO80,(FU80-1)*-1,0)))</x:f>
        <x:v/>
      </x:c>
      <x:c r="GC80" s="316" t="e">
        <x:f t="shared" si="193"/>
        <x:v>#N/A</x:v>
      </x:c>
      <x:c r="GD80" s="324" t="str">
        <x:f t="shared" si="166"/>
        <x:v/>
      </x:c>
      <x:c r="GE80" s="325" t="str">
        <x:f t="shared" si="167"/>
        <x:v/>
      </x:c>
      <x:c r="GF80" s="278" t="str">
        <x:f t="shared" si="168"/>
        <x:v/>
      </x:c>
      <x:c r="GG80" s="279" t="str">
        <x:f t="shared" si="169"/>
        <x:v/>
      </x:c>
      <x:c r="GH80" s="279" t="str">
        <x:f t="shared" si="170"/>
        <x:v/>
      </x:c>
      <x:c r="GI80" s="280" t="str">
        <x:f t="shared" si="171"/>
        <x:v/>
      </x:c>
      <x:c r="GJ80" s="530">
        <x:f t="shared" ca="1" si="172"/>
        <x:v>0</x:v>
      </x:c>
      <x:c r="GK80" s="895" t="str">
        <x:f t="shared" ca="1" si="194"/>
        <x:v/>
      </x:c>
    </x:row>
    <x:row r="81" spans="1:193" ht="12.6" hidden="1" customHeight="1" x14ac:dyDescent="0.2">
      <x:c r="BZ81" s="293"/>
      <x:c r="CA81" s="293"/>
      <x:c r="CB81" s="365" t="str">
        <x:f t="shared" si="100"/>
        <x:v/>
      </x:c>
      <x:c r="CC81" s="366" t="str">
        <x:f>IF(CG41="","",VLOOKUP(CG41,SectInfo!$B:$N,12,FALSE))</x:f>
        <x:v/>
      </x:c>
      <x:c r="CD81" s="1305" t="str">
        <x:f>IF(ISBLANK(CN41),IF(CG41="","",VLOOKUP(CG41,SectInfo!$B:$N,13,FALSE)),CN41)</x:f>
        <x:v/>
      </x:c>
      <x:c r="CE81" s="1305" t="str">
        <x:f>IF(CG41="","",IF(VLOOKUP(CG41,SectInfo!$B:$N,5,FALSE)="","R",UPPER(VLOOKUP(CG41,SectInfo!$B:$N,5,FALSE))))</x:f>
        <x:v/>
      </x:c>
      <x:c r="CF81" s="1305" t="str">
        <x:f>IF(ISBLANK(CP41),IF(CG41="","",VLOOKUP(CG41,SectInfo!$B:$N,6,FALSE)),CP41)</x:f>
        <x:v/>
      </x:c>
      <x:c r="CG81" s="1305" t="str">
        <x:f>IF(CG41="","",IF(VLOOKUP(CG41,SectInfo!$B:$N,10,FALSE)="","",(VLOOKUP(CG41,SectInfo!$B:$N,10,FALSE)*-1)))</x:f>
        <x:v/>
      </x:c>
      <x:c r="CH81" s="1305" t="str">
        <x:f>IF(CG41="","",IF(VLOOKUP(CG41,SectInfo!$B:$N,7,FALSE)="","",(VLOOKUP(CG41,SectInfo!$B:$N,7,FALSE)*-1)))</x:f>
        <x:v/>
      </x:c>
      <x:c r="CI81" s="1305" t="str">
        <x:f>IF(CG41="","",IF(VLOOKUP(CG41,SectInfo!$B:$N,8,FALSE)="",$FC$4,(VLOOKUP(CG41,SectInfo!$B:$N,8,FALSE))))</x:f>
        <x:v/>
      </x:c>
      <x:c r="CJ81" s="1305" t="str">
        <x:f>IF(CG41="","",VLOOKUP(CG41,SectInfo!$B:$N,9,FALSE))</x:f>
        <x:v/>
      </x:c>
      <x:c r="CK81" s="1306">
        <x:f t="shared" si="101"/>
        <x:v>0</x:v>
      </x:c>
      <x:c r="CL81" s="1304" t="str">
        <x:f>IF(CQ41="","",VLOOKUP(CQ41,SectInfo!$B:$N,12,FALSE))</x:f>
        <x:v/>
      </x:c>
      <x:c r="CM81" s="1305" t="str">
        <x:f>IF(ISBLANK(CX41),IF(CQ41="","",VLOOKUP(CQ41,SectInfo!$B:$N,13,FALSE)),CX41)</x:f>
        <x:v/>
      </x:c>
      <x:c r="CN81" s="1305" t="str">
        <x:f>IF(CQ41="","",IF(VLOOKUP(CQ41,SectInfo!$B:$N,5,FALSE)="","R",UPPER(VLOOKUP(CQ41,SectInfo!$B:$N,5,FALSE))))</x:f>
        <x:v/>
      </x:c>
      <x:c r="CO81" s="1305" t="str">
        <x:f>IF(ISBLANK(CZ41),IF(CQ41="","",VLOOKUP(CQ41,SectInfo!$B:$N,6,FALSE)),CZ41)</x:f>
        <x:v/>
      </x:c>
      <x:c r="CP81" s="1305" t="str">
        <x:f>IF(CQ41="","",IF(VLOOKUP(CQ41,SectInfo!$B:$N,10,FALSE)="","",(VLOOKUP(CQ41,SectInfo!$B:$N,10,FALSE)*-1)))</x:f>
        <x:v/>
      </x:c>
      <x:c r="CQ81" s="1305" t="str">
        <x:f>IF(CQ41="","",IF(VLOOKUP(CQ41,SectInfo!$B:$N,7,FALSE)="","",(VLOOKUP(CQ41,SectInfo!$B:$N,7,FALSE)*-1)))</x:f>
        <x:v/>
      </x:c>
      <x:c r="CR81" s="1305" t="str">
        <x:f>IF(CQ41="","",IF(VLOOKUP(CQ41,SectInfo!$B:$N,8,FALSE)="",$FC$4,(VLOOKUP(CQ41,SectInfo!$B:$N,8,FALSE))))</x:f>
        <x:v/>
      </x:c>
      <x:c r="CS81" s="1305" t="str">
        <x:f>IF(CQ41="","",VLOOKUP(CQ41,SectInfo!$B:$N,9,FALSE))</x:f>
        <x:v/>
      </x:c>
      <x:c r="CT81" s="1306">
        <x:f t="shared" si="102"/>
        <x:v>0</x:v>
      </x:c>
      <x:c r="CU81" s="1316">
        <x:f t="shared" si="103"/>
        <x:v>0</x:v>
      </x:c>
      <x:c r="CV81" s="1310" t="str">
        <x:f t="shared" si="104"/>
        <x:v/>
      </x:c>
      <x:c r="CW81" s="1310" t="str">
        <x:f t="shared" si="105"/>
        <x:v/>
      </x:c>
      <x:c r="CX81" s="1310" t="str">
        <x:f t="shared" si="106"/>
        <x:v/>
      </x:c>
      <x:c r="CY81" s="1312">
        <x:f t="shared" si="107"/>
        <x:v>0</x:v>
      </x:c>
      <x:c r="CZ81" s="1312">
        <x:f t="shared" si="108"/>
        <x:v>0</x:v>
      </x:c>
      <x:c r="DA81" s="1312" t="str">
        <x:f t="shared" si="109"/>
        <x:v/>
      </x:c>
      <x:c r="DB81" s="1310" t="str">
        <x:f t="shared" si="173"/>
        <x:v/>
      </x:c>
      <x:c r="DC81" s="1310" t="str">
        <x:f t="shared" si="110"/>
        <x:v/>
      </x:c>
      <x:c r="DD81" s="875">
        <x:f t="shared" si="174"/>
        <x:v>0</x:v>
      </x:c>
      <x:c r="DE81" s="873">
        <x:f t="shared" si="111"/>
        <x:v>0</x:v>
      </x:c>
      <x:c r="DF81" s="874">
        <x:f t="shared" si="112"/>
        <x:v>0</x:v>
      </x:c>
      <x:c r="DG81" s="874" t="str">
        <x:f t="shared" si="113"/>
        <x:v/>
      </x:c>
      <x:c r="DH81" s="1310" t="str">
        <x:f t="shared" si="175"/>
        <x:v/>
      </x:c>
      <x:c r="DI81" s="1310" t="str">
        <x:f t="shared" si="114"/>
        <x:v/>
      </x:c>
      <x:c r="DJ81" s="1311">
        <x:f t="shared" si="176"/>
        <x:v>0</x:v>
      </x:c>
      <x:c r="DK81" s="1310" t="str">
        <x:f t="shared" si="115"/>
        <x:v/>
      </x:c>
      <x:c r="DL81" s="1310" t="str">
        <x:f t="shared" si="116"/>
        <x:v/>
      </x:c>
      <x:c r="DM81" s="1310" t="str">
        <x:f t="shared" si="117"/>
        <x:v/>
      </x:c>
      <x:c r="DN81" s="1310" t="str">
        <x:f t="shared" si="118"/>
        <x:v/>
      </x:c>
      <x:c r="DO81" s="889" t="str">
        <x:f t="shared" si="119"/>
        <x:v>ERR</x:v>
      </x:c>
      <x:c r="DP81" s="889" t="str">
        <x:f t="shared" si="120"/>
        <x:v>ERR</x:v>
      </x:c>
      <x:c r="DQ81" s="1310" t="str">
        <x:f t="shared" si="121"/>
        <x:v/>
      </x:c>
      <x:c r="DR81" s="1310" t="str">
        <x:f t="shared" si="121"/>
        <x:v/>
      </x:c>
      <x:c r="DS81" s="1310" t="str">
        <x:f t="shared" si="122"/>
        <x:v/>
      </x:c>
      <x:c r="DT81" s="1310" t="str">
        <x:f t="shared" si="123"/>
        <x:v/>
      </x:c>
      <x:c r="DU81" s="1310" t="str">
        <x:f t="shared" si="124"/>
        <x:v/>
      </x:c>
      <x:c r="DV81" s="889" t="str">
        <x:f t="shared" si="125"/>
        <x:v>ERR</x:v>
      </x:c>
      <x:c r="DW81" s="889" t="str">
        <x:f t="shared" si="126"/>
        <x:v>ERR</x:v>
      </x:c>
      <x:c r="DX81" s="873" t="str">
        <x:f t="shared" si="195"/>
        <x:v/>
      </x:c>
      <x:c r="DY81" s="873" t="str">
        <x:f t="shared" si="195"/>
        <x:v/>
      </x:c>
      <x:c r="DZ81" s="873" t="str">
        <x:f t="shared" si="128"/>
        <x:v/>
      </x:c>
      <x:c r="EA81" s="873" t="str">
        <x:f t="shared" si="129"/>
        <x:v/>
      </x:c>
      <x:c r="EB81" s="876" t="str">
        <x:f t="shared" si="130"/>
        <x:v/>
      </x:c>
      <x:c r="EC81" s="877" t="str">
        <x:f t="shared" si="131"/>
        <x:v/>
      </x:c>
      <x:c r="ED81" s="876" t="str">
        <x:f t="shared" si="132"/>
        <x:v/>
      </x:c>
      <x:c r="EE81" s="876" t="str">
        <x:f t="shared" si="133"/>
        <x:v/>
      </x:c>
      <x:c r="EF81" s="876" t="str">
        <x:f t="shared" si="134"/>
        <x:v/>
      </x:c>
      <x:c r="EG81" s="876" t="str">
        <x:f t="shared" si="135"/>
        <x:v/>
      </x:c>
      <x:c r="EH81" s="876" t="str">
        <x:f t="shared" si="136"/>
        <x:v/>
      </x:c>
      <x:c r="EI81" s="876" t="str">
        <x:f t="shared" si="137"/>
        <x:v/>
      </x:c>
      <x:c r="EJ81" s="876" t="str">
        <x:f t="shared" si="138"/>
        <x:v/>
      </x:c>
      <x:c r="EK81" s="874">
        <x:f t="shared" si="139"/>
        <x:v>0</x:v>
      </x:c>
      <x:c r="EL81" s="874">
        <x:f t="shared" si="140"/>
        <x:v>0</x:v>
      </x:c>
      <x:c r="EM81" s="874">
        <x:f t="shared" si="141"/>
        <x:v>0</x:v>
      </x:c>
      <x:c r="EN81" s="874" t="str">
        <x:f t="shared" si="142"/>
        <x:v/>
      </x:c>
      <x:c r="EO81" s="873" t="str">
        <x:f t="shared" si="143"/>
        <x:v/>
      </x:c>
      <x:c r="EP81" s="874">
        <x:f t="shared" si="144"/>
        <x:v>0</x:v>
      </x:c>
      <x:c r="EQ81" s="874">
        <x:f t="shared" si="145"/>
        <x:v>0</x:v>
      </x:c>
      <x:c r="ER81" s="874">
        <x:f t="shared" si="146"/>
        <x:v>0</x:v>
      </x:c>
      <x:c r="ES81" s="874" t="str">
        <x:f t="shared" si="147"/>
        <x:v/>
      </x:c>
      <x:c r="ET81" s="873" t="str">
        <x:f t="shared" si="148"/>
        <x:v/>
      </x:c>
      <x:c r="EU81" s="873">
        <x:f t="shared" si="149"/>
        <x:v>0</x:v>
      </x:c>
      <x:c r="EV81" s="876" t="e">
        <x:f t="shared" si="150"/>
        <x:v>#VALUE!</x:v>
      </x:c>
      <x:c r="EW81" s="876" t="e">
        <x:f t="shared" si="151"/>
        <x:v>#VALUE!</x:v>
      </x:c>
      <x:c r="EX81" s="878" t="str">
        <x:f t="shared" si="152"/>
        <x:v/>
      </x:c>
      <x:c r="EY81" s="879" t="e">
        <x:f t="shared" si="153"/>
        <x:v>#DIV/0!</x:v>
      </x:c>
      <x:c r="EZ81" s="959" t="e">
        <x:f t="shared" si="154"/>
        <x:v>#DIV/0!</x:v>
      </x:c>
      <x:c r="FA81" s="960" t="e">
        <x:f t="shared" si="155"/>
        <x:v>#DIV/0!</x:v>
      </x:c>
      <x:c r="FB81" s="880" t="str">
        <x:f t="shared" si="156"/>
        <x:v/>
      </x:c>
      <x:c r="FC81" s="881" t="str">
        <x:f t="shared" si="157"/>
        <x:v/>
      </x:c>
      <x:c r="FD81" s="890">
        <x:f t="shared" si="158"/>
        <x:v>0</x:v>
      </x:c>
      <x:c r="FE81" s="833">
        <x:f t="shared" si="159"/>
        <x:v>0</x:v>
      </x:c>
      <x:c r="FF81" s="754" t="b">
        <x:f t="shared" si="160"/>
        <x:v>0</x:v>
      </x:c>
      <x:c r="FG81" s="754" t="b">
        <x:f t="shared" si="161"/>
        <x:v>0</x:v>
      </x:c>
      <x:c r="FH81" s="754" t="b">
        <x:f t="shared" si="162"/>
        <x:v>0</x:v>
      </x:c>
      <x:c r="FI81" s="754" t="b">
        <x:f t="shared" si="163"/>
        <x:v>0</x:v>
      </x:c>
      <x:c r="FJ81" s="920" t="str">
        <x:f t="shared" si="177"/>
        <x:v/>
      </x:c>
      <x:c r="FK81" s="919" t="str">
        <x:f t="shared" si="178"/>
        <x:v/>
      </x:c>
      <x:c r="FL81" s="320" t="e">
        <x:f t="shared" si="179"/>
        <x:v>#N/A</x:v>
      </x:c>
      <x:c r="FM81" s="312" t="str">
        <x:f t="shared" si="164"/>
        <x:v/>
      </x:c>
      <x:c r="FN81" s="272" t="str">
        <x:f t="shared" ca="1" si="180"/>
        <x:v/>
      </x:c>
      <x:c r="FO81" s="273" t="str">
        <x:f t="shared" ca="1" si="181"/>
        <x:v/>
      </x:c>
      <x:c r="FP81" s="274" t="str">
        <x:f t="shared" ca="1" si="182"/>
        <x:v/>
      </x:c>
      <x:c r="FQ81" s="274" t="str">
        <x:f t="shared" ca="1" si="183"/>
        <x:v/>
      </x:c>
      <x:c r="FR81" s="321">
        <x:f t="shared" ca="1" si="184"/>
        <x:v>0</x:v>
      </x:c>
      <x:c r="FS81" s="322">
        <x:f t="shared" ca="1" si="185"/>
        <x:v>0</x:v>
      </x:c>
      <x:c r="FT81" s="272" t="str">
        <x:f t="shared" ca="1" si="186"/>
        <x:v/>
      </x:c>
      <x:c r="FU81" s="275" t="str">
        <x:f t="shared" ca="1" si="187"/>
        <x:v/>
      </x:c>
      <x:c r="FV81" s="323" t="str">
        <x:f t="shared" ca="1" si="165"/>
        <x:v/>
      </x:c>
      <x:c r="FW81" s="276" t="str">
        <x:f t="shared" ca="1" si="188"/>
        <x:v/>
      </x:c>
      <x:c r="FX81" s="276" t="str">
        <x:f t="shared" ca="1" si="189"/>
        <x:v/>
      </x:c>
      <x:c r="FY81" s="276" t="str">
        <x:f t="shared" ca="1" si="190"/>
        <x:v/>
      </x:c>
      <x:c r="FZ81" s="276" t="str">
        <x:f t="shared" ca="1" si="191"/>
        <x:v/>
      </x:c>
      <x:c r="GA81" s="276" t="str">
        <x:f t="shared" ca="1" si="192"/>
        <x:v/>
      </x:c>
      <x:c r="GB81" s="277" t="str">
        <x:f ca="1">IF(FY81="","",2+SUM(FO81:OFFSET(FO81,(FU81-1)*-1,0)))</x:f>
        <x:v/>
      </x:c>
      <x:c r="GC81" s="316" t="e">
        <x:f t="shared" si="193"/>
        <x:v>#N/A</x:v>
      </x:c>
      <x:c r="GD81" s="324" t="str">
        <x:f t="shared" si="166"/>
        <x:v/>
      </x:c>
      <x:c r="GE81" s="325" t="str">
        <x:f t="shared" si="167"/>
        <x:v/>
      </x:c>
      <x:c r="GF81" s="278" t="str">
        <x:f t="shared" si="168"/>
        <x:v/>
      </x:c>
      <x:c r="GG81" s="279" t="str">
        <x:f t="shared" si="169"/>
        <x:v/>
      </x:c>
      <x:c r="GH81" s="279" t="str">
        <x:f t="shared" si="170"/>
        <x:v/>
      </x:c>
      <x:c r="GI81" s="280" t="str">
        <x:f t="shared" si="171"/>
        <x:v/>
      </x:c>
      <x:c r="GJ81" s="530">
        <x:f t="shared" ca="1" si="172"/>
        <x:v>0</x:v>
      </x:c>
      <x:c r="GK81" s="895" t="str">
        <x:f t="shared" ca="1" si="194"/>
        <x:v/>
      </x:c>
    </x:row>
    <x:row r="82" spans="1:193" ht="12.6" hidden="1" customHeight="1" x14ac:dyDescent="0.2">
      <x:c r="BZ82" s="293"/>
      <x:c r="CA82" s="293"/>
      <x:c r="CB82" s="365" t="str">
        <x:f t="shared" si="100"/>
        <x:v/>
      </x:c>
      <x:c r="CC82" s="366" t="str">
        <x:f>IF(CG42="","",VLOOKUP(CG42,SectInfo!$B:$N,12,FALSE))</x:f>
        <x:v/>
      </x:c>
      <x:c r="CD82" s="1305" t="str">
        <x:f>IF(ISBLANK(CN42),IF(CG42="","",VLOOKUP(CG42,SectInfo!$B:$N,13,FALSE)),CN42)</x:f>
        <x:v/>
      </x:c>
      <x:c r="CE82" s="1305" t="str">
        <x:f>IF(CG42="","",IF(VLOOKUP(CG42,SectInfo!$B:$N,5,FALSE)="","R",UPPER(VLOOKUP(CG42,SectInfo!$B:$N,5,FALSE))))</x:f>
        <x:v/>
      </x:c>
      <x:c r="CF82" s="1305" t="str">
        <x:f>IF(ISBLANK(CP42),IF(CG42="","",VLOOKUP(CG42,SectInfo!$B:$N,6,FALSE)),CP42)</x:f>
        <x:v/>
      </x:c>
      <x:c r="CG82" s="1305" t="str">
        <x:f>IF(CG42="","",IF(VLOOKUP(CG42,SectInfo!$B:$N,10,FALSE)="","",(VLOOKUP(CG42,SectInfo!$B:$N,10,FALSE)*-1)))</x:f>
        <x:v/>
      </x:c>
      <x:c r="CH82" s="1305" t="str">
        <x:f>IF(CG42="","",IF(VLOOKUP(CG42,SectInfo!$B:$N,7,FALSE)="","",(VLOOKUP(CG42,SectInfo!$B:$N,7,FALSE)*-1)))</x:f>
        <x:v/>
      </x:c>
      <x:c r="CI82" s="1305" t="str">
        <x:f>IF(CG42="","",IF(VLOOKUP(CG42,SectInfo!$B:$N,8,FALSE)="",$FC$4,(VLOOKUP(CG42,SectInfo!$B:$N,8,FALSE))))</x:f>
        <x:v/>
      </x:c>
      <x:c r="CJ82" s="1305" t="str">
        <x:f>IF(CG42="","",VLOOKUP(CG42,SectInfo!$B:$N,9,FALSE))</x:f>
        <x:v/>
      </x:c>
      <x:c r="CK82" s="1306">
        <x:f t="shared" si="101"/>
        <x:v>0</x:v>
      </x:c>
      <x:c r="CL82" s="1304" t="str">
        <x:f>IF(CQ42="","",VLOOKUP(CQ42,SectInfo!$B:$N,12,FALSE))</x:f>
        <x:v/>
      </x:c>
      <x:c r="CM82" s="1305" t="str">
        <x:f>IF(ISBLANK(CX42),IF(CQ42="","",VLOOKUP(CQ42,SectInfo!$B:$N,13,FALSE)),CX42)</x:f>
        <x:v/>
      </x:c>
      <x:c r="CN82" s="1305" t="str">
        <x:f>IF(CQ42="","",IF(VLOOKUP(CQ42,SectInfo!$B:$N,5,FALSE)="","R",UPPER(VLOOKUP(CQ42,SectInfo!$B:$N,5,FALSE))))</x:f>
        <x:v/>
      </x:c>
      <x:c r="CO82" s="1305" t="str">
        <x:f>IF(ISBLANK(CZ42),IF(CQ42="","",VLOOKUP(CQ42,SectInfo!$B:$N,6,FALSE)),CZ42)</x:f>
        <x:v/>
      </x:c>
      <x:c r="CP82" s="1305" t="str">
        <x:f>IF(CQ42="","",IF(VLOOKUP(CQ42,SectInfo!$B:$N,10,FALSE)="","",(VLOOKUP(CQ42,SectInfo!$B:$N,10,FALSE)*-1)))</x:f>
        <x:v/>
      </x:c>
      <x:c r="CQ82" s="1305" t="str">
        <x:f>IF(CQ42="","",IF(VLOOKUP(CQ42,SectInfo!$B:$N,7,FALSE)="","",(VLOOKUP(CQ42,SectInfo!$B:$N,7,FALSE)*-1)))</x:f>
        <x:v/>
      </x:c>
      <x:c r="CR82" s="1305" t="str">
        <x:f>IF(CQ42="","",IF(VLOOKUP(CQ42,SectInfo!$B:$N,8,FALSE)="",$FC$4,(VLOOKUP(CQ42,SectInfo!$B:$N,8,FALSE))))</x:f>
        <x:v/>
      </x:c>
      <x:c r="CS82" s="1305" t="str">
        <x:f>IF(CQ42="","",VLOOKUP(CQ42,SectInfo!$B:$N,9,FALSE))</x:f>
        <x:v/>
      </x:c>
      <x:c r="CT82" s="1306">
        <x:f t="shared" si="102"/>
        <x:v>0</x:v>
      </x:c>
      <x:c r="CU82" s="1316">
        <x:f t="shared" si="103"/>
        <x:v>0</x:v>
      </x:c>
      <x:c r="CV82" s="1310" t="str">
        <x:f t="shared" si="104"/>
        <x:v/>
      </x:c>
      <x:c r="CW82" s="1310" t="str">
        <x:f t="shared" si="105"/>
        <x:v/>
      </x:c>
      <x:c r="CX82" s="1310" t="str">
        <x:f t="shared" si="106"/>
        <x:v/>
      </x:c>
      <x:c r="CY82" s="1312">
        <x:f t="shared" si="107"/>
        <x:v>0</x:v>
      </x:c>
      <x:c r="CZ82" s="1312">
        <x:f t="shared" si="108"/>
        <x:v>0</x:v>
      </x:c>
      <x:c r="DA82" s="1312" t="str">
        <x:f t="shared" si="109"/>
        <x:v/>
      </x:c>
      <x:c r="DB82" s="1310" t="str">
        <x:f t="shared" si="173"/>
        <x:v/>
      </x:c>
      <x:c r="DC82" s="1310" t="str">
        <x:f t="shared" si="110"/>
        <x:v/>
      </x:c>
      <x:c r="DD82" s="875">
        <x:f t="shared" si="174"/>
        <x:v>0</x:v>
      </x:c>
      <x:c r="DE82" s="873">
        <x:f t="shared" si="111"/>
        <x:v>0</x:v>
      </x:c>
      <x:c r="DF82" s="874">
        <x:f t="shared" si="112"/>
        <x:v>0</x:v>
      </x:c>
      <x:c r="DG82" s="874" t="str">
        <x:f t="shared" si="113"/>
        <x:v/>
      </x:c>
      <x:c r="DH82" s="1310" t="str">
        <x:f t="shared" si="175"/>
        <x:v/>
      </x:c>
      <x:c r="DI82" s="1310" t="str">
        <x:f t="shared" si="114"/>
        <x:v/>
      </x:c>
      <x:c r="DJ82" s="1311">
        <x:f t="shared" si="176"/>
        <x:v>0</x:v>
      </x:c>
      <x:c r="DK82" s="1310" t="str">
        <x:f t="shared" si="115"/>
        <x:v/>
      </x:c>
      <x:c r="DL82" s="1310" t="str">
        <x:f t="shared" si="116"/>
        <x:v/>
      </x:c>
      <x:c r="DM82" s="1310" t="str">
        <x:f t="shared" si="117"/>
        <x:v/>
      </x:c>
      <x:c r="DN82" s="1310" t="str">
        <x:f t="shared" si="118"/>
        <x:v/>
      </x:c>
      <x:c r="DO82" s="889" t="str">
        <x:f t="shared" si="119"/>
        <x:v>ERR</x:v>
      </x:c>
      <x:c r="DP82" s="889" t="str">
        <x:f t="shared" si="120"/>
        <x:v>ERR</x:v>
      </x:c>
      <x:c r="DQ82" s="1310" t="str">
        <x:f t="shared" si="121"/>
        <x:v/>
      </x:c>
      <x:c r="DR82" s="1310" t="str">
        <x:f t="shared" si="121"/>
        <x:v/>
      </x:c>
      <x:c r="DS82" s="1310" t="str">
        <x:f t="shared" si="122"/>
        <x:v/>
      </x:c>
      <x:c r="DT82" s="1310" t="str">
        <x:f t="shared" si="123"/>
        <x:v/>
      </x:c>
      <x:c r="DU82" s="1310" t="str">
        <x:f t="shared" si="124"/>
        <x:v/>
      </x:c>
      <x:c r="DV82" s="889" t="str">
        <x:f t="shared" si="125"/>
        <x:v>ERR</x:v>
      </x:c>
      <x:c r="DW82" s="889" t="str">
        <x:f t="shared" si="126"/>
        <x:v>ERR</x:v>
      </x:c>
      <x:c r="DX82" s="873" t="str">
        <x:f t="shared" si="195"/>
        <x:v/>
      </x:c>
      <x:c r="DY82" s="873" t="str">
        <x:f t="shared" si="195"/>
        <x:v/>
      </x:c>
      <x:c r="DZ82" s="873" t="str">
        <x:f t="shared" si="128"/>
        <x:v/>
      </x:c>
      <x:c r="EA82" s="873" t="str">
        <x:f t="shared" si="129"/>
        <x:v/>
      </x:c>
      <x:c r="EB82" s="876" t="str">
        <x:f t="shared" si="130"/>
        <x:v/>
      </x:c>
      <x:c r="EC82" s="877" t="str">
        <x:f t="shared" si="131"/>
        <x:v/>
      </x:c>
      <x:c r="ED82" s="876" t="str">
        <x:f t="shared" si="132"/>
        <x:v/>
      </x:c>
      <x:c r="EE82" s="876" t="str">
        <x:f t="shared" si="133"/>
        <x:v/>
      </x:c>
      <x:c r="EF82" s="876" t="str">
        <x:f t="shared" si="134"/>
        <x:v/>
      </x:c>
      <x:c r="EG82" s="876" t="str">
        <x:f t="shared" si="135"/>
        <x:v/>
      </x:c>
      <x:c r="EH82" s="876" t="str">
        <x:f t="shared" si="136"/>
        <x:v/>
      </x:c>
      <x:c r="EI82" s="876" t="str">
        <x:f t="shared" si="137"/>
        <x:v/>
      </x:c>
      <x:c r="EJ82" s="876" t="str">
        <x:f t="shared" si="138"/>
        <x:v/>
      </x:c>
      <x:c r="EK82" s="874">
        <x:f t="shared" si="139"/>
        <x:v>0</x:v>
      </x:c>
      <x:c r="EL82" s="874">
        <x:f t="shared" si="140"/>
        <x:v>0</x:v>
      </x:c>
      <x:c r="EM82" s="874">
        <x:f t="shared" si="141"/>
        <x:v>0</x:v>
      </x:c>
      <x:c r="EN82" s="874" t="str">
        <x:f t="shared" si="142"/>
        <x:v/>
      </x:c>
      <x:c r="EO82" s="873" t="str">
        <x:f t="shared" si="143"/>
        <x:v/>
      </x:c>
      <x:c r="EP82" s="874">
        <x:f t="shared" si="144"/>
        <x:v>0</x:v>
      </x:c>
      <x:c r="EQ82" s="874">
        <x:f t="shared" si="145"/>
        <x:v>0</x:v>
      </x:c>
      <x:c r="ER82" s="874">
        <x:f t="shared" si="146"/>
        <x:v>0</x:v>
      </x:c>
      <x:c r="ES82" s="874" t="str">
        <x:f t="shared" si="147"/>
        <x:v/>
      </x:c>
      <x:c r="ET82" s="873" t="str">
        <x:f t="shared" si="148"/>
        <x:v/>
      </x:c>
      <x:c r="EU82" s="873">
        <x:f t="shared" si="149"/>
        <x:v>0</x:v>
      </x:c>
      <x:c r="EV82" s="876" t="e">
        <x:f t="shared" si="150"/>
        <x:v>#VALUE!</x:v>
      </x:c>
      <x:c r="EW82" s="876" t="e">
        <x:f t="shared" si="151"/>
        <x:v>#VALUE!</x:v>
      </x:c>
      <x:c r="EX82" s="878" t="str">
        <x:f t="shared" si="152"/>
        <x:v/>
      </x:c>
      <x:c r="EY82" s="879" t="e">
        <x:f t="shared" si="153"/>
        <x:v>#DIV/0!</x:v>
      </x:c>
      <x:c r="EZ82" s="959" t="e">
        <x:f t="shared" si="154"/>
        <x:v>#DIV/0!</x:v>
      </x:c>
      <x:c r="FA82" s="960" t="e">
        <x:f t="shared" si="155"/>
        <x:v>#DIV/0!</x:v>
      </x:c>
      <x:c r="FB82" s="880" t="str">
        <x:f t="shared" si="156"/>
        <x:v/>
      </x:c>
      <x:c r="FC82" s="881" t="str">
        <x:f t="shared" si="157"/>
        <x:v/>
      </x:c>
      <x:c r="FD82" s="890">
        <x:f t="shared" si="158"/>
        <x:v>0</x:v>
      </x:c>
      <x:c r="FE82" s="833">
        <x:f t="shared" si="159"/>
        <x:v>0</x:v>
      </x:c>
      <x:c r="FF82" s="754" t="b">
        <x:f t="shared" si="160"/>
        <x:v>0</x:v>
      </x:c>
      <x:c r="FG82" s="754" t="b">
        <x:f t="shared" si="161"/>
        <x:v>0</x:v>
      </x:c>
      <x:c r="FH82" s="754" t="b">
        <x:f t="shared" si="162"/>
        <x:v>0</x:v>
      </x:c>
      <x:c r="FI82" s="754" t="b">
        <x:f t="shared" si="163"/>
        <x:v>0</x:v>
      </x:c>
      <x:c r="FJ82" s="920" t="str">
        <x:f t="shared" si="177"/>
        <x:v/>
      </x:c>
      <x:c r="FK82" s="919" t="str">
        <x:f t="shared" si="178"/>
        <x:v/>
      </x:c>
      <x:c r="FL82" s="320" t="e">
        <x:f t="shared" si="179"/>
        <x:v>#N/A</x:v>
      </x:c>
      <x:c r="FM82" s="312" t="str">
        <x:f t="shared" si="164"/>
        <x:v/>
      </x:c>
      <x:c r="FN82" s="272" t="str">
        <x:f t="shared" ca="1" si="180"/>
        <x:v/>
      </x:c>
      <x:c r="FO82" s="273" t="str">
        <x:f t="shared" ca="1" si="181"/>
        <x:v/>
      </x:c>
      <x:c r="FP82" s="274" t="str">
        <x:f t="shared" ca="1" si="182"/>
        <x:v/>
      </x:c>
      <x:c r="FQ82" s="274" t="str">
        <x:f t="shared" ca="1" si="183"/>
        <x:v/>
      </x:c>
      <x:c r="FR82" s="321">
        <x:f t="shared" ca="1" si="184"/>
        <x:v>0</x:v>
      </x:c>
      <x:c r="FS82" s="322">
        <x:f t="shared" ca="1" si="185"/>
        <x:v>0</x:v>
      </x:c>
      <x:c r="FT82" s="272" t="str">
        <x:f t="shared" ca="1" si="186"/>
        <x:v/>
      </x:c>
      <x:c r="FU82" s="275" t="str">
        <x:f t="shared" ca="1" si="187"/>
        <x:v/>
      </x:c>
      <x:c r="FV82" s="323" t="str">
        <x:f t="shared" ca="1" si="165"/>
        <x:v/>
      </x:c>
      <x:c r="FW82" s="276" t="str">
        <x:f t="shared" ca="1" si="188"/>
        <x:v/>
      </x:c>
      <x:c r="FX82" s="276" t="str">
        <x:f t="shared" ca="1" si="189"/>
        <x:v/>
      </x:c>
      <x:c r="FY82" s="276" t="str">
        <x:f t="shared" ca="1" si="190"/>
        <x:v/>
      </x:c>
      <x:c r="FZ82" s="276" t="str">
        <x:f t="shared" ca="1" si="191"/>
        <x:v/>
      </x:c>
      <x:c r="GA82" s="276" t="str">
        <x:f t="shared" ca="1" si="192"/>
        <x:v/>
      </x:c>
      <x:c r="GB82" s="277" t="str">
        <x:f ca="1">IF(FY82="","",2+SUM(FO82:OFFSET(FO82,(FU82-1)*-1,0)))</x:f>
        <x:v/>
      </x:c>
      <x:c r="GC82" s="316" t="e">
        <x:f t="shared" si="193"/>
        <x:v>#N/A</x:v>
      </x:c>
      <x:c r="GD82" s="324" t="str">
        <x:f t="shared" si="166"/>
        <x:v/>
      </x:c>
      <x:c r="GE82" s="325" t="str">
        <x:f t="shared" si="167"/>
        <x:v/>
      </x:c>
      <x:c r="GF82" s="278" t="str">
        <x:f t="shared" si="168"/>
        <x:v/>
      </x:c>
      <x:c r="GG82" s="279" t="str">
        <x:f t="shared" si="169"/>
        <x:v/>
      </x:c>
      <x:c r="GH82" s="279" t="str">
        <x:f t="shared" si="170"/>
        <x:v/>
      </x:c>
      <x:c r="GI82" s="280" t="str">
        <x:f t="shared" si="171"/>
        <x:v/>
      </x:c>
      <x:c r="GJ82" s="530">
        <x:f t="shared" ca="1" si="172"/>
        <x:v>0</x:v>
      </x:c>
      <x:c r="GK82" s="895" t="str">
        <x:f t="shared" ca="1" si="194"/>
        <x:v/>
      </x:c>
    </x:row>
    <x:row r="83" spans="1:193" ht="12.6" hidden="1" customHeight="1" x14ac:dyDescent="0.2">
      <x:c r="BZ83" s="293"/>
      <x:c r="CA83" s="293"/>
      <x:c r="CB83" s="365" t="str">
        <x:f t="shared" si="100"/>
        <x:v/>
      </x:c>
      <x:c r="CC83" s="366" t="str">
        <x:f>IF(CG43="","",VLOOKUP(CG43,SectInfo!$B:$N,12,FALSE))</x:f>
        <x:v/>
      </x:c>
      <x:c r="CD83" s="1305" t="str">
        <x:f>IF(ISBLANK(CN43),IF(CG43="","",VLOOKUP(CG43,SectInfo!$B:$N,13,FALSE)),CN43)</x:f>
        <x:v/>
      </x:c>
      <x:c r="CE83" s="1305" t="str">
        <x:f>IF(CG43="","",IF(VLOOKUP(CG43,SectInfo!$B:$N,5,FALSE)="","R",UPPER(VLOOKUP(CG43,SectInfo!$B:$N,5,FALSE))))</x:f>
        <x:v/>
      </x:c>
      <x:c r="CF83" s="1305" t="str">
        <x:f>IF(ISBLANK(CP43),IF(CG43="","",VLOOKUP(CG43,SectInfo!$B:$N,6,FALSE)),CP43)</x:f>
        <x:v/>
      </x:c>
      <x:c r="CG83" s="1305" t="str">
        <x:f>IF(CG43="","",IF(VLOOKUP(CG43,SectInfo!$B:$N,10,FALSE)="","",(VLOOKUP(CG43,SectInfo!$B:$N,10,FALSE)*-1)))</x:f>
        <x:v/>
      </x:c>
      <x:c r="CH83" s="1305" t="str">
        <x:f>IF(CG43="","",IF(VLOOKUP(CG43,SectInfo!$B:$N,7,FALSE)="","",(VLOOKUP(CG43,SectInfo!$B:$N,7,FALSE)*-1)))</x:f>
        <x:v/>
      </x:c>
      <x:c r="CI83" s="1305" t="str">
        <x:f>IF(CG43="","",IF(VLOOKUP(CG43,SectInfo!$B:$N,8,FALSE)="",$FC$4,(VLOOKUP(CG43,SectInfo!$B:$N,8,FALSE))))</x:f>
        <x:v/>
      </x:c>
      <x:c r="CJ83" s="1305" t="str">
        <x:f>IF(CG43="","",VLOOKUP(CG43,SectInfo!$B:$N,9,FALSE))</x:f>
        <x:v/>
      </x:c>
      <x:c r="CK83" s="1306">
        <x:f t="shared" si="101"/>
        <x:v>0</x:v>
      </x:c>
      <x:c r="CL83" s="1304" t="str">
        <x:f>IF(CQ43="","",VLOOKUP(CQ43,SectInfo!$B:$N,12,FALSE))</x:f>
        <x:v/>
      </x:c>
      <x:c r="CM83" s="1305" t="str">
        <x:f>IF(ISBLANK(CX43),IF(CQ43="","",VLOOKUP(CQ43,SectInfo!$B:$N,13,FALSE)),CX43)</x:f>
        <x:v/>
      </x:c>
      <x:c r="CN83" s="1305" t="str">
        <x:f>IF(CQ43="","",IF(VLOOKUP(CQ43,SectInfo!$B:$N,5,FALSE)="","R",UPPER(VLOOKUP(CQ43,SectInfo!$B:$N,5,FALSE))))</x:f>
        <x:v/>
      </x:c>
      <x:c r="CO83" s="1305" t="str">
        <x:f>IF(ISBLANK(CZ43),IF(CQ43="","",VLOOKUP(CQ43,SectInfo!$B:$N,6,FALSE)),CZ43)</x:f>
        <x:v/>
      </x:c>
      <x:c r="CP83" s="1305" t="str">
        <x:f>IF(CQ43="","",IF(VLOOKUP(CQ43,SectInfo!$B:$N,10,FALSE)="","",(VLOOKUP(CQ43,SectInfo!$B:$N,10,FALSE)*-1)))</x:f>
        <x:v/>
      </x:c>
      <x:c r="CQ83" s="1305" t="str">
        <x:f>IF(CQ43="","",IF(VLOOKUP(CQ43,SectInfo!$B:$N,7,FALSE)="","",(VLOOKUP(CQ43,SectInfo!$B:$N,7,FALSE)*-1)))</x:f>
        <x:v/>
      </x:c>
      <x:c r="CR83" s="1305" t="str">
        <x:f>IF(CQ43="","",IF(VLOOKUP(CQ43,SectInfo!$B:$N,8,FALSE)="",$FC$4,(VLOOKUP(CQ43,SectInfo!$B:$N,8,FALSE))))</x:f>
        <x:v/>
      </x:c>
      <x:c r="CS83" s="1305" t="str">
        <x:f>IF(CQ43="","",VLOOKUP(CQ43,SectInfo!$B:$N,9,FALSE))</x:f>
        <x:v/>
      </x:c>
      <x:c r="CT83" s="1306">
        <x:f t="shared" si="102"/>
        <x:v>0</x:v>
      </x:c>
      <x:c r="CU83" s="1316">
        <x:f t="shared" si="103"/>
        <x:v>0</x:v>
      </x:c>
      <x:c r="CV83" s="1310" t="str">
        <x:f t="shared" si="104"/>
        <x:v/>
      </x:c>
      <x:c r="CW83" s="1310" t="str">
        <x:f t="shared" si="105"/>
        <x:v/>
      </x:c>
      <x:c r="CX83" s="1310" t="str">
        <x:f t="shared" si="106"/>
        <x:v/>
      </x:c>
      <x:c r="CY83" s="1312">
        <x:f t="shared" si="107"/>
        <x:v>0</x:v>
      </x:c>
      <x:c r="CZ83" s="1312">
        <x:f t="shared" si="108"/>
        <x:v>0</x:v>
      </x:c>
      <x:c r="DA83" s="1312" t="str">
        <x:f t="shared" si="109"/>
        <x:v/>
      </x:c>
      <x:c r="DB83" s="1310" t="str">
        <x:f t="shared" si="173"/>
        <x:v/>
      </x:c>
      <x:c r="DC83" s="1310" t="str">
        <x:f t="shared" si="110"/>
        <x:v/>
      </x:c>
      <x:c r="DD83" s="875">
        <x:f t="shared" si="174"/>
        <x:v>0</x:v>
      </x:c>
      <x:c r="DE83" s="873">
        <x:f t="shared" si="111"/>
        <x:v>0</x:v>
      </x:c>
      <x:c r="DF83" s="874">
        <x:f t="shared" si="112"/>
        <x:v>0</x:v>
      </x:c>
      <x:c r="DG83" s="874" t="str">
        <x:f t="shared" si="113"/>
        <x:v/>
      </x:c>
      <x:c r="DH83" s="1310" t="str">
        <x:f t="shared" si="175"/>
        <x:v/>
      </x:c>
      <x:c r="DI83" s="1310" t="str">
        <x:f t="shared" si="114"/>
        <x:v/>
      </x:c>
      <x:c r="DJ83" s="1311">
        <x:f t="shared" si="176"/>
        <x:v>0</x:v>
      </x:c>
      <x:c r="DK83" s="1310" t="str">
        <x:f t="shared" si="115"/>
        <x:v/>
      </x:c>
      <x:c r="DL83" s="1310" t="str">
        <x:f t="shared" si="116"/>
        <x:v/>
      </x:c>
      <x:c r="DM83" s="1310" t="str">
        <x:f t="shared" si="117"/>
        <x:v/>
      </x:c>
      <x:c r="DN83" s="1310" t="str">
        <x:f t="shared" si="118"/>
        <x:v/>
      </x:c>
      <x:c r="DO83" s="889" t="str">
        <x:f t="shared" si="119"/>
        <x:v>ERR</x:v>
      </x:c>
      <x:c r="DP83" s="889" t="str">
        <x:f t="shared" si="120"/>
        <x:v>ERR</x:v>
      </x:c>
      <x:c r="DQ83" s="1310" t="str">
        <x:f t="shared" si="121"/>
        <x:v/>
      </x:c>
      <x:c r="DR83" s="1310" t="str">
        <x:f t="shared" si="121"/>
        <x:v/>
      </x:c>
      <x:c r="DS83" s="1310" t="str">
        <x:f t="shared" si="122"/>
        <x:v/>
      </x:c>
      <x:c r="DT83" s="1310" t="str">
        <x:f t="shared" si="123"/>
        <x:v/>
      </x:c>
      <x:c r="DU83" s="1310" t="str">
        <x:f t="shared" si="124"/>
        <x:v/>
      </x:c>
      <x:c r="DV83" s="889" t="str">
        <x:f t="shared" si="125"/>
        <x:v>ERR</x:v>
      </x:c>
      <x:c r="DW83" s="889" t="str">
        <x:f t="shared" si="126"/>
        <x:v>ERR</x:v>
      </x:c>
      <x:c r="DX83" s="873" t="str">
        <x:f t="shared" si="195"/>
        <x:v/>
      </x:c>
      <x:c r="DY83" s="873" t="str">
        <x:f t="shared" si="195"/>
        <x:v/>
      </x:c>
      <x:c r="DZ83" s="873" t="str">
        <x:f t="shared" si="128"/>
        <x:v/>
      </x:c>
      <x:c r="EA83" s="873" t="str">
        <x:f t="shared" si="129"/>
        <x:v/>
      </x:c>
      <x:c r="EB83" s="876" t="str">
        <x:f t="shared" si="130"/>
        <x:v/>
      </x:c>
      <x:c r="EC83" s="877" t="str">
        <x:f t="shared" si="131"/>
        <x:v/>
      </x:c>
      <x:c r="ED83" s="876" t="str">
        <x:f t="shared" si="132"/>
        <x:v/>
      </x:c>
      <x:c r="EE83" s="876" t="str">
        <x:f t="shared" si="133"/>
        <x:v/>
      </x:c>
      <x:c r="EF83" s="876" t="str">
        <x:f t="shared" si="134"/>
        <x:v/>
      </x:c>
      <x:c r="EG83" s="876" t="str">
        <x:f t="shared" si="135"/>
        <x:v/>
      </x:c>
      <x:c r="EH83" s="876" t="str">
        <x:f t="shared" si="136"/>
        <x:v/>
      </x:c>
      <x:c r="EI83" s="876" t="str">
        <x:f t="shared" si="137"/>
        <x:v/>
      </x:c>
      <x:c r="EJ83" s="876" t="str">
        <x:f t="shared" si="138"/>
        <x:v/>
      </x:c>
      <x:c r="EK83" s="874">
        <x:f t="shared" si="139"/>
        <x:v>0</x:v>
      </x:c>
      <x:c r="EL83" s="874">
        <x:f t="shared" si="140"/>
        <x:v>0</x:v>
      </x:c>
      <x:c r="EM83" s="874">
        <x:f t="shared" si="141"/>
        <x:v>0</x:v>
      </x:c>
      <x:c r="EN83" s="874" t="str">
        <x:f t="shared" si="142"/>
        <x:v/>
      </x:c>
      <x:c r="EO83" s="873" t="str">
        <x:f t="shared" si="143"/>
        <x:v/>
      </x:c>
      <x:c r="EP83" s="874">
        <x:f t="shared" si="144"/>
        <x:v>0</x:v>
      </x:c>
      <x:c r="EQ83" s="874">
        <x:f t="shared" si="145"/>
        <x:v>0</x:v>
      </x:c>
      <x:c r="ER83" s="874">
        <x:f t="shared" si="146"/>
        <x:v>0</x:v>
      </x:c>
      <x:c r="ES83" s="874" t="str">
        <x:f t="shared" si="147"/>
        <x:v/>
      </x:c>
      <x:c r="ET83" s="873" t="str">
        <x:f t="shared" si="148"/>
        <x:v/>
      </x:c>
      <x:c r="EU83" s="873">
        <x:f t="shared" si="149"/>
        <x:v>0</x:v>
      </x:c>
      <x:c r="EV83" s="876" t="e">
        <x:f t="shared" si="150"/>
        <x:v>#VALUE!</x:v>
      </x:c>
      <x:c r="EW83" s="876" t="e">
        <x:f t="shared" si="151"/>
        <x:v>#VALUE!</x:v>
      </x:c>
      <x:c r="EX83" s="878" t="str">
        <x:f t="shared" si="152"/>
        <x:v/>
      </x:c>
      <x:c r="EY83" s="879" t="e">
        <x:f t="shared" si="153"/>
        <x:v>#DIV/0!</x:v>
      </x:c>
      <x:c r="EZ83" s="959" t="e">
        <x:f t="shared" si="154"/>
        <x:v>#DIV/0!</x:v>
      </x:c>
      <x:c r="FA83" s="960" t="e">
        <x:f t="shared" si="155"/>
        <x:v>#DIV/0!</x:v>
      </x:c>
      <x:c r="FB83" s="880" t="str">
        <x:f t="shared" si="156"/>
        <x:v/>
      </x:c>
      <x:c r="FC83" s="881" t="str">
        <x:f t="shared" si="157"/>
        <x:v/>
      </x:c>
      <x:c r="FD83" s="890">
        <x:f t="shared" si="158"/>
        <x:v>0</x:v>
      </x:c>
      <x:c r="FE83" s="833">
        <x:f t="shared" si="159"/>
        <x:v>0</x:v>
      </x:c>
      <x:c r="FF83" s="754" t="b">
        <x:f t="shared" si="160"/>
        <x:v>0</x:v>
      </x:c>
      <x:c r="FG83" s="754" t="b">
        <x:f t="shared" si="161"/>
        <x:v>0</x:v>
      </x:c>
      <x:c r="FH83" s="754" t="b">
        <x:f t="shared" si="162"/>
        <x:v>0</x:v>
      </x:c>
      <x:c r="FI83" s="754" t="b">
        <x:f t="shared" si="163"/>
        <x:v>0</x:v>
      </x:c>
      <x:c r="FJ83" s="920" t="str">
        <x:f t="shared" si="177"/>
        <x:v/>
      </x:c>
      <x:c r="FK83" s="919" t="str">
        <x:f t="shared" si="178"/>
        <x:v/>
      </x:c>
      <x:c r="FL83" s="320" t="e">
        <x:f t="shared" si="179"/>
        <x:v>#N/A</x:v>
      </x:c>
      <x:c r="FM83" s="312" t="str">
        <x:f t="shared" si="164"/>
        <x:v/>
      </x:c>
      <x:c r="FN83" s="272" t="str">
        <x:f t="shared" ca="1" si="180"/>
        <x:v/>
      </x:c>
      <x:c r="FO83" s="273" t="str">
        <x:f t="shared" ca="1" si="181"/>
        <x:v/>
      </x:c>
      <x:c r="FP83" s="274" t="str">
        <x:f t="shared" ca="1" si="182"/>
        <x:v/>
      </x:c>
      <x:c r="FQ83" s="274" t="str">
        <x:f t="shared" ca="1" si="183"/>
        <x:v/>
      </x:c>
      <x:c r="FR83" s="321">
        <x:f t="shared" ca="1" si="184"/>
        <x:v>0</x:v>
      </x:c>
      <x:c r="FS83" s="322">
        <x:f t="shared" ca="1" si="185"/>
        <x:v>0</x:v>
      </x:c>
      <x:c r="FT83" s="272" t="str">
        <x:f t="shared" ca="1" si="186"/>
        <x:v/>
      </x:c>
      <x:c r="FU83" s="275" t="str">
        <x:f t="shared" ca="1" si="187"/>
        <x:v/>
      </x:c>
      <x:c r="FV83" s="323" t="str">
        <x:f t="shared" ca="1" si="165"/>
        <x:v/>
      </x:c>
      <x:c r="FW83" s="276" t="str">
        <x:f t="shared" ca="1" si="188"/>
        <x:v/>
      </x:c>
      <x:c r="FX83" s="276" t="str">
        <x:f t="shared" ca="1" si="189"/>
        <x:v/>
      </x:c>
      <x:c r="FY83" s="276" t="str">
        <x:f t="shared" ca="1" si="190"/>
        <x:v/>
      </x:c>
      <x:c r="FZ83" s="276" t="str">
        <x:f t="shared" ca="1" si="191"/>
        <x:v/>
      </x:c>
      <x:c r="GA83" s="276" t="str">
        <x:f t="shared" ca="1" si="192"/>
        <x:v/>
      </x:c>
      <x:c r="GB83" s="277" t="str">
        <x:f ca="1">IF(FY83="","",2+SUM(FO83:OFFSET(FO83,(FU83-1)*-1,0)))</x:f>
        <x:v/>
      </x:c>
      <x:c r="GC83" s="316" t="e">
        <x:f t="shared" si="193"/>
        <x:v>#N/A</x:v>
      </x:c>
      <x:c r="GD83" s="324" t="str">
        <x:f t="shared" si="166"/>
        <x:v/>
      </x:c>
      <x:c r="GE83" s="325" t="str">
        <x:f t="shared" si="167"/>
        <x:v/>
      </x:c>
      <x:c r="GF83" s="278" t="str">
        <x:f t="shared" si="168"/>
        <x:v/>
      </x:c>
      <x:c r="GG83" s="279" t="str">
        <x:f t="shared" si="169"/>
        <x:v/>
      </x:c>
      <x:c r="GH83" s="279" t="str">
        <x:f t="shared" si="170"/>
        <x:v/>
      </x:c>
      <x:c r="GI83" s="280" t="str">
        <x:f t="shared" si="171"/>
        <x:v/>
      </x:c>
      <x:c r="GJ83" s="530">
        <x:f t="shared" ca="1" si="172"/>
        <x:v>0</x:v>
      </x:c>
      <x:c r="GK83" s="895" t="str">
        <x:f t="shared" ca="1" si="194"/>
        <x:v/>
      </x:c>
    </x:row>
    <x:row r="84" spans="1:193" ht="12.6" hidden="1" customHeight="1" x14ac:dyDescent="0.2">
      <x:c r="BZ84" s="293"/>
      <x:c r="CA84" s="293"/>
      <x:c r="CB84" s="365" t="str">
        <x:f t="shared" si="100"/>
        <x:v/>
      </x:c>
      <x:c r="CC84" s="366" t="str">
        <x:f>IF(CG44="","",VLOOKUP(CG44,SectInfo!$B:$N,12,FALSE))</x:f>
        <x:v/>
      </x:c>
      <x:c r="CD84" s="1305" t="str">
        <x:f>IF(ISBLANK(CN44),IF(CG44="","",VLOOKUP(CG44,SectInfo!$B:$N,13,FALSE)),CN44)</x:f>
        <x:v/>
      </x:c>
      <x:c r="CE84" s="1305" t="str">
        <x:f>IF(CG44="","",IF(VLOOKUP(CG44,SectInfo!$B:$N,5,FALSE)="","R",UPPER(VLOOKUP(CG44,SectInfo!$B:$N,5,FALSE))))</x:f>
        <x:v/>
      </x:c>
      <x:c r="CF84" s="1305" t="str">
        <x:f>IF(ISBLANK(CP44),IF(CG44="","",VLOOKUP(CG44,SectInfo!$B:$N,6,FALSE)),CP44)</x:f>
        <x:v/>
      </x:c>
      <x:c r="CG84" s="1305" t="str">
        <x:f>IF(CG44="","",IF(VLOOKUP(CG44,SectInfo!$B:$N,10,FALSE)="","",(VLOOKUP(CG44,SectInfo!$B:$N,10,FALSE)*-1)))</x:f>
        <x:v/>
      </x:c>
      <x:c r="CH84" s="1305" t="str">
        <x:f>IF(CG44="","",IF(VLOOKUP(CG44,SectInfo!$B:$N,7,FALSE)="","",(VLOOKUP(CG44,SectInfo!$B:$N,7,FALSE)*-1)))</x:f>
        <x:v/>
      </x:c>
      <x:c r="CI84" s="1305" t="str">
        <x:f>IF(CG44="","",IF(VLOOKUP(CG44,SectInfo!$B:$N,8,FALSE)="",$FC$4,(VLOOKUP(CG44,SectInfo!$B:$N,8,FALSE))))</x:f>
        <x:v/>
      </x:c>
      <x:c r="CJ84" s="1305" t="str">
        <x:f>IF(CG44="","",VLOOKUP(CG44,SectInfo!$B:$N,9,FALSE))</x:f>
        <x:v/>
      </x:c>
      <x:c r="CK84" s="1306">
        <x:f t="shared" si="101"/>
        <x:v>0</x:v>
      </x:c>
      <x:c r="CL84" s="1304" t="str">
        <x:f>IF(CQ44="","",VLOOKUP(CQ44,SectInfo!$B:$N,12,FALSE))</x:f>
        <x:v/>
      </x:c>
      <x:c r="CM84" s="1305" t="str">
        <x:f>IF(ISBLANK(CX44),IF(CQ44="","",VLOOKUP(CQ44,SectInfo!$B:$N,13,FALSE)),CX44)</x:f>
        <x:v/>
      </x:c>
      <x:c r="CN84" s="1305" t="str">
        <x:f>IF(CQ44="","",IF(VLOOKUP(CQ44,SectInfo!$B:$N,5,FALSE)="","R",UPPER(VLOOKUP(CQ44,SectInfo!$B:$N,5,FALSE))))</x:f>
        <x:v/>
      </x:c>
      <x:c r="CO84" s="1305" t="str">
        <x:f>IF(ISBLANK(CZ44),IF(CQ44="","",VLOOKUP(CQ44,SectInfo!$B:$N,6,FALSE)),CZ44)</x:f>
        <x:v/>
      </x:c>
      <x:c r="CP84" s="1305" t="str">
        <x:f>IF(CQ44="","",IF(VLOOKUP(CQ44,SectInfo!$B:$N,10,FALSE)="","",(VLOOKUP(CQ44,SectInfo!$B:$N,10,FALSE)*-1)))</x:f>
        <x:v/>
      </x:c>
      <x:c r="CQ84" s="1305" t="str">
        <x:f>IF(CQ44="","",IF(VLOOKUP(CQ44,SectInfo!$B:$N,7,FALSE)="","",(VLOOKUP(CQ44,SectInfo!$B:$N,7,FALSE)*-1)))</x:f>
        <x:v/>
      </x:c>
      <x:c r="CR84" s="1305" t="str">
        <x:f>IF(CQ44="","",IF(VLOOKUP(CQ44,SectInfo!$B:$N,8,FALSE)="",$FC$4,(VLOOKUP(CQ44,SectInfo!$B:$N,8,FALSE))))</x:f>
        <x:v/>
      </x:c>
      <x:c r="CS84" s="1305" t="str">
        <x:f>IF(CQ44="","",VLOOKUP(CQ44,SectInfo!$B:$N,9,FALSE))</x:f>
        <x:v/>
      </x:c>
      <x:c r="CT84" s="1306">
        <x:f t="shared" si="102"/>
        <x:v>0</x:v>
      </x:c>
      <x:c r="CU84" s="1316">
        <x:f t="shared" si="103"/>
        <x:v>0</x:v>
      </x:c>
      <x:c r="CV84" s="1310" t="str">
        <x:f t="shared" si="104"/>
        <x:v/>
      </x:c>
      <x:c r="CW84" s="1310" t="str">
        <x:f t="shared" si="105"/>
        <x:v/>
      </x:c>
      <x:c r="CX84" s="1310" t="str">
        <x:f t="shared" si="106"/>
        <x:v/>
      </x:c>
      <x:c r="CY84" s="1312">
        <x:f t="shared" si="107"/>
        <x:v>0</x:v>
      </x:c>
      <x:c r="CZ84" s="1312">
        <x:f t="shared" si="108"/>
        <x:v>0</x:v>
      </x:c>
      <x:c r="DA84" s="1312" t="str">
        <x:f t="shared" si="109"/>
        <x:v/>
      </x:c>
      <x:c r="DB84" s="1310" t="str">
        <x:f t="shared" si="173"/>
        <x:v/>
      </x:c>
      <x:c r="DC84" s="1310" t="str">
        <x:f t="shared" si="110"/>
        <x:v/>
      </x:c>
      <x:c r="DD84" s="875">
        <x:f t="shared" si="174"/>
        <x:v>0</x:v>
      </x:c>
      <x:c r="DE84" s="873">
        <x:f t="shared" si="111"/>
        <x:v>0</x:v>
      </x:c>
      <x:c r="DF84" s="874">
        <x:f t="shared" si="112"/>
        <x:v>0</x:v>
      </x:c>
      <x:c r="DG84" s="874" t="str">
        <x:f t="shared" si="113"/>
        <x:v/>
      </x:c>
      <x:c r="DH84" s="1310" t="str">
        <x:f t="shared" si="175"/>
        <x:v/>
      </x:c>
      <x:c r="DI84" s="1310" t="str">
        <x:f t="shared" si="114"/>
        <x:v/>
      </x:c>
      <x:c r="DJ84" s="1311">
        <x:f t="shared" si="176"/>
        <x:v>0</x:v>
      </x:c>
      <x:c r="DK84" s="1310" t="str">
        <x:f t="shared" si="115"/>
        <x:v/>
      </x:c>
      <x:c r="DL84" s="1310" t="str">
        <x:f t="shared" si="116"/>
        <x:v/>
      </x:c>
      <x:c r="DM84" s="1310" t="str">
        <x:f t="shared" si="117"/>
        <x:v/>
      </x:c>
      <x:c r="DN84" s="1310" t="str">
        <x:f t="shared" si="118"/>
        <x:v/>
      </x:c>
      <x:c r="DO84" s="889" t="str">
        <x:f t="shared" si="119"/>
        <x:v>ERR</x:v>
      </x:c>
      <x:c r="DP84" s="889" t="str">
        <x:f t="shared" si="120"/>
        <x:v>ERR</x:v>
      </x:c>
      <x:c r="DQ84" s="1310" t="str">
        <x:f t="shared" si="121"/>
        <x:v/>
      </x:c>
      <x:c r="DR84" s="1310" t="str">
        <x:f t="shared" si="121"/>
        <x:v/>
      </x:c>
      <x:c r="DS84" s="1310" t="str">
        <x:f t="shared" si="122"/>
        <x:v/>
      </x:c>
      <x:c r="DT84" s="1310" t="str">
        <x:f t="shared" si="123"/>
        <x:v/>
      </x:c>
      <x:c r="DU84" s="1310" t="str">
        <x:f t="shared" si="124"/>
        <x:v/>
      </x:c>
      <x:c r="DV84" s="889" t="str">
        <x:f t="shared" si="125"/>
        <x:v>ERR</x:v>
      </x:c>
      <x:c r="DW84" s="889" t="str">
        <x:f t="shared" si="126"/>
        <x:v>ERR</x:v>
      </x:c>
      <x:c r="DX84" s="873" t="str">
        <x:f t="shared" si="195"/>
        <x:v/>
      </x:c>
      <x:c r="DY84" s="873" t="str">
        <x:f t="shared" si="195"/>
        <x:v/>
      </x:c>
      <x:c r="DZ84" s="873" t="str">
        <x:f t="shared" si="128"/>
        <x:v/>
      </x:c>
      <x:c r="EA84" s="873" t="str">
        <x:f t="shared" si="129"/>
        <x:v/>
      </x:c>
      <x:c r="EB84" s="876" t="str">
        <x:f t="shared" si="130"/>
        <x:v/>
      </x:c>
      <x:c r="EC84" s="877" t="str">
        <x:f t="shared" si="131"/>
        <x:v/>
      </x:c>
      <x:c r="ED84" s="876" t="str">
        <x:f t="shared" si="132"/>
        <x:v/>
      </x:c>
      <x:c r="EE84" s="876" t="str">
        <x:f t="shared" si="133"/>
        <x:v/>
      </x:c>
      <x:c r="EF84" s="876" t="str">
        <x:f t="shared" si="134"/>
        <x:v/>
      </x:c>
      <x:c r="EG84" s="876" t="str">
        <x:f t="shared" si="135"/>
        <x:v/>
      </x:c>
      <x:c r="EH84" s="876" t="str">
        <x:f t="shared" si="136"/>
        <x:v/>
      </x:c>
      <x:c r="EI84" s="876" t="str">
        <x:f t="shared" si="137"/>
        <x:v/>
      </x:c>
      <x:c r="EJ84" s="876" t="str">
        <x:f t="shared" si="138"/>
        <x:v/>
      </x:c>
      <x:c r="EK84" s="874">
        <x:f t="shared" si="139"/>
        <x:v>0</x:v>
      </x:c>
      <x:c r="EL84" s="874">
        <x:f t="shared" si="140"/>
        <x:v>0</x:v>
      </x:c>
      <x:c r="EM84" s="874">
        <x:f t="shared" si="141"/>
        <x:v>0</x:v>
      </x:c>
      <x:c r="EN84" s="874" t="str">
        <x:f t="shared" si="142"/>
        <x:v/>
      </x:c>
      <x:c r="EO84" s="873" t="str">
        <x:f t="shared" si="143"/>
        <x:v/>
      </x:c>
      <x:c r="EP84" s="874">
        <x:f t="shared" si="144"/>
        <x:v>0</x:v>
      </x:c>
      <x:c r="EQ84" s="874">
        <x:f t="shared" si="145"/>
        <x:v>0</x:v>
      </x:c>
      <x:c r="ER84" s="874">
        <x:f t="shared" si="146"/>
        <x:v>0</x:v>
      </x:c>
      <x:c r="ES84" s="874" t="str">
        <x:f t="shared" si="147"/>
        <x:v/>
      </x:c>
      <x:c r="ET84" s="873" t="str">
        <x:f t="shared" si="148"/>
        <x:v/>
      </x:c>
      <x:c r="EU84" s="873">
        <x:f t="shared" si="149"/>
        <x:v>0</x:v>
      </x:c>
      <x:c r="EV84" s="876" t="e">
        <x:f t="shared" si="150"/>
        <x:v>#VALUE!</x:v>
      </x:c>
      <x:c r="EW84" s="876" t="e">
        <x:f t="shared" si="151"/>
        <x:v>#VALUE!</x:v>
      </x:c>
      <x:c r="EX84" s="878" t="str">
        <x:f t="shared" si="152"/>
        <x:v/>
      </x:c>
      <x:c r="EY84" s="879" t="e">
        <x:f t="shared" si="153"/>
        <x:v>#DIV/0!</x:v>
      </x:c>
      <x:c r="EZ84" s="959" t="e">
        <x:f t="shared" si="154"/>
        <x:v>#DIV/0!</x:v>
      </x:c>
      <x:c r="FA84" s="960" t="e">
        <x:f t="shared" si="155"/>
        <x:v>#DIV/0!</x:v>
      </x:c>
      <x:c r="FB84" s="880" t="str">
        <x:f t="shared" si="156"/>
        <x:v/>
      </x:c>
      <x:c r="FC84" s="881" t="str">
        <x:f t="shared" si="157"/>
        <x:v/>
      </x:c>
      <x:c r="FD84" s="890">
        <x:f t="shared" si="158"/>
        <x:v>0</x:v>
      </x:c>
      <x:c r="FE84" s="833">
        <x:f t="shared" si="159"/>
        <x:v>0</x:v>
      </x:c>
      <x:c r="FF84" s="754" t="b">
        <x:f t="shared" si="160"/>
        <x:v>0</x:v>
      </x:c>
      <x:c r="FG84" s="754" t="b">
        <x:f t="shared" si="161"/>
        <x:v>0</x:v>
      </x:c>
      <x:c r="FH84" s="754" t="b">
        <x:f t="shared" si="162"/>
        <x:v>0</x:v>
      </x:c>
      <x:c r="FI84" s="754" t="b">
        <x:f t="shared" si="163"/>
        <x:v>0</x:v>
      </x:c>
      <x:c r="FJ84" s="920" t="str">
        <x:f t="shared" si="177"/>
        <x:v/>
      </x:c>
      <x:c r="FK84" s="919" t="str">
        <x:f t="shared" si="178"/>
        <x:v/>
      </x:c>
      <x:c r="FL84" s="320" t="e">
        <x:f t="shared" si="179"/>
        <x:v>#N/A</x:v>
      </x:c>
      <x:c r="FM84" s="312" t="str">
        <x:f t="shared" si="164"/>
        <x:v/>
      </x:c>
      <x:c r="FN84" s="272" t="str">
        <x:f t="shared" ca="1" si="180"/>
        <x:v/>
      </x:c>
      <x:c r="FO84" s="273" t="str">
        <x:f t="shared" ca="1" si="181"/>
        <x:v/>
      </x:c>
      <x:c r="FP84" s="274" t="str">
        <x:f t="shared" ca="1" si="182"/>
        <x:v/>
      </x:c>
      <x:c r="FQ84" s="274" t="str">
        <x:f t="shared" ca="1" si="183"/>
        <x:v/>
      </x:c>
      <x:c r="FR84" s="321">
        <x:f t="shared" ca="1" si="184"/>
        <x:v>0</x:v>
      </x:c>
      <x:c r="FS84" s="322">
        <x:f t="shared" ca="1" si="185"/>
        <x:v>0</x:v>
      </x:c>
      <x:c r="FT84" s="272" t="str">
        <x:f t="shared" ca="1" si="186"/>
        <x:v/>
      </x:c>
      <x:c r="FU84" s="275" t="str">
        <x:f t="shared" ca="1" si="187"/>
        <x:v/>
      </x:c>
      <x:c r="FV84" s="323" t="str">
        <x:f t="shared" ca="1" si="165"/>
        <x:v/>
      </x:c>
      <x:c r="FW84" s="276" t="str">
        <x:f t="shared" ca="1" si="188"/>
        <x:v/>
      </x:c>
      <x:c r="FX84" s="276" t="str">
        <x:f t="shared" ca="1" si="189"/>
        <x:v/>
      </x:c>
      <x:c r="FY84" s="276" t="str">
        <x:f t="shared" ca="1" si="190"/>
        <x:v/>
      </x:c>
      <x:c r="FZ84" s="276" t="str">
        <x:f t="shared" ca="1" si="191"/>
        <x:v/>
      </x:c>
      <x:c r="GA84" s="276" t="str">
        <x:f t="shared" ca="1" si="192"/>
        <x:v/>
      </x:c>
      <x:c r="GB84" s="277" t="str">
        <x:f ca="1">IF(FY84="","",2+SUM(FO84:OFFSET(FO84,(FU84-1)*-1,0)))</x:f>
        <x:v/>
      </x:c>
      <x:c r="GC84" s="316" t="e">
        <x:f t="shared" si="193"/>
        <x:v>#N/A</x:v>
      </x:c>
      <x:c r="GD84" s="324" t="str">
        <x:f t="shared" si="166"/>
        <x:v/>
      </x:c>
      <x:c r="GE84" s="325" t="str">
        <x:f t="shared" si="167"/>
        <x:v/>
      </x:c>
      <x:c r="GF84" s="278" t="str">
        <x:f t="shared" si="168"/>
        <x:v/>
      </x:c>
      <x:c r="GG84" s="279" t="str">
        <x:f t="shared" si="169"/>
        <x:v/>
      </x:c>
      <x:c r="GH84" s="279" t="str">
        <x:f t="shared" si="170"/>
        <x:v/>
      </x:c>
      <x:c r="GI84" s="280" t="str">
        <x:f t="shared" si="171"/>
        <x:v/>
      </x:c>
      <x:c r="GJ84" s="530">
        <x:f t="shared" ca="1" si="172"/>
        <x:v>0</x:v>
      </x:c>
      <x:c r="GK84" s="895" t="str">
        <x:f t="shared" ca="1" si="194"/>
        <x:v/>
      </x:c>
    </x:row>
    <x:row r="85" spans="1:193" ht="12.6" hidden="1" customHeight="1" thickBot="1" x14ac:dyDescent="0.25">
      <x:c r="BZ85" s="293"/>
      <x:c r="CA85" s="293"/>
      <x:c r="CB85" s="365" t="str">
        <x:f t="shared" si="100"/>
        <x:v/>
      </x:c>
      <x:c r="CC85" s="366" t="str">
        <x:f>IF(CG45="","",VLOOKUP(CG45,SectInfo!$B:$N,12,FALSE))</x:f>
        <x:v/>
      </x:c>
      <x:c r="CD85" s="1305" t="str">
        <x:f>IF(ISBLANK(CN45),IF(CG45="","",VLOOKUP(CG45,SectInfo!$B:$N,13,FALSE)),CN45)</x:f>
        <x:v/>
      </x:c>
      <x:c r="CE85" s="1305" t="str">
        <x:f>IF(CG45="","",IF(VLOOKUP(CG45,SectInfo!$B:$N,5,FALSE)="","R",UPPER(VLOOKUP(CG45,SectInfo!$B:$N,5,FALSE))))</x:f>
        <x:v/>
      </x:c>
      <x:c r="CF85" s="1305" t="str">
        <x:f>IF(ISBLANK(CP45),IF(CG45="","",VLOOKUP(CG45,SectInfo!$B:$N,6,FALSE)),CP45)</x:f>
        <x:v/>
      </x:c>
      <x:c r="CG85" s="1305" t="str">
        <x:f>IF(CG45="","",IF(VLOOKUP(CG45,SectInfo!$B:$N,10,FALSE)="","",(VLOOKUP(CG45,SectInfo!$B:$N,10,FALSE)*-1)))</x:f>
        <x:v/>
      </x:c>
      <x:c r="CH85" s="1305" t="str">
        <x:f>IF(CG45="","",IF(VLOOKUP(CG45,SectInfo!$B:$N,7,FALSE)="","",(VLOOKUP(CG45,SectInfo!$B:$N,7,FALSE)*-1)))</x:f>
        <x:v/>
      </x:c>
      <x:c r="CI85" s="1305" t="str">
        <x:f>IF(CG45="","",IF(VLOOKUP(CG45,SectInfo!$B:$N,8,FALSE)="",$FC$4,(VLOOKUP(CG45,SectInfo!$B:$N,8,FALSE))))</x:f>
        <x:v/>
      </x:c>
      <x:c r="CJ85" s="1305" t="str">
        <x:f>IF(CG45="","",VLOOKUP(CG45,SectInfo!$B:$N,9,FALSE))</x:f>
        <x:v/>
      </x:c>
      <x:c r="CK85" s="1306">
        <x:f t="shared" si="101"/>
        <x:v>0</x:v>
      </x:c>
      <x:c r="CL85" s="1304" t="str">
        <x:f>IF(CQ45="","",VLOOKUP(CQ45,SectInfo!$B:$N,12,FALSE))</x:f>
        <x:v/>
      </x:c>
      <x:c r="CM85" s="1305" t="str">
        <x:f>IF(ISBLANK(CX45),IF(CQ45="","",VLOOKUP(CQ45,SectInfo!$B:$N,13,FALSE)),CX45)</x:f>
        <x:v/>
      </x:c>
      <x:c r="CN85" s="1305" t="str">
        <x:f>IF(CQ45="","",IF(VLOOKUP(CQ45,SectInfo!$B:$N,5,FALSE)="","R",UPPER(VLOOKUP(CQ45,SectInfo!$B:$N,5,FALSE))))</x:f>
        <x:v/>
      </x:c>
      <x:c r="CO85" s="1305" t="str">
        <x:f>IF(ISBLANK(CZ45),IF(CQ45="","",VLOOKUP(CQ45,SectInfo!$B:$N,6,FALSE)),CZ45)</x:f>
        <x:v/>
      </x:c>
      <x:c r="CP85" s="1305" t="str">
        <x:f>IF(CQ45="","",IF(VLOOKUP(CQ45,SectInfo!$B:$N,10,FALSE)="","",(VLOOKUP(CQ45,SectInfo!$B:$N,10,FALSE)*-1)))</x:f>
        <x:v/>
      </x:c>
      <x:c r="CQ85" s="1305" t="str">
        <x:f>IF(CQ45="","",IF(VLOOKUP(CQ45,SectInfo!$B:$N,7,FALSE)="","",(VLOOKUP(CQ45,SectInfo!$B:$N,7,FALSE)*-1)))</x:f>
        <x:v/>
      </x:c>
      <x:c r="CR85" s="1305" t="str">
        <x:f>IF(CQ45="","",IF(VLOOKUP(CQ45,SectInfo!$B:$N,8,FALSE)="",$FC$4,(VLOOKUP(CQ45,SectInfo!$B:$N,8,FALSE))))</x:f>
        <x:v/>
      </x:c>
      <x:c r="CS85" s="1305" t="str">
        <x:f>IF(CQ45="","",VLOOKUP(CQ45,SectInfo!$B:$N,9,FALSE))</x:f>
        <x:v/>
      </x:c>
      <x:c r="CT85" s="1306">
        <x:f t="shared" si="102"/>
        <x:v>0</x:v>
      </x:c>
      <x:c r="CU85" s="1316">
        <x:f t="shared" si="103"/>
        <x:v>0</x:v>
      </x:c>
      <x:c r="CV85" s="1310" t="str">
        <x:f t="shared" si="104"/>
        <x:v/>
      </x:c>
      <x:c r="CW85" s="1310" t="str">
        <x:f t="shared" si="105"/>
        <x:v/>
      </x:c>
      <x:c r="CX85" s="1310" t="str">
        <x:f t="shared" si="106"/>
        <x:v/>
      </x:c>
      <x:c r="CY85" s="1312">
        <x:f t="shared" si="107"/>
        <x:v>0</x:v>
      </x:c>
      <x:c r="CZ85" s="1312">
        <x:f t="shared" si="108"/>
        <x:v>0</x:v>
      </x:c>
      <x:c r="DA85" s="1312" t="str">
        <x:f t="shared" si="109"/>
        <x:v/>
      </x:c>
      <x:c r="DB85" s="1310" t="str">
        <x:f t="shared" si="173"/>
        <x:v/>
      </x:c>
      <x:c r="DC85" s="1310" t="str">
        <x:f t="shared" si="110"/>
        <x:v/>
      </x:c>
      <x:c r="DD85" s="875">
        <x:f t="shared" si="174"/>
        <x:v>0</x:v>
      </x:c>
      <x:c r="DE85" s="873">
        <x:f t="shared" si="111"/>
        <x:v>0</x:v>
      </x:c>
      <x:c r="DF85" s="874">
        <x:f t="shared" si="112"/>
        <x:v>0</x:v>
      </x:c>
      <x:c r="DG85" s="874" t="str">
        <x:f t="shared" si="113"/>
        <x:v/>
      </x:c>
      <x:c r="DH85" s="1310" t="str">
        <x:f t="shared" si="175"/>
        <x:v/>
      </x:c>
      <x:c r="DI85" s="1310" t="str">
        <x:f t="shared" si="114"/>
        <x:v/>
      </x:c>
      <x:c r="DJ85" s="1311">
        <x:f t="shared" si="176"/>
        <x:v>0</x:v>
      </x:c>
      <x:c r="DK85" s="1310" t="str">
        <x:f t="shared" si="115"/>
        <x:v/>
      </x:c>
      <x:c r="DL85" s="1310" t="str">
        <x:f t="shared" si="116"/>
        <x:v/>
      </x:c>
      <x:c r="DM85" s="1310" t="str">
        <x:f t="shared" si="117"/>
        <x:v/>
      </x:c>
      <x:c r="DN85" s="1310" t="str">
        <x:f t="shared" si="118"/>
        <x:v/>
      </x:c>
      <x:c r="DO85" s="889" t="str">
        <x:f t="shared" si="119"/>
        <x:v>ERR</x:v>
      </x:c>
      <x:c r="DP85" s="889" t="str">
        <x:f t="shared" si="120"/>
        <x:v>ERR</x:v>
      </x:c>
      <x:c r="DQ85" s="1310" t="str">
        <x:f t="shared" si="121"/>
        <x:v/>
      </x:c>
      <x:c r="DR85" s="1310" t="str">
        <x:f t="shared" si="121"/>
        <x:v/>
      </x:c>
      <x:c r="DS85" s="1310" t="str">
        <x:f t="shared" si="122"/>
        <x:v/>
      </x:c>
      <x:c r="DT85" s="1310" t="str">
        <x:f t="shared" si="123"/>
        <x:v/>
      </x:c>
      <x:c r="DU85" s="1310" t="str">
        <x:f t="shared" si="124"/>
        <x:v/>
      </x:c>
      <x:c r="DV85" s="889" t="str">
        <x:f t="shared" si="125"/>
        <x:v>ERR</x:v>
      </x:c>
      <x:c r="DW85" s="889" t="str">
        <x:f t="shared" si="126"/>
        <x:v>ERR</x:v>
      </x:c>
      <x:c r="DX85" s="873" t="str">
        <x:f t="shared" si="195"/>
        <x:v/>
      </x:c>
      <x:c r="DY85" s="873" t="str">
        <x:f t="shared" si="195"/>
        <x:v/>
      </x:c>
      <x:c r="DZ85" s="873" t="str">
        <x:f>IF(CG85="","",IF((CD85-CG85)/COS(CU85)-FB85&lt;=-0.0625,CEILING((CD85-CG85)/COS(CU85)-FB85+0.0625,-0.125),IF((CD85-CG85)/COS(CU85)-FB85&gt;=0.0625,CEILING((CD85-CG85)/COS(CU85)-FB85-0.0625,0.125),0)))</x:f>
        <x:v/>
      </x:c>
      <x:c r="EA85" s="873" t="str">
        <x:f>IF(CP85="","",IF((CM85-CP85)/COS(CU85)-FC85&lt;=-0.0625,CEILING((CM85-CP85)/COS(CU85)-FC85+0.0625,-0.125),IF((CM85-CP85)/COS(CU85)-FC85&gt;=0.0625,CEILING((CM85-CP85)/COS(CU85)-FC85-0.0625,0.125),0)))</x:f>
        <x:v/>
      </x:c>
      <x:c r="EB85" s="876" t="str">
        <x:f t="shared" si="130"/>
        <x:v/>
      </x:c>
      <x:c r="EC85" s="877" t="str">
        <x:f t="shared" si="131"/>
        <x:v/>
      </x:c>
      <x:c r="ED85" s="876" t="str">
        <x:f t="shared" si="132"/>
        <x:v/>
      </x:c>
      <x:c r="EE85" s="876" t="str">
        <x:f t="shared" si="133"/>
        <x:v/>
      </x:c>
      <x:c r="EF85" s="876" t="str">
        <x:f t="shared" si="134"/>
        <x:v/>
      </x:c>
      <x:c r="EG85" s="876" t="str">
        <x:f t="shared" si="135"/>
        <x:v/>
      </x:c>
      <x:c r="EH85" s="876" t="str">
        <x:f t="shared" si="136"/>
        <x:v/>
      </x:c>
      <x:c r="EI85" s="876" t="str">
        <x:f t="shared" si="137"/>
        <x:v/>
      </x:c>
      <x:c r="EJ85" s="876" t="str">
        <x:f t="shared" si="138"/>
        <x:v/>
      </x:c>
      <x:c r="EK85" s="874">
        <x:f t="shared" si="139"/>
        <x:v>0</x:v>
      </x:c>
      <x:c r="EL85" s="874">
        <x:f t="shared" si="140"/>
        <x:v>0</x:v>
      </x:c>
      <x:c r="EM85" s="874">
        <x:f t="shared" si="141"/>
        <x:v>0</x:v>
      </x:c>
      <x:c r="EN85" s="874" t="str">
        <x:f t="shared" si="142"/>
        <x:v/>
      </x:c>
      <x:c r="EO85" s="873" t="str">
        <x:f t="shared" si="143"/>
        <x:v/>
      </x:c>
      <x:c r="EP85" s="874">
        <x:f t="shared" si="144"/>
        <x:v>0</x:v>
      </x:c>
      <x:c r="EQ85" s="874">
        <x:f t="shared" si="145"/>
        <x:v>0</x:v>
      </x:c>
      <x:c r="ER85" s="874">
        <x:f t="shared" si="146"/>
        <x:v>0</x:v>
      </x:c>
      <x:c r="ES85" s="874" t="str">
        <x:f t="shared" si="147"/>
        <x:v/>
      </x:c>
      <x:c r="ET85" s="873" t="str">
        <x:f t="shared" si="148"/>
        <x:v/>
      </x:c>
      <x:c r="EU85" s="873">
        <x:f t="shared" si="149"/>
        <x:v>0</x:v>
      </x:c>
      <x:c r="EV85" s="876" t="e">
        <x:f t="shared" si="150"/>
        <x:v>#VALUE!</x:v>
      </x:c>
      <x:c r="EW85" s="876" t="e">
        <x:f t="shared" si="151"/>
        <x:v>#VALUE!</x:v>
      </x:c>
      <x:c r="EX85" s="878" t="str">
        <x:f t="shared" si="152"/>
        <x:v/>
      </x:c>
      <x:c r="EY85" s="879" t="e">
        <x:f t="shared" si="153"/>
        <x:v>#DIV/0!</x:v>
      </x:c>
      <x:c r="EZ85" s="959" t="e">
        <x:f t="shared" si="154"/>
        <x:v>#DIV/0!</x:v>
      </x:c>
      <x:c r="FA85" s="960" t="e">
        <x:f t="shared" si="155"/>
        <x:v>#DIV/0!</x:v>
      </x:c>
      <x:c r="FB85" s="880" t="str">
        <x:f t="shared" si="156"/>
        <x:v/>
      </x:c>
      <x:c r="FC85" s="881" t="str">
        <x:f t="shared" si="157"/>
        <x:v/>
      </x:c>
      <x:c r="FD85" s="890">
        <x:f t="shared" si="158"/>
        <x:v>0</x:v>
      </x:c>
      <x:c r="FE85" s="833">
        <x:f t="shared" si="159"/>
        <x:v>0</x:v>
      </x:c>
      <x:c r="FF85" s="754" t="b">
        <x:f t="shared" si="160"/>
        <x:v>0</x:v>
      </x:c>
      <x:c r="FG85" s="754" t="b">
        <x:f t="shared" si="161"/>
        <x:v>0</x:v>
      </x:c>
      <x:c r="FH85" s="754" t="b">
        <x:f t="shared" si="162"/>
        <x:v>0</x:v>
      </x:c>
      <x:c r="FI85" s="754" t="b">
        <x:f t="shared" si="163"/>
        <x:v>0</x:v>
      </x:c>
      <x:c r="FJ85" s="920" t="str">
        <x:f t="shared" si="177"/>
        <x:v/>
      </x:c>
      <x:c r="FK85" s="922" t="str">
        <x:f t="shared" si="178"/>
        <x:v/>
      </x:c>
      <x:c r="FL85" s="327" t="e">
        <x:f t="shared" si="179"/>
        <x:v>#N/A</x:v>
      </x:c>
      <x:c r="FM85" s="328" t="str">
        <x:f t="shared" si="164"/>
        <x:v/>
      </x:c>
      <x:c r="FN85" s="281" t="str">
        <x:f t="shared" ca="1" si="180"/>
        <x:v/>
      </x:c>
      <x:c r="FO85" s="282" t="str">
        <x:f t="shared" ca="1" si="181"/>
        <x:v/>
      </x:c>
      <x:c r="FP85" s="283" t="str">
        <x:f t="shared" ca="1" si="182"/>
        <x:v/>
      </x:c>
      <x:c r="FQ85" s="283" t="str">
        <x:f t="shared" ca="1" si="183"/>
        <x:v/>
      </x:c>
      <x:c r="FR85" s="329">
        <x:f t="shared" ca="1" si="184"/>
        <x:v>0</x:v>
      </x:c>
      <x:c r="FS85" s="330">
        <x:f t="shared" ca="1" si="185"/>
        <x:v>0</x:v>
      </x:c>
      <x:c r="FT85" s="281" t="str">
        <x:f t="shared" ca="1" si="186"/>
        <x:v/>
      </x:c>
      <x:c r="FU85" s="284" t="str">
        <x:f t="shared" ca="1" si="187"/>
        <x:v/>
      </x:c>
      <x:c r="FV85" s="331" t="str">
        <x:f t="shared" ca="1" si="165"/>
        <x:v/>
      </x:c>
      <x:c r="FW85" s="285" t="str">
        <x:f t="shared" ca="1" si="188"/>
        <x:v/>
      </x:c>
      <x:c r="FX85" s="285" t="str">
        <x:f t="shared" ca="1" si="189"/>
        <x:v/>
      </x:c>
      <x:c r="FY85" s="285" t="str">
        <x:f t="shared" ca="1" si="190"/>
        <x:v/>
      </x:c>
      <x:c r="FZ85" s="285" t="str">
        <x:f t="shared" ca="1" si="191"/>
        <x:v/>
      </x:c>
      <x:c r="GA85" s="285" t="str">
        <x:f t="shared" ca="1" si="192"/>
        <x:v/>
      </x:c>
      <x:c r="GB85" s="286" t="str">
        <x:f ca="1">IF(FY85="","",2+SUM(FO85:OFFSET(FO85,(FU85-1)*-1,0)))</x:f>
        <x:v/>
      </x:c>
      <x:c r="GC85" s="332" t="e">
        <x:f t="shared" si="193"/>
        <x:v>#N/A</x:v>
      </x:c>
      <x:c r="GD85" s="333" t="str">
        <x:f t="shared" si="166"/>
        <x:v/>
      </x:c>
      <x:c r="GE85" s="334" t="str">
        <x:f t="shared" si="167"/>
        <x:v/>
      </x:c>
      <x:c r="GF85" s="287" t="str">
        <x:f t="shared" si="168"/>
        <x:v/>
      </x:c>
      <x:c r="GG85" s="288" t="str">
        <x:f t="shared" si="169"/>
        <x:v/>
      </x:c>
      <x:c r="GH85" s="288" t="str">
        <x:f t="shared" si="170"/>
        <x:v/>
      </x:c>
      <x:c r="GI85" s="289" t="str">
        <x:f t="shared" si="171"/>
        <x:v/>
      </x:c>
      <x:c r="GJ85" s="531">
        <x:f ca="1">IF(FY85="",FM46,(FY85-(FQ85+VLOOKUP(FK85,$CB$54:$EU$85,12,FALSE)-VLOOKUP(FK85,$CB$54:$EU$85,34,FALSE))/COS(VLOOKUP(FK85,$CB$54:$EU$85,72,FALSE)))/2)</x:f>
        <x:v>0</x:v>
      </x:c>
      <x:c r="GK85" s="895" t="str">
        <x:f t="shared" ca="1" si="194"/>
        <x:v/>
      </x:c>
    </x:row>
    <x:row r="86" spans="1:193" ht="15" hidden="1" customHeight="1" x14ac:dyDescent="0.2">
      <x:c r="Z86" s="1140"/>
      <x:c r="AA86" s="947"/>
      <x:c r="AB86" s="948"/>
    </x:row>
    <x:row r="87" spans="1:193" ht="15" hidden="1" customHeight="1" x14ac:dyDescent="0.25">
      <x:c r="A87" s="1214" t="str">
        <x:f>IF(ISBLANK(CB87),"",CB87)</x:f>
        <x:v/>
      </x:c>
      <x:c r="B87" s="1678" t="str">
        <x:f t="shared" ref="B87" si="196">IF(ISBLANK(CC87),"",CC87)</x:f>
        <x:v/>
      </x:c>
      <x:c r="C87" s="1215" t="str">
        <x:f>IF(ISBLANK(CD87),"",CD87)</x:f>
        <x:v/>
      </x:c>
      <x:c r="D87" s="1216" t="e">
        <x:f>IF(#REF!="","",TRUNC(#REF!/12))</x:f>
        <x:v>#REF!</x:v>
      </x:c>
      <x:c r="E87" s="1217" t="e">
        <x:f>IF(#REF!="","",#REF!-(D87*12))</x:f>
        <x:v>#REF!</x:v>
      </x:c>
      <x:c r="F87" s="1218" t="str">
        <x:f>IF(ISBLANK(CY87),"",CY87)</x:f>
        <x:v/>
      </x:c>
      <x:c r="G87" s="1219" t="e">
        <x:f>IF(#REF!=0,"",TRUNC(#REF!/12))</x:f>
        <x:v>#REF!</x:v>
      </x:c>
      <x:c r="H87" s="1220" t="e">
        <x:f>IF(#REF!=0,"",#REF!-(G87*12))</x:f>
        <x:v>#REF!</x:v>
      </x:c>
      <x:c r="I87" s="1221" t="e">
        <x:f>IF(#REF!=0,"",#REF!)</x:f>
        <x:v>#REF!</x:v>
      </x:c>
      <x:c r="J87" s="1216" t="str">
        <x:f>IF(DJ127=0,"",TRUNC(DJ127/12))</x:f>
        <x:v/>
      </x:c>
      <x:c r="K87" s="1220" t="str">
        <x:f>IF(DJ127=0,"",DJ127-(J87*12))</x:f>
        <x:v/>
      </x:c>
      <x:c r="L87" s="1222" t="str">
        <x:f>IF(DJ127=0,"",#REF!)</x:f>
        <x:v/>
      </x:c>
      <x:c r="M87" s="1223" t="e">
        <x:f>IF(#REF!="","",#REF!)</x:f>
        <x:v>#REF!</x:v>
      </x:c>
      <x:c r="N87" s="1224" t="e">
        <x:f>IF(#REF!="","",#REF!)</x:f>
        <x:v>#REF!</x:v>
      </x:c>
      <x:c r="O87" s="1219" t="str">
        <x:f>IF(DZ127="","",IF(AND(DZ127&gt;-12,DZ127&lt;0),-0.000001,TRUNC(DZ127/12)))</x:f>
        <x:v/>
      </x:c>
      <x:c r="P87" s="1220" t="str">
        <x:f>IF(DZ127="","",IF(AND(DZ127&lt;0,DZ127-(O87*12)=0),-0.00001,DZ127-(O87*12)))</x:f>
        <x:v/>
      </x:c>
      <x:c r="Q87" s="1216" t="str">
        <x:f>IF(EA127="","",IF(AND(EA127&gt;-12,EA127&lt;0),-0.000001,TRUNC(EA127/12)))</x:f>
        <x:v/>
      </x:c>
      <x:c r="R87" s="1217" t="str">
        <x:f>IF(EA127="","",IF(AND(EA127&lt;0,EA127-(Q87*12)=0),-0.00001,EA127-(Q87*12)))</x:f>
        <x:v/>
      </x:c>
      <x:c r="S87" s="1225" t="str">
        <x:f>IF(DR127="","",IF(DR127="ERR",TRUNC(DQ127/12),TRUNC(DR127/12)))</x:f>
        <x:v/>
      </x:c>
      <x:c r="T87" s="1220" t="str">
        <x:f>IF(DR127="","",IF(DR127="ERR",DQ127-(S87*12),DR127-(S87*12)))</x:f>
        <x:v/>
      </x:c>
      <x:c r="U87" s="1216" t="str">
        <x:f>IF(DY127="","",IF(DY127="ERR",TRUNC(DX127/12),TRUNC(DY127/12)))</x:f>
        <x:v/>
      </x:c>
      <x:c r="V87" s="1220" t="str">
        <x:f>IF(DY127="","",IF(DY127="ERR",DX127-(U87*12),DY127-(U87*12)))</x:f>
        <x:v/>
      </x:c>
      <x:c r="W87" s="1224">
        <x:f>IF(EC127="",0,EC127)</x:f>
        <x:v>0</x:v>
      </x:c>
      <x:c r="X87" s="1226" t="str">
        <x:f>IF(EN127="","",EN127)</x:f>
        <x:v/>
      </x:c>
      <x:c r="Y87" s="1227" t="str">
        <x:f>IF(ES127="","",ES127)</x:f>
        <x:v/>
      </x:c>
      <x:c r="Z87" s="1233" t="str">
        <x:f>CONCATENATE(IF(CW87="","",CONCATENATE("[",SUBSTITUTE(CW87," ",""),"] ")),IF(CV87="","",CONCATENATE("(",SUBSTITUTE(CV87," ",""),")")))</x:f>
        <x:v/>
      </x:c>
      <x:c r="AA87" s="1234" t="str">
        <x:f>IF(ISBLANK(CX87),"",CX87)</x:f>
        <x:v/>
      </x:c>
      <x:c r="AB87" s="1001" t="str">
        <x:f>IF(ISBLANK(DH87),"",DH87)</x:f>
        <x:v/>
      </x:c>
      <x:c r="AC87" s="997" t="str">
        <x:f>IF(ISBLANK(DI87),"",DI87)</x:f>
        <x:v/>
      </x:c>
      <x:c r="AD87" s="998" t="str">
        <x:f>IF(FV127="","",TRUNC(FV127/12))</x:f>
        <x:v/>
      </x:c>
      <x:c r="AE87" s="999" t="str">
        <x:f>IF(FV127="","",FV127-(AD87*12))</x:f>
        <x:v/>
      </x:c>
      <x:c r="AF87" s="997" t="str">
        <x:f>IF(FO127="","",FO127)</x:f>
        <x:v/>
      </x:c>
      <x:c r="AG87" s="998" t="str">
        <x:f>IF(FX127="","",TRUNC(FX127/12))</x:f>
        <x:v/>
      </x:c>
      <x:c r="AH87" s="999" t="str">
        <x:f>IF(FX127="","",FX127-(AG87*12))</x:f>
        <x:v/>
      </x:c>
      <x:c r="AI87" s="998" t="str">
        <x:f>IF(FZ127="","",TRUNC(FZ127/12))</x:f>
        <x:v/>
      </x:c>
      <x:c r="AJ87" s="999" t="str">
        <x:f>IF(FZ127="","",FZ127-(AI87*12))</x:f>
        <x:v/>
      </x:c>
      <x:c r="AK87" s="1228" t="str">
        <x:f>IF(ISBLANK(DO87),"",DO87)</x:f>
        <x:v/>
      </x:c>
      <x:c r="AL87" s="1229" t="str">
        <x:f>IF(ISBLANK(DP87),"",DP87)</x:f>
        <x:v/>
      </x:c>
      <x:c r="AM87" s="1230" t="str">
        <x:f>IF(ISBLANK(DQ87),"",DQ87)</x:f>
        <x:v/>
      </x:c>
      <x:c r="AN87" s="997" t="str">
        <x:f>IF(ISBLANK(DR87),"",DR87)</x:f>
        <x:v/>
      </x:c>
      <x:c r="AO87" s="1047" t="str">
        <x:f>IF(ISBLANK(DS87),"",DS87)</x:f>
        <x:v/>
      </x:c>
      <x:c r="AP87" s="1045" t="str">
        <x:f>IF(OR(GD127="",GD127=0),"",GD127)</x:f>
        <x:v/>
      </x:c>
      <x:c r="AQ87" s="1231" t="str">
        <x:f>IF(OR(GE127="",GE127=0),"",GE127)</x:f>
        <x:v/>
      </x:c>
      <x:c r="AR87" s="1000" t="str">
        <x:f>IF(GF127="","",IF(ISTEXT(GF127),"P",TRUNC(GF127/12)))</x:f>
        <x:v/>
      </x:c>
      <x:c r="AS87" s="999" t="str">
        <x:f>IF(GF127="","",IF(AR87="P",GF127,GF127-(AR87*12)))</x:f>
        <x:v/>
      </x:c>
      <x:c r="AT87" s="1232" t="str">
        <x:f>IF(ISBLANK(DX87),"",DX87)</x:f>
        <x:v/>
      </x:c>
      <x:c r="AU87" s="1096" t="str">
        <x:f>IF(ISBLANK(DY87),"",DY87)</x:f>
        <x:v/>
      </x:c>
      <x:c r="AV87" s="1046" t="str">
        <x:f>IF(GG127="","",IF(ISTEXT(GG127),"P",TRUNC(GG127/12)))</x:f>
        <x:v/>
      </x:c>
      <x:c r="AW87" s="999" t="str">
        <x:f>IF(GG127="","",IF(AV87="P",GG127,GG127-(AV87*12)))</x:f>
        <x:v/>
      </x:c>
      <x:c r="AX87" s="1232" t="str">
        <x:f>IF(ISBLANK(EB87),"",EB87)</x:f>
        <x:v/>
      </x:c>
      <x:c r="AY87" s="1096" t="str">
        <x:f>IF(ISBLANK(EC87),"",EC87)</x:f>
        <x:v/>
      </x:c>
      <x:c r="AZ87" s="1046" t="str">
        <x:f>IF(GH127="","",IF(ISTEXT(GH127),"P",TRUNC(GH127/12)))</x:f>
        <x:v/>
      </x:c>
      <x:c r="BA87" s="999" t="str">
        <x:f>IF(GH127="","",IF(AZ87="P",GH127,GH127-(AZ87*12)))</x:f>
        <x:v/>
      </x:c>
      <x:c r="BB87" s="1232" t="str">
        <x:f>IF(ISBLANK(EF87),"",EF87)</x:f>
        <x:v/>
      </x:c>
      <x:c r="BC87" s="1096" t="str">
        <x:f>IF(ISBLANK(EG87),"",EG87)</x:f>
        <x:v/>
      </x:c>
      <x:c r="BD87" s="1046" t="str">
        <x:f>IF(GI127="","",IF(ISTEXT(GI127),"P",TRUNC(GI127/12)))</x:f>
        <x:v/>
      </x:c>
      <x:c r="BE87" s="999" t="str">
        <x:f>IF(GI127="","",IF(BD87="P",GI127,GI127-(BD87*12)))</x:f>
        <x:v/>
      </x:c>
      <x:c r="BF87" s="1232" t="str">
        <x:f>IF(ISBLANK(EJ87),"",EJ87)</x:f>
        <x:v/>
      </x:c>
      <x:c r="BG87" s="1096" t="str">
        <x:f>IF(ISBLANK(EK87),"",EK87)</x:f>
        <x:v/>
      </x:c>
    </x:row>
    <x:row r="88" spans="1:193" ht="12.75" hidden="1" customHeight="1" x14ac:dyDescent="0.2">
      <x:c r="Z88" s="1141"/>
    </x:row>
    <x:row r="89" spans="1:193" ht="12.75" customHeight="1" x14ac:dyDescent="0.2">
      <x:c r="B89" s="533" t="s">
        <x:v>721</x:v>
      </x:c>
    </x:row>
    <x:row r="111" ht="14.25" customHeight="1" x14ac:dyDescent="0.2"/>
  </x:sheetData>
  <x:sheetProtection algorithmName="SHA-512" hashValue="2biIp5y5uns6kenBCIw/cpPXaNUtE4X1MKdv03CxZr4J1HBGVep0P8eymDzNk/x6hW0z90U2NV/zBU/gSgAUlA==" saltValue="JPV25yLI7kj8MXbTMmFcmQ==" spinCount="100000" sheet="1" objects="1" scenarios="1" selectLockedCells="1"/>
  <x:mergeCells count="314">
    <x:mergeCell ref="FG3:FI3"/>
    <x:mergeCell ref="Q4:T4"/>
    <x:mergeCell ref="W4:Y4"/>
    <x:mergeCell ref="AU4:AX4"/>
    <x:mergeCell ref="BA4:BC4"/>
    <x:mergeCell ref="BD4:BF4"/>
    <x:mergeCell ref="DA4:DB4"/>
    <x:mergeCell ref="Q1:T1"/>
    <x:mergeCell ref="W1:Y1"/>
    <x:mergeCell ref="AU1:AX1"/>
    <x:mergeCell ref="BA1:BC1"/>
    <x:mergeCell ref="BD1:BF1"/>
    <x:mergeCell ref="Q2:T3"/>
    <x:mergeCell ref="W2:Y2"/>
    <x:mergeCell ref="AU2:AX3"/>
    <x:mergeCell ref="BA2:BC2"/>
    <x:mergeCell ref="BD2:BF2"/>
    <x:mergeCell ref="A5:L5"/>
    <x:mergeCell ref="AB5:AQ5"/>
    <x:mergeCell ref="M6:T6"/>
    <x:mergeCell ref="V6:W6"/>
    <x:mergeCell ref="X6:Y6"/>
    <x:mergeCell ref="AZ6:BA6"/>
    <x:mergeCell ref="W3:Y3"/>
    <x:mergeCell ref="BA3:BC3"/>
    <x:mergeCell ref="BD3:BF3"/>
    <x:mergeCell ref="BB6:BD6"/>
    <x:mergeCell ref="DH6:EK8"/>
    <x:mergeCell ref="K7:L7"/>
    <x:mergeCell ref="M7:S7"/>
    <x:mergeCell ref="V7:W7"/>
    <x:mergeCell ref="AZ7:BA7"/>
    <x:mergeCell ref="CB7:DE9"/>
    <x:mergeCell ref="A8:AA8"/>
    <x:mergeCell ref="AB8:BG8"/>
    <x:mergeCell ref="A9:B9"/>
    <x:mergeCell ref="DP9:DU10"/>
    <x:mergeCell ref="DV9:EK11"/>
    <x:mergeCell ref="AX10:BA10"/>
    <x:mergeCell ref="BB10:BD10"/>
    <x:mergeCell ref="BE10:BG10"/>
    <x:mergeCell ref="CB10:CF11"/>
    <x:mergeCell ref="C9:P9"/>
    <x:mergeCell ref="Q9:S9"/>
    <x:mergeCell ref="T9:AA9"/>
    <x:mergeCell ref="AB9:AD9"/>
    <x:mergeCell ref="AE9:AT9"/>
    <x:mergeCell ref="AU9:AW9"/>
    <x:mergeCell ref="CG10:CP11"/>
    <x:mergeCell ref="CQ10:CZ11"/>
    <x:mergeCell ref="DA10:DE10"/>
    <x:mergeCell ref="GA10:GJ11"/>
    <x:mergeCell ref="A11:AA11"/>
    <x:mergeCell ref="DB11:DC12"/>
    <x:mergeCell ref="DD11:DE11"/>
    <x:mergeCell ref="DP11:DP13"/>
    <x:mergeCell ref="DR11:DR13"/>
    <x:mergeCell ref="A12:A13"/>
    <x:mergeCell ref="ET9:EU12"/>
    <x:mergeCell ref="A10:B10"/>
    <x:mergeCell ref="C10:P10"/>
    <x:mergeCell ref="Q10:S10"/>
    <x:mergeCell ref="T10:W10"/>
    <x:mergeCell ref="X10:Y10"/>
    <x:mergeCell ref="Z10:AA10"/>
    <x:mergeCell ref="AB10:AD10"/>
    <x:mergeCell ref="AE10:AT10"/>
    <x:mergeCell ref="AU10:AW10"/>
    <x:mergeCell ref="AX9:BG9"/>
    <x:mergeCell ref="DH9:DH13"/>
    <x:mergeCell ref="DI9:DN11"/>
    <x:mergeCell ref="DO9:DO13"/>
    <x:mergeCell ref="M12:N12"/>
    <x:mergeCell ref="O12:P13"/>
    <x:mergeCell ref="Q12:R13"/>
    <x:mergeCell ref="S12:W12"/>
    <x:mergeCell ref="X12:Y12"/>
    <x:mergeCell ref="AA12:AA13"/>
    <x:mergeCell ref="B12:B13"/>
    <x:mergeCell ref="C12:C13"/>
    <x:mergeCell ref="D12:E13"/>
    <x:mergeCell ref="F12:F13"/>
    <x:mergeCell ref="G12:I12"/>
    <x:mergeCell ref="J12:L12"/>
    <x:mergeCell ref="AL12:AQ12"/>
    <x:mergeCell ref="AR12:BG12"/>
    <x:mergeCell ref="BW12:BZ12"/>
    <x:mergeCell ref="CB12:CB13"/>
    <x:mergeCell ref="CC12:CC13"/>
    <x:mergeCell ref="CD12:CD13"/>
    <x:mergeCell ref="AZ13:BA13"/>
    <x:mergeCell ref="BD13:BE13"/>
    <x:mergeCell ref="AB12:AB13"/>
    <x:mergeCell ref="AC12:AC13"/>
    <x:mergeCell ref="AD12:AE13"/>
    <x:mergeCell ref="AF12:AH12"/>
    <x:mergeCell ref="AI12:AJ13"/>
    <x:mergeCell ref="AK12:AK13"/>
    <x:mergeCell ref="CN12:CP12"/>
    <x:mergeCell ref="CQ12:CQ13"/>
    <x:mergeCell ref="CR12:CS13"/>
    <x:mergeCell ref="CT12:CU13"/>
    <x:mergeCell ref="CV12:CV13"/>
    <x:mergeCell ref="CW12:CW13"/>
    <x:mergeCell ref="CE12:CF13"/>
    <x:mergeCell ref="CG12:CG13"/>
    <x:mergeCell ref="CH12:CI13"/>
    <x:mergeCell ref="CJ12:CK13"/>
    <x:mergeCell ref="CL12:CL13"/>
    <x:mergeCell ref="CM12:CM13"/>
    <x:mergeCell ref="DL12:DL13"/>
    <x:mergeCell ref="DM12:DN13"/>
    <x:mergeCell ref="DQ12:DQ13"/>
    <x:mergeCell ref="DS12:DS13"/>
    <x:mergeCell ref="DT12:DU12"/>
    <x:mergeCell ref="DV12:DW12"/>
    <x:mergeCell ref="CX12:CZ12"/>
    <x:mergeCell ref="DA12:DA13"/>
    <x:mergeCell ref="DD12:DD13"/>
    <x:mergeCell ref="DE12:DE13"/>
    <x:mergeCell ref="DI12:DI13"/>
    <x:mergeCell ref="DJ12:DK13"/>
    <x:mergeCell ref="EF12:EF13"/>
    <x:mergeCell ref="EG12:EG13"/>
    <x:mergeCell ref="EH12:EI12"/>
    <x:mergeCell ref="EJ12:EJ13"/>
    <x:mergeCell ref="EK12:EK13"/>
    <x:mergeCell ref="EM12:EM13"/>
    <x:mergeCell ref="DX12:DX13"/>
    <x:mergeCell ref="DY12:DY13"/>
    <x:mergeCell ref="DZ12:EA12"/>
    <x:mergeCell ref="EB12:EB13"/>
    <x:mergeCell ref="EC12:EC13"/>
    <x:mergeCell ref="ED12:EE12"/>
    <x:mergeCell ref="GF12:GF13"/>
    <x:mergeCell ref="GG12:GH12"/>
    <x:mergeCell ref="GI12:GJ12"/>
    <x:mergeCell ref="GK12:GK13"/>
    <x:mergeCell ref="GL12:GL13"/>
    <x:mergeCell ref="GM12:GM13"/>
    <x:mergeCell ref="EN12:EP12"/>
    <x:mergeCell ref="EQ12:EQ13"/>
    <x:mergeCell ref="ER12:ES12"/>
    <x:mergeCell ref="GA12:GB12"/>
    <x:mergeCell ref="GC12:GD12"/>
    <x:mergeCell ref="GE12:GE13"/>
    <x:mergeCell ref="HH12:HH13"/>
    <x:mergeCell ref="HI12:HI13"/>
    <x:mergeCell ref="HJ12:HJ13"/>
    <x:mergeCell ref="HK12:HK13"/>
    <x:mergeCell ref="HL12:HL13"/>
    <x:mergeCell ref="HM12:HM13"/>
    <x:mergeCell ref="HA12:HA13"/>
    <x:mergeCell ref="HB12:HB13"/>
    <x:mergeCell ref="HC12:HC13"/>
    <x:mergeCell ref="HD12:HE13"/>
    <x:mergeCell ref="HF12:HF13"/>
    <x:mergeCell ref="HG12:HG13"/>
    <x:mergeCell ref="HT12:HT13"/>
    <x:mergeCell ref="HU12:HU13"/>
    <x:mergeCell ref="HV12:HV13"/>
    <x:mergeCell ref="HW12:HW13"/>
    <x:mergeCell ref="HX12:HX13"/>
    <x:mergeCell ref="HY12:HY13"/>
    <x:mergeCell ref="HN12:HN13"/>
    <x:mergeCell ref="HO12:HO13"/>
    <x:mergeCell ref="HP12:HP13"/>
    <x:mergeCell ref="HQ12:HQ13"/>
    <x:mergeCell ref="HR12:HR13"/>
    <x:mergeCell ref="HS12:HS13"/>
    <x:mergeCell ref="IF12:IF13"/>
    <x:mergeCell ref="IG12:IG13"/>
    <x:mergeCell ref="IH12:IH13"/>
    <x:mergeCell ref="II12:II13"/>
    <x:mergeCell ref="IJ12:IJ13"/>
    <x:mergeCell ref="IK12:IK13"/>
    <x:mergeCell ref="HZ12:HZ13"/>
    <x:mergeCell ref="IA12:IA13"/>
    <x:mergeCell ref="IB12:IB13"/>
    <x:mergeCell ref="IC12:IC13"/>
    <x:mergeCell ref="ID12:ID13"/>
    <x:mergeCell ref="IE12:IE13"/>
    <x:mergeCell ref="IT12:IT13"/>
    <x:mergeCell ref="IU12:IU13"/>
    <x:mergeCell ref="IV12:IV13"/>
    <x:mergeCell ref="IW12:IW13"/>
    <x:mergeCell ref="IL12:IL13"/>
    <x:mergeCell ref="IM12:IM13"/>
    <x:mergeCell ref="IN12:IN13"/>
    <x:mergeCell ref="IO12:IO13"/>
    <x:mergeCell ref="IP12:IP13"/>
    <x:mergeCell ref="IQ12:IQ13"/>
    <x:mergeCell ref="JJ12:JJ13"/>
    <x:mergeCell ref="JK12:JK13"/>
    <x:mergeCell ref="JL12:JL13"/>
    <x:mergeCell ref="G13:H13"/>
    <x:mergeCell ref="J13:K13"/>
    <x:mergeCell ref="S13:T13"/>
    <x:mergeCell ref="U13:V13"/>
    <x:mergeCell ref="AG13:AH13"/>
    <x:mergeCell ref="AR13:AS13"/>
    <x:mergeCell ref="AV13:AW13"/>
    <x:mergeCell ref="JD12:JD13"/>
    <x:mergeCell ref="JE12:JE13"/>
    <x:mergeCell ref="JF12:JF13"/>
    <x:mergeCell ref="JG12:JG13"/>
    <x:mergeCell ref="JH12:JH13"/>
    <x:mergeCell ref="JI12:JI13"/>
    <x:mergeCell ref="IX12:IX13"/>
    <x:mergeCell ref="IY12:IY13"/>
    <x:mergeCell ref="IZ12:IZ13"/>
    <x:mergeCell ref="JA12:JA13"/>
    <x:mergeCell ref="JB12:JB13"/>
    <x:mergeCell ref="JC12:JC13"/>
    <x:mergeCell ref="IR12:IR13"/>
    <x:mergeCell ref="IS12:IS13"/>
    <x:mergeCell ref="FN50:FS51"/>
    <x:mergeCell ref="FT50:FZ51"/>
    <x:mergeCell ref="CC51:CK51"/>
    <x:mergeCell ref="CL51:CT51"/>
    <x:mergeCell ref="EX51:EX53"/>
    <x:mergeCell ref="EY51:EY53"/>
    <x:mergeCell ref="FF51:FI51"/>
    <x:mergeCell ref="CH52:CH53"/>
    <x:mergeCell ref="CI52:CI53"/>
    <x:mergeCell ref="CJ52:CJ53"/>
    <x:mergeCell ref="EP50:EP53"/>
    <x:mergeCell ref="EQ50:EQ53"/>
    <x:mergeCell ref="ER50:ER53"/>
    <x:mergeCell ref="ES50:ES53"/>
    <x:mergeCell ref="ET50:ET53"/>
    <x:mergeCell ref="EU50:EU53"/>
    <x:mergeCell ref="EJ50:EJ53"/>
    <x:mergeCell ref="EK50:EK53"/>
    <x:mergeCell ref="EL50:EL53"/>
    <x:mergeCell ref="EM50:EM53"/>
    <x:mergeCell ref="EN50:EN53"/>
    <x:mergeCell ref="EO50:EO53"/>
    <x:mergeCell ref="ED50:ED53"/>
    <x:mergeCell ref="EE50:EE53"/>
    <x:mergeCell ref="CK52:CK53"/>
    <x:mergeCell ref="CL52:CL53"/>
    <x:mergeCell ref="CM52:CM53"/>
    <x:mergeCell ref="CN52:CN53"/>
    <x:mergeCell ref="CO52:CO53"/>
    <x:mergeCell ref="CP52:CP53"/>
    <x:mergeCell ref="CB52:CB53"/>
    <x:mergeCell ref="CC52:CC53"/>
    <x:mergeCell ref="CD52:CD53"/>
    <x:mergeCell ref="CE52:CE53"/>
    <x:mergeCell ref="CF52:CF53"/>
    <x:mergeCell ref="CG52:CG53"/>
    <x:mergeCell ref="CW52:CW53"/>
    <x:mergeCell ref="CX52:CX53"/>
    <x:mergeCell ref="CY52:CY53"/>
    <x:mergeCell ref="CZ52:DA52"/>
    <x:mergeCell ref="DB52:DB53"/>
    <x:mergeCell ref="DC52:DC53"/>
    <x:mergeCell ref="CQ52:CQ53"/>
    <x:mergeCell ref="CR52:CR53"/>
    <x:mergeCell ref="CS52:CS53"/>
    <x:mergeCell ref="CT52:CT53"/>
    <x:mergeCell ref="CU52:CU53"/>
    <x:mergeCell ref="CV52:CV53"/>
    <x:mergeCell ref="DK52:DK53"/>
    <x:mergeCell ref="DL52:DL53"/>
    <x:mergeCell ref="DM52:DN52"/>
    <x:mergeCell ref="DO52:DP52"/>
    <x:mergeCell ref="DQ52:DR52"/>
    <x:mergeCell ref="DS52:DS53"/>
    <x:mergeCell ref="DD52:DD53"/>
    <x:mergeCell ref="DE52:DE53"/>
    <x:mergeCell ref="DF52:DG52"/>
    <x:mergeCell ref="DH52:DH53"/>
    <x:mergeCell ref="DI52:DI53"/>
    <x:mergeCell ref="DJ52:DJ53"/>
    <x:mergeCell ref="EC52:EC53"/>
    <x:mergeCell ref="EV52:EV53"/>
    <x:mergeCell ref="EW52:EW53"/>
    <x:mergeCell ref="EZ52:EZ53"/>
    <x:mergeCell ref="FA52:FA53"/>
    <x:mergeCell ref="FB52:FB53"/>
    <x:mergeCell ref="DT52:DU52"/>
    <x:mergeCell ref="DV52:DW52"/>
    <x:mergeCell ref="DX52:DY52"/>
    <x:mergeCell ref="DZ52:DZ53"/>
    <x:mergeCell ref="EA52:EA53"/>
    <x:mergeCell ref="EB52:EB53"/>
    <x:mergeCell ref="EF50:EF53"/>
    <x:mergeCell ref="EG50:EG53"/>
    <x:mergeCell ref="EH50:EH53"/>
    <x:mergeCell ref="EI50:EI53"/>
    <x:mergeCell ref="FO52:FO53"/>
    <x:mergeCell ref="FP52:FP53"/>
    <x:mergeCell ref="FQ52:FQ53"/>
    <x:mergeCell ref="FR52:FR53"/>
    <x:mergeCell ref="FS52:FS53"/>
    <x:mergeCell ref="FT52:FT53"/>
    <x:mergeCell ref="FC52:FC53"/>
    <x:mergeCell ref="FD52:FE52"/>
    <x:mergeCell ref="FK52:FK53"/>
    <x:mergeCell ref="FL52:FL53"/>
    <x:mergeCell ref="FM52:FM53"/>
    <x:mergeCell ref="FN52:FN53"/>
    <x:mergeCell ref="GA52:GA53"/>
    <x:mergeCell ref="GB52:GB53"/>
    <x:mergeCell ref="GC52:GC53"/>
    <x:mergeCell ref="GJ52:GJ53"/>
    <x:mergeCell ref="FU52:FU53"/>
    <x:mergeCell ref="FV52:FV53"/>
    <x:mergeCell ref="FW52:FW53"/>
    <x:mergeCell ref="FX52:FX53"/>
    <x:mergeCell ref="FY52:FY53"/>
    <x:mergeCell ref="FZ52:FZ53"/>
  </x:mergeCells>
  <x:conditionalFormatting sqref="FQ54:FR85">
    <x:cfRule type="cellIs" dxfId="440" priority="58" stopIfTrue="1" operator="lessThan">
      <x:formula>0</x:formula>
    </x:cfRule>
  </x:conditionalFormatting>
  <x:conditionalFormatting sqref="DI14">
    <x:cfRule type="expression" dxfId="439" priority="48">
      <x:formula>UPPER(#REF!)="X"</x:formula>
    </x:cfRule>
  </x:conditionalFormatting>
  <x:conditionalFormatting sqref="DJ14">
    <x:cfRule type="expression" dxfId="438" priority="59">
      <x:formula>OR(UPPER(#REF!)="X",UPPER(#REF!="X"))</x:formula>
    </x:cfRule>
  </x:conditionalFormatting>
  <x:conditionalFormatting sqref="DK14">
    <x:cfRule type="expression" dxfId="437" priority="60">
      <x:formula>OR(UPPER(#REF!)="X",UPPER(#REF!="X"))</x:formula>
    </x:cfRule>
  </x:conditionalFormatting>
  <x:conditionalFormatting sqref="Q2:T4 AU2:AX4">
    <x:cfRule type="cellIs" dxfId="436" priority="62" stopIfTrue="1" operator="equal">
      <x:formula>""</x:formula>
    </x:cfRule>
  </x:conditionalFormatting>
  <x:conditionalFormatting sqref="DM54:DM85">
    <x:cfRule type="cellIs" dxfId="435" priority="57" stopIfTrue="1" operator="notEqual">
      <x:formula>DN54</x:formula>
    </x:cfRule>
  </x:conditionalFormatting>
  <x:conditionalFormatting sqref="DT54:DT85">
    <x:cfRule type="cellIs" dxfId="434" priority="56" stopIfTrue="1" operator="notEqual">
      <x:formula>DU54</x:formula>
    </x:cfRule>
  </x:conditionalFormatting>
  <x:conditionalFormatting sqref="DA4">
    <x:cfRule type="expression" dxfId="433" priority="55" stopIfTrue="1">
      <x:formula>NOT(ISBLANK($DA$4))</x:formula>
    </x:cfRule>
  </x:conditionalFormatting>
  <x:conditionalFormatting sqref="M7">
    <x:cfRule type="expression" dxfId="432" priority="53" stopIfTrue="1">
      <x:formula>OR(ISBLANK($M$7),$M$7="")</x:formula>
    </x:cfRule>
    <x:cfRule type="expression" dxfId="431" priority="54" stopIfTrue="1">
      <x:formula>NOT(OR(COUNTIF(masterFinishList, $M$7) &gt; 0, COUNTIF($M$7, "Other:*") &gt; 0))</x:formula>
    </x:cfRule>
  </x:conditionalFormatting>
  <x:conditionalFormatting sqref="A14:B45 A87:B87">
    <x:cfRule type="expression" dxfId="430" priority="40" stopIfTrue="1">
      <x:formula>AND(NOT($BK$1),$B14=0,OR($BJ$1="",$BJ$1="M"))</x:formula>
    </x:cfRule>
  </x:conditionalFormatting>
  <x:conditionalFormatting sqref="C14:C45">
    <x:cfRule type="expression" dxfId="429" priority="46">
      <x:formula>AND(NOT($BK14),NOT(BR14))</x:formula>
    </x:cfRule>
  </x:conditionalFormatting>
  <x:conditionalFormatting sqref="U14:U45">
    <x:cfRule type="expression" dxfId="428" priority="51">
      <x:formula>AND(NOT($BK14),BV14="No")</x:formula>
    </x:cfRule>
  </x:conditionalFormatting>
  <x:conditionalFormatting sqref="V14:V45">
    <x:cfRule type="expression" dxfId="427" priority="52">
      <x:formula>AND(NOT($BK14),BV14="No")</x:formula>
    </x:cfRule>
  </x:conditionalFormatting>
  <x:conditionalFormatting sqref="S14:S45">
    <x:cfRule type="expression" dxfId="426" priority="49">
      <x:formula>AND(NOT($BK14),BT14="No")</x:formula>
    </x:cfRule>
  </x:conditionalFormatting>
  <x:conditionalFormatting sqref="T14:T45">
    <x:cfRule type="expression" dxfId="425" priority="50">
      <x:formula>AND(NOT($BK14),BT14="No")</x:formula>
    </x:cfRule>
  </x:conditionalFormatting>
  <x:conditionalFormatting sqref="W14:W45">
    <x:cfRule type="expression" dxfId="424" priority="36">
      <x:formula>$W14=0</x:formula>
    </x:cfRule>
  </x:conditionalFormatting>
  <x:conditionalFormatting sqref="DI15:DI45">
    <x:cfRule type="expression" dxfId="423" priority="61">
      <x:formula>FM54="X"</x:formula>
    </x:cfRule>
  </x:conditionalFormatting>
  <x:conditionalFormatting sqref="DJ15:DJ45">
    <x:cfRule type="expression" dxfId="422" priority="63">
      <x:formula>FM54="X"</x:formula>
    </x:cfRule>
  </x:conditionalFormatting>
  <x:conditionalFormatting sqref="DK15:DK45">
    <x:cfRule type="expression" dxfId="421" priority="64">
      <x:formula>FM54="X"</x:formula>
    </x:cfRule>
  </x:conditionalFormatting>
  <x:conditionalFormatting sqref="DT14:DU45">
    <x:cfRule type="expression" dxfId="420" priority="65">
      <x:formula>GD54=0</x:formula>
    </x:cfRule>
  </x:conditionalFormatting>
  <x:conditionalFormatting sqref="DH14:DH45">
    <x:cfRule type="expression" dxfId="419" priority="15">
      <x:formula>NOT($FQ14)</x:formula>
    </x:cfRule>
    <x:cfRule type="expression" dxfId="418" priority="66">
      <x:formula>FJ54="G"</x:formula>
    </x:cfRule>
  </x:conditionalFormatting>
  <x:conditionalFormatting sqref="DM14:DN45">
    <x:cfRule type="expression" dxfId="417" priority="67">
      <x:formula>FIND("B",$GK54)</x:formula>
    </x:cfRule>
  </x:conditionalFormatting>
  <x:conditionalFormatting sqref="DJ14:DK45">
    <x:cfRule type="expression" dxfId="416" priority="68">
      <x:formula>FIND("A",$GK54)</x:formula>
    </x:cfRule>
  </x:conditionalFormatting>
  <x:conditionalFormatting sqref="DL14:DL45">
    <x:cfRule type="expression" dxfId="415" priority="3">
      <x:formula>AND(NOT(ISBLANK($DH14)),ISBLANK($DL14))</x:formula>
    </x:cfRule>
    <x:cfRule type="expression" dxfId="414" priority="47">
      <x:formula>FIND("B",$GK54)</x:formula>
    </x:cfRule>
  </x:conditionalFormatting>
  <x:conditionalFormatting sqref="DI14:DI45">
    <x:cfRule type="expression" dxfId="413" priority="69">
      <x:formula>NOT($EY14)</x:formula>
    </x:cfRule>
  </x:conditionalFormatting>
  <x:conditionalFormatting sqref="DQ14:DQ45">
    <x:cfRule type="expression" dxfId="412" priority="39">
      <x:formula>DQ14&lt;&gt;EZ14</x:formula>
    </x:cfRule>
  </x:conditionalFormatting>
  <x:conditionalFormatting sqref="AD87:AE87 AD14:AE45">
    <x:cfRule type="expression" dxfId="411" priority="43">
      <x:formula>AND(NOT($BZ14),FIND("A",$GK54))</x:formula>
    </x:cfRule>
  </x:conditionalFormatting>
  <x:conditionalFormatting sqref="AI87:AJ87 AI14:AJ45">
    <x:cfRule type="expression" dxfId="410" priority="44">
      <x:formula>AND(NOT($BZ14),FIND("B",$GK54))</x:formula>
    </x:cfRule>
  </x:conditionalFormatting>
  <x:conditionalFormatting sqref="AC14:AC45">
    <x:cfRule type="expression" dxfId="409" priority="45">
      <x:formula>AND(NOT($BZ14),NOT($EY14))</x:formula>
    </x:cfRule>
  </x:conditionalFormatting>
  <x:conditionalFormatting sqref="AM14:AM45">
    <x:cfRule type="expression" dxfId="408" priority="41">
      <x:formula>AND(NOT($BZ14),AM14&lt;&gt;EZ14)</x:formula>
    </x:cfRule>
  </x:conditionalFormatting>
  <x:conditionalFormatting sqref="FF14:FF45">
    <x:cfRule type="expression" dxfId="407" priority="42">
      <x:formula>$FC14=0</x:formula>
    </x:cfRule>
  </x:conditionalFormatting>
  <x:conditionalFormatting sqref="AD14:AJ45">
    <x:cfRule type="expression" dxfId="406" priority="38">
      <x:formula>AND(NOT($BZ14),NOT($FA14))</x:formula>
    </x:cfRule>
  </x:conditionalFormatting>
  <x:conditionalFormatting sqref="DB14:DC45">
    <x:cfRule type="expression" dxfId="405" priority="37">
      <x:formula>AND(NOT($BK14),LEN($Z14)&gt;27)</x:formula>
    </x:cfRule>
  </x:conditionalFormatting>
  <x:conditionalFormatting sqref="C87">
    <x:cfRule type="expression" dxfId="404" priority="30" stopIfTrue="1">
      <x:formula>AND(NOT($BK87),NOT(BR87))</x:formula>
    </x:cfRule>
  </x:conditionalFormatting>
  <x:conditionalFormatting sqref="U87">
    <x:cfRule type="expression" dxfId="403" priority="34" stopIfTrue="1">
      <x:formula>AND(NOT($BK87),BV87="No")</x:formula>
    </x:cfRule>
  </x:conditionalFormatting>
  <x:conditionalFormatting sqref="V87">
    <x:cfRule type="expression" dxfId="402" priority="35" stopIfTrue="1">
      <x:formula>AND(NOT($BK87),BV87="No")</x:formula>
    </x:cfRule>
  </x:conditionalFormatting>
  <x:conditionalFormatting sqref="S87">
    <x:cfRule type="expression" dxfId="401" priority="32" stopIfTrue="1">
      <x:formula>AND(NOT($BK87),BT87="No")</x:formula>
    </x:cfRule>
  </x:conditionalFormatting>
  <x:conditionalFormatting sqref="T87">
    <x:cfRule type="expression" dxfId="400" priority="33" stopIfTrue="1">
      <x:formula>AND(NOT($BK87),BT87="No")</x:formula>
    </x:cfRule>
  </x:conditionalFormatting>
  <x:conditionalFormatting sqref="W87">
    <x:cfRule type="expression" dxfId="399" priority="22">
      <x:formula>$W87=0</x:formula>
    </x:cfRule>
  </x:conditionalFormatting>
  <x:conditionalFormatting sqref="AR87:AS87 AR14:AS45">
    <x:cfRule type="expression" dxfId="398" priority="25">
      <x:formula>AND(NOT($BZ14),$FF54)</x:formula>
    </x:cfRule>
  </x:conditionalFormatting>
  <x:conditionalFormatting sqref="AV87:AW87 AV14:AW45">
    <x:cfRule type="expression" dxfId="397" priority="26">
      <x:formula>AND(NOT($BZ14),$FG54)</x:formula>
    </x:cfRule>
  </x:conditionalFormatting>
  <x:conditionalFormatting sqref="AZ87:BA87 AZ14:BA45">
    <x:cfRule type="expression" dxfId="396" priority="27">
      <x:formula>AND(NOT($BZ14),$FH54)</x:formula>
    </x:cfRule>
  </x:conditionalFormatting>
  <x:conditionalFormatting sqref="BD87:BE87 BD14:BE45">
    <x:cfRule type="expression" dxfId="395" priority="28">
      <x:formula>AND(NOT($BZ14),$FI54)</x:formula>
    </x:cfRule>
  </x:conditionalFormatting>
  <x:conditionalFormatting sqref="AC87">
    <x:cfRule type="expression" dxfId="394" priority="29">
      <x:formula>AND(NOT($BZ87),NOT($EY87))</x:formula>
    </x:cfRule>
  </x:conditionalFormatting>
  <x:conditionalFormatting sqref="AM87">
    <x:cfRule type="expression" dxfId="393" priority="24">
      <x:formula>AND(NOT($BZ87),AM87&lt;&gt;EZ87)</x:formula>
    </x:cfRule>
  </x:conditionalFormatting>
  <x:conditionalFormatting sqref="AD87:AJ87">
    <x:cfRule type="expression" dxfId="392" priority="23">
      <x:formula>AND(NOT($BZ87),NOT($FA87))</x:formula>
    </x:cfRule>
  </x:conditionalFormatting>
  <x:conditionalFormatting sqref="AA87 A87:Y87">
    <x:cfRule type="expression" dxfId="391" priority="31">
      <x:formula>$BI87</x:formula>
    </x:cfRule>
  </x:conditionalFormatting>
  <x:conditionalFormatting sqref="AB87:BG87">
    <x:cfRule type="expression" dxfId="390" priority="21">
      <x:formula>$CA87</x:formula>
    </x:cfRule>
  </x:conditionalFormatting>
  <x:conditionalFormatting sqref="CD14:CD45">
    <x:cfRule type="expression" dxfId="389" priority="16">
      <x:formula>AND(NOT($BK14),NOT($BR14))</x:formula>
    </x:cfRule>
  </x:conditionalFormatting>
  <x:conditionalFormatting sqref="DD14:DD45">
    <x:cfRule type="cellIs" dxfId="388" priority="17" operator="greaterThan">
      <x:formula>EY54</x:formula>
    </x:cfRule>
    <x:cfRule type="expression" dxfId="387" priority="18">
      <x:formula>AND(ISBLANK(DD14),EY54&gt;0)</x:formula>
    </x:cfRule>
  </x:conditionalFormatting>
  <x:conditionalFormatting sqref="DE14:DE45">
    <x:cfRule type="cellIs" dxfId="386" priority="19" operator="lessThan">
      <x:formula>EX54</x:formula>
    </x:cfRule>
    <x:cfRule type="expression" dxfId="385" priority="20">
      <x:formula>AND(ISBLANK(DE14),EX54&lt;&gt;"")</x:formula>
    </x:cfRule>
  </x:conditionalFormatting>
  <x:conditionalFormatting sqref="AB14:AO45 DH14:EK45 BF14:BG45">
    <x:cfRule type="expression" dxfId="384" priority="70">
      <x:formula>$FP14</x:formula>
    </x:cfRule>
  </x:conditionalFormatting>
  <x:conditionalFormatting sqref="A14:Y45 AA14:AA45 DA14:DE45 CB14:CY45">
    <x:cfRule type="expression" dxfId="383" priority="71">
      <x:formula>$FN14</x:formula>
    </x:cfRule>
  </x:conditionalFormatting>
  <x:conditionalFormatting sqref="AB14:AB45">
    <x:cfRule type="expression" dxfId="382" priority="14">
      <x:formula>NOT($FQ14)</x:formula>
    </x:cfRule>
  </x:conditionalFormatting>
  <x:conditionalFormatting sqref="CB14:CB45">
    <x:cfRule type="expression" dxfId="381" priority="4">
      <x:formula>NOT($FO14)</x:formula>
    </x:cfRule>
  </x:conditionalFormatting>
  <x:conditionalFormatting sqref="A14:A45">
    <x:cfRule type="expression" dxfId="380" priority="12">
      <x:formula>NOT($FO14)</x:formula>
    </x:cfRule>
  </x:conditionalFormatting>
  <x:conditionalFormatting sqref="CZ14:CZ45">
    <x:cfRule type="expression" dxfId="379" priority="11">
      <x:formula>$FN14</x:formula>
    </x:cfRule>
  </x:conditionalFormatting>
  <x:conditionalFormatting sqref="Z87">
    <x:cfRule type="expression" dxfId="378" priority="9">
      <x:formula>$FN87</x:formula>
    </x:cfRule>
  </x:conditionalFormatting>
  <x:conditionalFormatting sqref="Z87">
    <x:cfRule type="expression" dxfId="377" priority="10">
      <x:formula>AND(NOT($BK87),LEN($Z87)&gt;27)</x:formula>
    </x:cfRule>
  </x:conditionalFormatting>
  <x:conditionalFormatting sqref="Z14:Z45">
    <x:cfRule type="expression" dxfId="376" priority="7">
      <x:formula>$FN14</x:formula>
    </x:cfRule>
  </x:conditionalFormatting>
  <x:conditionalFormatting sqref="Z14:Z45">
    <x:cfRule type="expression" dxfId="375" priority="8">
      <x:formula>AND(NOT($BK14),LEN($Z14)&gt;27)</x:formula>
    </x:cfRule>
  </x:conditionalFormatting>
  <x:conditionalFormatting sqref="AP14:AQ45">
    <x:cfRule type="expression" dxfId="374" priority="6">
      <x:formula>$FP14</x:formula>
    </x:cfRule>
  </x:conditionalFormatting>
  <x:conditionalFormatting sqref="AR14:BE45">
    <x:cfRule type="expression" dxfId="373" priority="5">
      <x:formula>$FP14</x:formula>
    </x:cfRule>
  </x:conditionalFormatting>
  <x:conditionalFormatting sqref="CB14:CC45">
    <x:cfRule type="expression" dxfId="372" priority="13">
      <x:formula>AND(NOT($BK$1),$B14=0,OR($BJ$1="",$BJ$1="M"))</x:formula>
    </x:cfRule>
  </x:conditionalFormatting>
  <x:conditionalFormatting sqref="CJ14:CJ45">
    <x:cfRule type="expression" dxfId="371" priority="72">
      <x:formula>AND(NOT($BK14),OR($CC54="M",$CC54="C",$CC54="G"))</x:formula>
    </x:cfRule>
    <x:cfRule type="expression" dxfId="370" priority="73">
      <x:formula>AND(NOT($BK14),AND(OR($CC54="B",$CC54="G"),CJ14="",CK14=""))</x:formula>
    </x:cfRule>
    <x:cfRule type="expression" dxfId="369" priority="74">
      <x:formula>AND(NOT($BK14),EG54="ERR")</x:formula>
    </x:cfRule>
  </x:conditionalFormatting>
  <x:conditionalFormatting sqref="CK14:CK45">
    <x:cfRule type="expression" dxfId="368" priority="75">
      <x:formula>AND(NOT($BK14),OR($CC54="M",$CC54="C",$CC54="G"))</x:formula>
    </x:cfRule>
    <x:cfRule type="expression" dxfId="367" priority="76">
      <x:formula>AND(NOT($BK14),AND(OR($CC54="B",$CC54="G"),CJ14="",CK14=""))</x:formula>
    </x:cfRule>
    <x:cfRule type="expression" dxfId="366" priority="77">
      <x:formula>AND(NOT($BK14),EG54="ERR")</x:formula>
    </x:cfRule>
  </x:conditionalFormatting>
  <x:conditionalFormatting sqref="CH14:CH45">
    <x:cfRule type="expression" dxfId="365" priority="78">
      <x:formula>AND(NOT($BK14),OR($CC54="M",$CC54="C"))</x:formula>
    </x:cfRule>
    <x:cfRule type="expression" dxfId="364" priority="79">
      <x:formula>AND(NOT($BK14),AND(CH14="",CI14="",OR($CC54="B",$CC54="G")))</x:formula>
    </x:cfRule>
    <x:cfRule type="expression" dxfId="363" priority="80">
      <x:formula>AND(NOT($BK14),(CH14/2)/COS(RADIANS(CL14))+CD54-DC54&lt;$FB$4)</x:formula>
    </x:cfRule>
  </x:conditionalFormatting>
  <x:conditionalFormatting sqref="CI14:CI45">
    <x:cfRule type="expression" dxfId="362" priority="81">
      <x:formula>AND(NOT($BK14),OR($CC54="M",$CC54="C"))</x:formula>
    </x:cfRule>
    <x:cfRule type="expression" dxfId="361" priority="82">
      <x:formula>AND(NOT($BK14),AND(CH14="",CI14="",OR($CC54="B",$CC54="G")))</x:formula>
    </x:cfRule>
    <x:cfRule type="expression" dxfId="360" priority="83">
      <x:formula>AND(NOT($BK14),(CI14/2)/COS(RADIANS(CL14))+CD54-DC54&lt;$FB$4)</x:formula>
    </x:cfRule>
  </x:conditionalFormatting>
  <x:conditionalFormatting sqref="CT14:CT45">
    <x:cfRule type="expression" dxfId="359" priority="84">
      <x:formula>AND(NOT($BK14),OR($CL54="M",$CL54="C",$CL54="G"))</x:formula>
    </x:cfRule>
    <x:cfRule type="expression" dxfId="358" priority="85">
      <x:formula>AND(NOT($BK14),AND(OR($CL54="B",$CL54="G"),CT14="",CU14=""))</x:formula>
    </x:cfRule>
    <x:cfRule type="expression" dxfId="357" priority="86">
      <x:formula>AND(NOT($BK14),EJ54="ERR")</x:formula>
    </x:cfRule>
  </x:conditionalFormatting>
  <x:conditionalFormatting sqref="CU14:CU45">
    <x:cfRule type="expression" dxfId="356" priority="87">
      <x:formula>AND(NOT($BK14),OR($CL54="M",$CL54="C",$CL54="G"))</x:formula>
    </x:cfRule>
    <x:cfRule type="expression" dxfId="355" priority="88">
      <x:formula>AND(NOT($BK14),AND(OR($CL54="B",$CL54="G"),CT14="",CU14=""))</x:formula>
    </x:cfRule>
    <x:cfRule type="expression" dxfId="354" priority="89">
      <x:formula>AND(NOT($BK14),EJ54="ERR")</x:formula>
    </x:cfRule>
  </x:conditionalFormatting>
  <x:conditionalFormatting sqref="CR14:CR45">
    <x:cfRule type="expression" dxfId="353" priority="90">
      <x:formula>AND(NOT($BK14),OR($CL54="M",$CL54="C"))</x:formula>
    </x:cfRule>
    <x:cfRule type="expression" dxfId="352" priority="91">
      <x:formula>AND(NOT($BK14),AND(CR14="",CS14="",OR($CL54="B",$CL54="G")))</x:formula>
    </x:cfRule>
    <x:cfRule type="expression" dxfId="351" priority="92">
      <x:formula>AND(NOT($BK14),(CR14/2)/COS(RADIANS(CV14))+CM54-DI54&lt;$FB$4)</x:formula>
    </x:cfRule>
  </x:conditionalFormatting>
  <x:conditionalFormatting sqref="CS14:CS45">
    <x:cfRule type="expression" dxfId="350" priority="93">
      <x:formula>AND(NOT($BK14),OR($CL54="M",$CL54="C"))</x:formula>
    </x:cfRule>
    <x:cfRule type="expression" dxfId="349" priority="94">
      <x:formula>AND(NOT($BK14),AND(CR14="",CS14="",OR($CL54="B",$CL54="G")))</x:formula>
    </x:cfRule>
    <x:cfRule type="expression" dxfId="348" priority="95">
      <x:formula>AND(NOT($BK14),(CS14/2)/COS(RADIANS(CV14))+CM54-DI54&lt;$FB$4)</x:formula>
    </x:cfRule>
  </x:conditionalFormatting>
  <x:conditionalFormatting sqref="CW14:CW45 CM14:CM45">
    <x:cfRule type="expression" dxfId="347" priority="96">
      <x:formula>AND(NOT($BK14),AND(ISBLANK(CM14),AND(NOT(ISBLANK(CL14)),$DA14&lt;&gt;0)))</x:formula>
    </x:cfRule>
  </x:conditionalFormatting>
  <x:conditionalFormatting sqref="GA48:GB48">
    <x:cfRule type="expression" dxfId="346" priority="2" stopIfTrue="1">
      <x:formula>$GM50&gt;=0.125</x:formula>
    </x:cfRule>
  </x:conditionalFormatting>
  <x:conditionalFormatting sqref="CO14:CO45">
    <x:cfRule type="expression" dxfId="345" priority="97">
      <x:formula>ET14&lt;&gt;""</x:formula>
    </x:cfRule>
  </x:conditionalFormatting>
  <x:conditionalFormatting sqref="CY14:CY45">
    <x:cfRule type="expression" dxfId="344" priority="98">
      <x:formula>EU14&lt;&gt;""</x:formula>
    </x:cfRule>
  </x:conditionalFormatting>
  <x:conditionalFormatting sqref="CG14:CG45">
    <x:cfRule type="expression" dxfId="343" priority="99">
      <x:formula>AND(NOT($BK14),ISERROR(CC54))</x:formula>
    </x:cfRule>
    <x:cfRule type="expression" dxfId="342" priority="100">
      <x:formula>AND(NOT($BK14),OR(ISERROR(CC54),CC54="", ET14&lt;&gt;""))</x:formula>
    </x:cfRule>
  </x:conditionalFormatting>
  <x:conditionalFormatting sqref="CQ14:CQ45">
    <x:cfRule type="expression" dxfId="341" priority="101">
      <x:formula>AND(NOT($BK14),ISERROR(CL54))</x:formula>
    </x:cfRule>
    <x:cfRule type="expression" dxfId="340" priority="102">
      <x:formula>AND(NOT($BK14),OR(CL54="", EU14&lt;&gt;""))</x:formula>
    </x:cfRule>
  </x:conditionalFormatting>
  <x:conditionalFormatting sqref="DC14:DC45">
    <x:cfRule type="expression" dxfId="339" priority="103">
      <x:formula>OR(EN14&lt;&gt;"",EO14&lt;&gt;"",EP14&lt;&gt;"",EQ14&lt;&gt;"",ER14&lt;&gt;"",ES14&lt;&gt;"",ET14&lt;&gt;"",EU14&lt;&gt;"")</x:formula>
    </x:cfRule>
  </x:conditionalFormatting>
  <x:conditionalFormatting sqref="B87">
    <x:cfRule type="expression" dxfId="338" priority="1">
      <x:formula>$FN87</x:formula>
    </x:cfRule>
  </x:conditionalFormatting>
  <x:conditionalFormatting sqref="D14:E45">
    <x:cfRule type="expression" dxfId="337" priority="104" stopIfTrue="1">
      <x:formula xml:space="preserve"> AND($GM14 &gt;= 0.125, $GL14 &gt; 0)</x:formula>
    </x:cfRule>
  </x:conditionalFormatting>
  <x:conditionalFormatting sqref="GA14:GB45">
    <x:cfRule type="expression" dxfId="336" priority="105" stopIfTrue="1">
      <x:formula xml:space="preserve"> $GM14 &gt;= 0.125</x:formula>
    </x:cfRule>
  </x:conditionalFormatting>
  <x:dataValidations count="21">
    <x:dataValidation type="decimal" allowBlank="1" showInputMessage="1" showErrorMessage="1" error="Load must be blank or a number." sqref="DO14:DO45" xr:uid="{A20753AF-15D1-4F2B-9DC0-0FA06B88A2B9}">
      <x:formula1>0</x:formula1>
      <x:formula2>99</x:formula2>
    </x:dataValidation>
    <x:dataValidation type="whole" operator="greaterThan" allowBlank="1" showInputMessage="1" showErrorMessage="1" errorTitle="Quantity Error" error="Value must be an integer greater than -1000." sqref="B14:B45 CC14:CC45" xr:uid="{A3F92BE9-CE5B-4742-8253-958AD314D7C0}">
      <x:formula1>-1001</x:formula1>
    </x:dataValidation>
    <x:dataValidation type="whole" operator="notBetween" allowBlank="1" showInputMessage="1" showErrorMessage="1" sqref="B87" xr:uid="{C9BA39E7-E4BD-4E83-82E9-966D96870E25}">
      <x:formula1>-10001</x:formula1>
      <x:formula2>-10000</x:formula2>
    </x:dataValidation>
    <x:dataValidation type="decimal" operator="greaterThan" allowBlank="1" showInputMessage="1" showErrorMessage="1" errorTitle="Input Error" error="Positive Numeric Values Only!" sqref="CP14:CP45 CZ14:CZ45" xr:uid="{2283EB9E-B429-4C38-BB6A-7CCD35A7171E}">
      <x:formula1>0</x:formula1>
    </x:dataValidation>
    <x:dataValidation type="decimal" allowBlank="1" showInputMessage="1" showErrorMessage="1" errorTitle="Input Error" error="Numbers from 0&quot; to 11 7/8&quot; only!" sqref="GB15" xr:uid="{D1E14678-5B97-4E04-8791-EB5371AE793A}">
      <x:formula1>0</x:formula1>
      <x:formula2>11.875</x:formula2>
    </x:dataValidation>
    <x:dataValidation type="decimal" allowBlank="1" showInputMessage="1" showErrorMessage="1" errorTitle="Input Error" error="Positive numbers from 0&quot; to 11 7/8&quot; only!" sqref="GB14 GB16:GB45 GB48" xr:uid="{C49B3504-01D9-47E2-A43E-BEF2B9DEE852}">
      <x:formula1>0</x:formula1>
      <x:formula2>11.875</x:formula2>
    </x:dataValidation>
    <x:dataValidation type="whole" operator="greaterThanOrEqual" allowBlank="1" showInputMessage="1" showErrorMessage="1" errorTitle="Input Error" error="Positive Integers Only!" sqref="GA14:GA45 GA48" xr:uid="{F46E38EE-FCF6-4E73-A0BE-BC3BECFFB9CA}">
      <x:formula1>0</x:formula1>
    </x:dataValidation>
    <x:dataValidation type="decimal" allowBlank="1" showInputMessage="1" showErrorMessage="1" errorTitle="Input Error" error="Numeric Values Only!" sqref="GC14:GD45 GC48:GD48 CN14:CN45 CX14:CX45" xr:uid="{127DAC6F-1FE8-401C-A128-0348976CEB32}">
      <x:formula1>-1200</x:formula1>
      <x:formula2>1200</x:formula2>
    </x:dataValidation>
    <x:dataValidation type="list" allowBlank="1" showInputMessage="1" showErrorMessage="1" errorTitle="Input Error" error="The Only Valid Entries For This Column is &quot;N&quot;, &quot;F&quot; or &quot;B&quot;." sqref="AL14:AL45 AC14:AC45 AY14:AY45 BC14:BC45 AU14:AU45" xr:uid="{1C54962E-4974-45E4-BD7B-44952024E90E}">
      <x:formula1>"N,F,B"</x:formula1>
    </x:dataValidation>
    <x:dataValidation type="whole" allowBlank="1" showInputMessage="1" showErrorMessage="1" errorTitle="Input Error:" error="Enter Number of &quot;Sixteenths&quot; of an Inch for the Hole Diameter._x000a_Ex: &quot;9&quot; = 9/16&quot; Hole._x000a_    &quot;13&quot; = 13/16&quot; Hole." sqref="AN14:AN45" xr:uid="{7E224B1C-4074-4EBB-8876-D2E46D49FC73}">
      <x:formula1>9</x:formula1>
      <x:formula2>17</x:formula2>
    </x:dataValidation>
    <x:dataValidation type="decimal" operator="greaterThanOrEqual" allowBlank="1" showInputMessage="1" showErrorMessage="1" errorTitle="Input Error" error="Enter a numeric value greater than 1/2&quot;." sqref="AP14:AQ45" xr:uid="{C854C268-A75A-41E3-9012-3EEF59E9591D}">
      <x:formula1>0.75</x:formula1>
    </x:dataValidation>
    <x:dataValidation type="decimal" operator="lessThanOrEqual" allowBlank="1" showInputMessage="1" showErrorMessage="1" errorTitle="BL Over-Ride Error!" error="Base Length can't be past Girder Overall Length!  See section for Maximum Over-Ride Dimension." sqref="CO14:CO45" xr:uid="{F05B125E-2D22-49B4-93C9-9CDC8297713F}">
      <x:formula1>$CD54</x:formula1>
    </x:dataValidation>
    <x:dataValidation type="decimal" operator="lessThanOrEqual" allowBlank="1" showInputMessage="1" showErrorMessage="1" errorTitle="BL Over-Ride Error!" error="Base Length can't be past Girder Overall Length!  See section for Maximum Over-Ride Dimension." sqref="CY14:CY45" xr:uid="{3ECD1AF3-085C-43F5-A337-6A6DB042E423}">
      <x:formula1>$CM54</x:formula1>
    </x:dataValidation>
    <x:dataValidation type="decimal" operator="greaterThan" allowBlank="1" showInputMessage="1" showErrorMessage="1" errorTitle="Dimensional Error" error="Only positive numeric values permitted here." sqref="M14:N45 M87:N87" xr:uid="{1F8858EC-3CBC-4E55-AA80-FEECB0485955}">
      <x:formula1>0</x:formula1>
    </x:dataValidation>
    <x:dataValidation type="decimal" operator="notEqual" allowBlank="1" showInputMessage="1" showErrorMessage="1" errorTitle="Input Error" error="Enter + or - Numbers Only._x000a_Do NOT use &quot;&lt;&quot; or &quot;&gt;&quot;." sqref="X14:Y45 X87:Y87" xr:uid="{7D8E5255-C0C2-4C13-AD08-4003721ED852}">
      <x:formula1>0</x:formula1>
    </x:dataValidation>
    <x:dataValidation type="decimal" operator="greaterThanOrEqual" allowBlank="1" showInputMessage="1" showErrorMessage="1" errorTitle="Dimensional Error" error="&quot;Inches&quot; must be a number." sqref="CH14:CK45 CR14:CU45" xr:uid="{7A0EE4D2-DBC3-40F8-9158-D4E1EF2443AA}">
      <x:formula1>0</x:formula1>
    </x:dataValidation>
    <x: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638C5DD4-80D6-4FCD-BD54-2D7CA218FF8E}">
      <x:formula1>0</x:formula1>
      <x:formula2>11.875</x:formula2>
    </x:dataValidation>
    <x:dataValidation type="custom" allowBlank="1" showErrorMessage="1" errorTitle="Error" error="Value must  be either a whole number OR the string &quot;P&quot;." sqref="DV14:DV45 DZ14:DZ45 ED14:ED45 EH14:EH45 BD87 AR87 AV87 AZ87 AV14:AV45 AR14:AR45 BD14:BD45 AZ14:AZ45" xr:uid="{B8299F49-2A18-4215-9770-E14E3F8B788C}">
      <x:formula1>IF(ISERROR(INT(AR14)),AR14="P",INT(AR14)=AR14)</x:formula1>
    </x:dataValidation>
    <x:dataValidation type="whole" operator="greaterThanOrEqual" allowBlank="1" showErrorMessage="1" errorTitle="Error" error="&quot;Number of Panels&quot; can only be whole numbers." sqref="DL14:DL45 AF87 AF14:AF45" xr:uid="{58F97429-69EB-4BA8-8522-D3AEC6E9BF1E}">
      <x:formula1>0</x:formula1>
    </x:dataValidation>
    <x: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285042AA-7EFF-41BA-887F-425D701BB9B1}">
      <x:formula1>0</x:formula1>
    </x:dataValidation>
    <x:dataValidation type="list" allowBlank="1" showInputMessage="1" sqref="M7:S7 DA4:DB4" xr:uid="{9C7A2E77-FAC5-4D02-A5CD-B14BA23FDEF0}">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colBreaks count="1" manualBreakCount="1">
    <x:brk id="27" max="44" man="1"/>
  </x:colBreaks>
  <x:drawing r:id="rId2"/>
  <x:legacyDrawing r:id="rId3"/>
</x:worksheet>
</file>

<file path=xl/worksheets/sheet33.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C489AC40-3356-4BAF-9E91-B58FA4E709CC}" mc:Ignorable="x14ac xr xr2 xr3">
  <x:sheetPr codeName="Sheet32">
    <x:tabColor indexed="43"/>
  </x:sheetPr>
  <x:dimension ref="A1:IG76"/>
  <x:sheetViews>
    <x:sheetView showGridLines="0" zoomScaleNormal="100" zoomScaleSheetLayoutView="75" workbookViewId="0">
      <x:selection activeCell="GA23" sqref="GA23"/>
    </x:sheetView>
  </x:sheetViews>
  <x:sheetFormatPr defaultColWidth="5.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5.7109375" style="245" customWidth="1"/>
    <x:col min="29" max="29" width="5.7109375" style="245" hidden="1" customWidth="1"/>
    <x:col min="30" max="34" width="4.7109375" style="245" hidden="1" customWidth="1"/>
    <x:col min="35" max="35" width="7.85546875" style="378" hidden="1" customWidth="1"/>
    <x:col min="36" max="41" width="4.7109375" style="245" hidden="1" customWidth="1"/>
    <x:col min="42" max="43" width="8.7109375" style="245" hidden="1" customWidth="1"/>
    <x:col min="44" max="44" width="6.7109375" style="245" hidden="1" customWidth="1"/>
    <x:col min="45" max="45" width="4.7109375" style="245" hidden="1" customWidth="1"/>
    <x:col min="46" max="46" width="6.7109375" style="245" hidden="1" customWidth="1"/>
    <x:col min="47" max="49" width="4.7109375" style="245" hidden="1" customWidth="1"/>
    <x:col min="50" max="52" width="5.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27" width="6.7109375" style="245" hidden="1" customWidth="1"/>
    <x:col min="128" max="128" width="8.7109375" style="245" hidden="1" customWidth="1"/>
    <x:col min="12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5.7109375" style="245" customWidth="1"/>
    <x:col min="180" max="181" width="5.7109375" style="245" hidden="1" customWidth="1"/>
    <x:col min="182" max="182" width="5.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5.7109375" style="245" customWidth="1"/>
    <x:col min="197" max="206" width="8.7109375" style="245" hidden="1" customWidth="1"/>
    <x:col min="207" max="207" width="8.7109375" style="245" customWidth="1"/>
    <x:col min="208" max="208" width="8.7109375" style="245" hidden="1" customWidth="1"/>
    <x:col min="209" max="210" width="6.7109375" style="245" hidden="1" customWidth="1"/>
    <x:col min="211" max="211" width="12.7109375" style="245" hidden="1" customWidth="1"/>
    <x:col min="212" max="212" width="6.7109375" style="247" hidden="1" customWidth="1"/>
    <x:col min="213" max="213" width="6.7109375" style="381" hidden="1" customWidth="1"/>
    <x:col min="214" max="240" width="6.7109375" style="245" hidden="1" customWidth="1"/>
    <x:col min="241" max="243" width="8.7109375" style="245" customWidth="1"/>
    <x:col min="244" max="16384" width="5.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487"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571</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2">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x:c r="CW3" s="573"/>
      <x:c r="CX3" s="574"/>
      <x:c r="CY3" s="575"/>
      <x:c r="CZ3" s="574"/>
      <x:c r="DA3" s="574"/>
      <x:c r="DB3" s="574"/>
      <x:c r="DC3" s="576"/>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8">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374"/>
      <x:c r="CJ4" s="374"/>
      <x:c r="CK4" s="374"/>
      <x:c r="CL4" s="374"/>
      <x:c r="CM4" s="374"/>
      <x:c r="CN4" s="374"/>
      <x:c r="CO4" s="374"/>
      <x:c r="CP4" s="244"/>
      <x:c r="CQ4" s="244"/>
      <x:c r="CR4" s="374"/>
      <x:c r="CS4" s="374"/>
      <x:c r="CU4" s="577"/>
      <x:c r="CV4" s="1660"/>
      <x:c r="CW4" s="1661"/>
      <x:c r="CX4" s="1662"/>
      <x:c r="CY4" s="1662"/>
      <x:c r="CZ4" s="1662"/>
      <x:c r="DA4" s="1663"/>
      <x:c r="DB4" s="1662"/>
      <x:c r="DC4" s="1664"/>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8">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AB5" s="76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x:c r="CV5" s="1665"/>
      <x:c r="CW5" s="1666"/>
      <x:c r="CX5" s="1666"/>
      <x:c r="CY5" s="1666"/>
      <x:c r="CZ5" s="1666"/>
      <x:c r="DA5" s="1667"/>
      <x:c r="DB5" s="1666"/>
      <x:c r="DC5" s="1668"/>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8">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765"/>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244"/>
      <x:c r="CC6" s="203"/>
      <x:c r="CD6" s="390"/>
      <x:c r="CE6" s="244"/>
      <x:c r="CF6" s="244"/>
      <x:c r="CG6" s="244"/>
      <x:c r="CH6" s="244"/>
      <x:c r="CI6" s="244"/>
      <x:c r="CJ6" s="544"/>
      <x:c r="CK6" s="544"/>
      <x:c r="CL6" s="544"/>
      <x:c r="CM6" s="544"/>
      <x:c r="CN6" s="544"/>
      <x:c r="CO6" s="544"/>
      <x:c r="CP6" s="244"/>
      <x:c r="CQ6" s="244"/>
      <x:c r="CR6" s="374"/>
      <x:c r="CS6" s="244"/>
      <x:c r="CU6" s="579"/>
      <x:c r="CV6" s="1669"/>
      <x:c r="CW6" s="1670"/>
      <x:c r="CX6" s="1670"/>
      <x:c r="CY6" s="1670"/>
      <x:c r="CZ6" s="1670"/>
      <x:c r="DA6" s="1671"/>
      <x:c r="DB6" s="1670"/>
      <x:c r="DC6" s="1672"/>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8">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251"/>
      <x:c r="EY6" s="251"/>
      <x:c r="EZ6" s="251"/>
      <x:c r="FA6" s="251"/>
      <x:c r="FB6" s="246"/>
      <x:c r="FC6" s="246"/>
      <x:c r="FD6" s="246"/>
      <x:c r="FE6" s="246"/>
      <x:c r="FF6" s="246"/>
      <x:c r="FG6" s="246"/>
      <x:c r="FH6" s="246"/>
      <x:c r="FI6" s="246"/>
      <x:c r="GA6" s="374"/>
      <x:c r="GB6" s="374"/>
      <x:c r="GC6" s="374"/>
      <x:c r="GD6" s="374"/>
      <x:c r="GE6" s="374"/>
      <x:c r="GF6" s="374"/>
      <x:c r="GG6" s="374"/>
      <x:c r="GH6" s="374"/>
      <x:c r="GI6" s="374"/>
      <x:c r="GJ6" s="374"/>
      <x:c r="HD6" s="245"/>
      <x:c r="HE6" s="245"/>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15 of 19</x:v>
      </x:c>
      <x:c r="Z7" s="658"/>
      <x:c r="AA7" s="374"/>
      <x:c r="AB7" s="256"/>
      <x:c r="AC7" s="1083">
        <x:v>15</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244"/>
      <x:c r="CC7" s="203"/>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415</x:v>
      </x:c>
      <x:c r="DG7" s="1654">
        <x:f>'Job Info.'!$N12/2</x:f>
        <x:v>1</x:v>
      </x:c>
      <x:c r="DH7" s="1656">
        <x:f>'Job Info.'!$H12</x:f>
        <x:v>5</x:v>
      </x:c>
      <x:c r="DI7" s="1656">
        <x:f>'Job Info.'!$J12</x:f>
        <x:v>6</x:v>
      </x:c>
      <x:c r="DJ7" s="1656">
        <x:f>'Job Info.'!$I12</x:f>
        <x:v>4</x:v>
      </x:c>
      <x:c r="DK7" s="1656">
        <x:f>'Job Info.'!$K12</x:f>
        <x:v>4</x:v>
      </x:c>
      <x:c r="DL7" s="1657">
        <x:f>'Job Info.'!$M12</x:f>
        <x:v>0.8125</x:v>
      </x:c>
      <x:c r="DM7" s="1658">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7.3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AB8" s="256"/>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416</x:v>
      </x:c>
      <x:c r="DG8" s="1654">
        <x:f>'Job Info.'!$N13/2</x:f>
        <x:v>1</x:v>
      </x:c>
      <x:c r="DH8" s="1656">
        <x:f>'Job Info.'!$H13</x:f>
        <x:v>5</x:v>
      </x:c>
      <x:c r="DI8" s="1656">
        <x:f>'Job Info.'!$J13</x:f>
        <x:v>6</x:v>
      </x:c>
      <x:c r="DJ8" s="1656">
        <x:f>'Job Info.'!$I13</x:f>
        <x:v>4</x:v>
      </x:c>
      <x:c r="DK8" s="1656">
        <x:f>'Job Info.'!$K13</x:f>
        <x:v>4</x:v>
      </x:c>
      <x:c r="DL8" s="1657">
        <x:f>'Job Info.'!$M13</x:f>
        <x:v>0.8125</x:v>
      </x:c>
      <x:c r="DM8" s="1658">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1415"/>
      <x:c r="BA9" s="246"/>
      <x:c r="BB9" s="400"/>
      <x:c r="BC9" s="244"/>
      <x:c r="BD9" s="244"/>
      <x:c r="BE9" s="244"/>
      <x:c r="BF9" s="244"/>
      <x:c r="BG9" s="244"/>
      <x:c r="BH9" s="244"/>
      <x:c r="BI9" s="244"/>
      <x:c r="BJ9" s="244"/>
      <x:c r="BK9" s="244"/>
      <x:c r="BL9" s="244"/>
      <x:c r="BM9" s="244"/>
      <x:c r="BN9" s="244"/>
      <x:c r="BO9" s="244"/>
      <x:c r="BP9" s="244"/>
      <x:c r="BQ9" s="244"/>
      <x:c r="BR9" s="244"/>
      <x:c r="BS9" s="244"/>
      <x:c r="BT9" s="244"/>
      <x:c r="BU9" s="244"/>
      <x:c r="BV9" s="244"/>
      <x:c r="BW9" s="244"/>
      <x:c r="BX9" s="244"/>
      <x:c r="BY9" s="244"/>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114</x:v>
      </x:c>
      <x:c r="DG9" s="1673">
        <x:f>'Job Info.'!$N14/2</x:f>
        <x:v>1</x:v>
      </x:c>
      <x:c r="DH9" s="1674">
        <x:f>'Job Info.'!$H14</x:f>
        <x:v>5</x:v>
      </x:c>
      <x:c r="DI9" s="1674">
        <x:f>'Job Info.'!$J14</x:f>
        <x:v>6</x:v>
      </x:c>
      <x:c r="DJ9" s="1674">
        <x:f>'Job Info.'!$I14</x:f>
        <x:v>4</x:v>
      </x:c>
      <x:c r="DK9" s="1674">
        <x:f>'Job Info.'!$K14</x:f>
        <x:v>4</x:v>
      </x:c>
      <x:c r="DL9" s="1675">
        <x:f>'Job Info.'!$M14</x:f>
        <x:v>0.8125</x:v>
      </x:c>
      <x:c r="DM9" s="1676">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x14ac:dyDescent="0.2">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1415"/>
      <x:c r="BA10" s="246"/>
      <x:c r="BB10" s="244"/>
      <x:c r="BC10" s="244"/>
      <x:c r="BD10" s="244"/>
      <x:c r="BE10" s="244"/>
      <x:c r="BF10" s="244"/>
      <x:c r="BG10" s="244"/>
      <x:c r="BH10" s="244"/>
      <x:c r="BI10" s="244"/>
      <x:c r="BJ10" s="244"/>
      <x:c r="BK10" s="244"/>
      <x:c r="BL10" s="244"/>
      <x:c r="BM10" s="244"/>
      <x:c r="BN10" s="244"/>
      <x:c r="BO10" s="244"/>
      <x:c r="BP10" s="244"/>
      <x:c r="BQ10" s="244"/>
      <x:c r="BR10" s="244"/>
      <x:c r="BS10" s="244"/>
      <x:c r="BT10" s="244"/>
      <x:c r="BU10" s="244"/>
      <x:c r="BV10" s="244"/>
      <x:c r="BW10" s="244"/>
      <x:c r="BX10" s="244"/>
      <x:c r="BY10" s="244"/>
      <x:c r="BZ10" s="244"/>
      <x:c r="CA10" s="244"/>
      <x:c r="CB10" s="244"/>
      <x:c r="CC10" s="244"/>
      <x:c r="CD10" s="244"/>
      <x:c r="CE10" s="244"/>
      <x:c r="CF10" s="244"/>
      <x:c r="CG10" s="244"/>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7.35" customHeight="1" x14ac:dyDescent="0.2">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44"/>
      <x:c r="BC11" s="244"/>
      <x:c r="BD11" s="244"/>
      <x:c r="BE11" s="244"/>
      <x:c r="BF11" s="244"/>
      <x:c r="BG11" s="244"/>
      <x:c r="BH11" s="244"/>
      <x:c r="BI11" s="244"/>
      <x:c r="BJ11" s="244"/>
      <x:c r="BK11" s="244"/>
      <x:c r="BL11" s="244"/>
      <x:c r="BM11" s="244"/>
      <x:c r="BN11" s="244"/>
      <x:c r="BO11" s="244"/>
      <x:c r="BP11" s="244"/>
      <x:c r="BQ11" s="244"/>
      <x:c r="BR11" s="244"/>
      <x:c r="BS11" s="244"/>
      <x:c r="BT11" s="244"/>
      <x:c r="BU11" s="244"/>
      <x:c r="BV11" s="244"/>
      <x:c r="BW11" s="244"/>
      <x:c r="BX11" s="244"/>
      <x:c r="BY11" s="244"/>
      <x:c r="BZ11" s="244"/>
      <x:c r="CA11" s="244"/>
      <x:c r="CB11" s="244"/>
      <x:c r="CC11" s="244"/>
      <x:c r="CD11" s="244"/>
      <x:c r="CE11" s="244"/>
      <x:c r="CF11" s="244"/>
      <x:c r="CG11" s="24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row>
    <x:row r="12" spans="1:241" ht="12.6" customHeight="1" x14ac:dyDescent="0.2">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IF(ISBLANK(CC16),"",CC16)</x:f>
        <x:v/>
      </x:c>
      <x:c r="AB12" s="763" t="str">
        <x:f>AA12</x:f>
        <x:v/>
      </x:c>
      <x:c r="AP12" s="1028"/>
      <x:c r="BA12" s="246"/>
      <x:c r="BB12" s="406"/>
      <x:c r="BC12" s="244"/>
      <x:c r="BD12" s="244"/>
      <x:c r="BE12" s="244"/>
      <x:c r="BF12" s="244"/>
      <x:c r="BG12" s="244"/>
      <x:c r="BH12" s="244"/>
      <x:c r="BI12" s="244"/>
      <x:c r="BJ12" s="244"/>
      <x:c r="BK12" s="244"/>
      <x:c r="BL12" s="244"/>
      <x:c r="BM12" s="244"/>
      <x:c r="BN12" s="203"/>
      <x:c r="BO12" s="407"/>
      <x:c r="BP12" s="407"/>
      <x:c r="BQ12" s="407"/>
      <x:c r="BR12" s="407"/>
      <x:c r="BS12" s="407"/>
      <x:c r="BT12" s="407"/>
      <x:c r="BU12" s="407"/>
      <x:c r="BV12" s="407"/>
      <x:c r="BW12" s="407"/>
      <x:c r="BX12" s="407"/>
      <x:c r="BY12" s="407"/>
      <x:c r="BZ12" s="407"/>
      <x:c r="CA12" s="407"/>
      <x:c r="CB12" s="407"/>
      <x:c r="CC12" s="407"/>
      <x:c r="CD12" s="407"/>
      <x:c r="CE12" s="407"/>
      <x:c r="CF12" s="244"/>
      <x:c r="CG12" s="244"/>
      <x:c r="CH12" s="244"/>
      <x:c r="CI12" s="244"/>
      <x:c r="CJ12" s="244"/>
      <x:c r="CK12" s="244"/>
      <x:c r="CL12" s="244"/>
      <x:c r="CM12" s="244"/>
      <x:c r="CN12" s="244"/>
      <x:c r="CO12" s="244"/>
      <x:c r="CP12" s="244"/>
      <x:c r="CQ12" s="244"/>
      <x:c r="CR12" s="244"/>
      <x:c r="CS12" s="244"/>
      <x:c r="CT12" s="246"/>
      <x:c r="CU12" s="246"/>
      <x:c r="CV12" s="246"/>
      <x:c r="CW12" s="246"/>
      <x:c r="CX12" s="246"/>
      <x:c r="CY12" s="246"/>
      <x:c r="CZ12" s="246"/>
      <x:c r="DA12" s="408"/>
      <x:c r="DB12" s="251"/>
      <x:c r="DC12" s="251"/>
      <x:c r="DD12" s="251"/>
      <x:c r="DE12" s="251"/>
      <x:c r="DR12" s="246"/>
      <x:c r="DS12" s="246"/>
      <x:c r="DT12" s="246"/>
      <x:c r="DU12" s="246"/>
      <x:c r="DV12" s="246"/>
      <x:c r="DW12" s="246"/>
      <x:c r="DX12" s="246"/>
      <x:c r="DY12" s="246"/>
      <x:c r="DZ12" s="246"/>
      <x:c r="EA12" s="246"/>
      <x:c r="EB12" s="246"/>
      <x:c r="EC12" s="246"/>
      <x:c r="ED12" s="246"/>
      <x:c r="EE12" s="404"/>
      <x:c r="EF12" s="404"/>
      <x:c r="EG12" s="404"/>
      <x:c r="EH12" s="404"/>
      <x:c r="EI12" s="404"/>
      <x:c r="EJ12" s="404"/>
      <x:c r="EK12" s="404"/>
      <x:c r="EL12" s="404"/>
      <x:c r="EM12" s="404"/>
      <x:c r="EN12" s="404"/>
      <x:c r="EO12" s="404"/>
      <x:c r="EP12" s="404"/>
      <x:c r="EQ12" s="246"/>
      <x:c r="ER12" s="246"/>
      <x:c r="ES12" s="246"/>
      <x:c r="ET12" s="246"/>
      <x:c r="EU12" s="246"/>
      <x:c r="EV12" s="246"/>
      <x:c r="EW12" s="246"/>
      <x:c r="EX12" s="251"/>
      <x:c r="EY12" s="251"/>
      <x:c r="EZ12" s="251"/>
      <x:c r="FA12" s="251"/>
      <x:c r="FB12" s="246"/>
      <x:c r="FC12" s="246"/>
      <x:c r="FD12" s="246"/>
      <x:c r="FE12" s="246"/>
      <x:c r="FF12" s="246"/>
      <x:c r="FG12" s="246"/>
      <x:c r="FH12" s="246"/>
      <x:c r="FI12" s="246"/>
      <x:c r="GA12" s="374"/>
      <x:c r="GB12" s="374"/>
      <x:c r="GC12" s="374"/>
      <x:c r="GD12" s="374"/>
      <x:c r="GE12" s="374"/>
      <x:c r="GF12" s="374"/>
      <x:c r="GG12" s="374"/>
      <x:c r="GH12" s="374"/>
      <x:c r="GI12" s="374"/>
      <x:c r="GJ12" s="374"/>
    </x:row>
    <x:row r="13" spans="1:241" ht="11.1" customHeight="1" x14ac:dyDescent="0.2">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BA13" s="246"/>
      <x:c r="BB13" s="244"/>
      <x:c r="BC13" s="244"/>
      <x:c r="BD13" s="244"/>
      <x:c r="BE13" s="244"/>
      <x:c r="BF13" s="244"/>
      <x:c r="BG13" s="244"/>
      <x:c r="BH13" s="244"/>
      <x:c r="BI13" s="244"/>
      <x:c r="BJ13" s="244"/>
      <x:c r="BK13" s="244"/>
      <x:c r="BL13" s="244"/>
      <x:c r="BM13" s="244"/>
      <x:c r="BN13" s="244"/>
      <x:c r="BO13" s="244"/>
      <x:c r="BP13" s="244"/>
      <x:c r="BQ13" s="244"/>
      <x:c r="BR13" s="244"/>
      <x:c r="BS13" s="244"/>
      <x:c r="BT13" s="244"/>
      <x:c r="BU13" s="244"/>
      <x:c r="BV13" s="244"/>
      <x:c r="BW13" s="244"/>
      <x:c r="BX13" s="244"/>
      <x:c r="BY13" s="244"/>
      <x:c r="BZ13" s="244"/>
      <x:c r="CA13" s="244"/>
      <x:c r="CB13" s="244"/>
      <x:c r="CC13" s="244"/>
      <x:c r="CD13" s="244"/>
      <x:c r="CE13" s="244"/>
      <x:c r="CF13" s="244"/>
      <x:c r="CG13" s="244"/>
      <x:c r="CH13" s="244"/>
      <x:c r="CI13" s="244"/>
      <x:c r="CJ13" s="244"/>
      <x:c r="CK13" s="244"/>
      <x:c r="CL13" s="244"/>
      <x:c r="CM13" s="244"/>
      <x:c r="CN13" s="244"/>
      <x:c r="CO13" s="244"/>
      <x:c r="CP13" s="244"/>
      <x:c r="CQ13" s="244"/>
      <x:c r="CR13" s="244"/>
      <x:c r="CS13" s="244"/>
      <x:c r="CT13" s="246"/>
      <x:c r="CU13" s="246"/>
      <x:c r="CV13" s="246"/>
      <x:c r="CW13" s="246"/>
      <x:c r="CX13" s="246"/>
      <x:c r="CY13" s="246"/>
      <x:c r="CZ13" s="246"/>
      <x:c r="EE13" s="404"/>
      <x:c r="EF13" s="404"/>
      <x:c r="EG13" s="404"/>
      <x:c r="EH13" s="404"/>
      <x:c r="EI13" s="404"/>
      <x:c r="EJ13" s="411"/>
      <x:c r="EK13" s="411"/>
      <x:c r="EL13" s="411"/>
      <x:c r="EM13" s="411"/>
      <x:c r="EN13" s="411"/>
      <x:c r="EO13" s="411"/>
      <x:c r="EP13" s="411"/>
      <x:c r="EQ13" s="2329"/>
      <x:c r="ES13" s="246"/>
      <x:c r="ET13" s="246"/>
      <x:c r="EU13" s="2329"/>
      <x:c r="EV13" s="2329"/>
      <x:c r="EW13" s="2329"/>
      <x:c r="EZ13" s="251"/>
      <x:c r="FA13" s="251"/>
      <x:c r="FB13" s="246"/>
      <x:c r="FC13" s="246"/>
      <x:c r="FD13" s="246"/>
      <x:c r="FE13" s="246"/>
      <x:c r="FF13" s="246"/>
      <x:c r="FG13" s="246"/>
      <x:c r="FH13" s="246"/>
      <x:c r="FI13" s="246"/>
      <x:c r="GA13" s="374"/>
      <x:c r="GB13" s="374"/>
      <x:c r="GC13" s="374"/>
      <x:c r="GD13" s="374"/>
      <x:c r="GE13" s="374"/>
      <x:c r="GF13" s="374"/>
      <x:c r="GG13" s="374"/>
      <x:c r="GH13" s="374"/>
      <x:c r="GI13" s="374"/>
      <x:c r="GJ13" s="374"/>
    </x:row>
    <x:row r="14" spans="1:241" ht="76.349999999999994" customHeight="1" x14ac:dyDescent="0.2">
      <x:c r="A14" s="374"/>
      <x:c r="B14" s="374"/>
      <x:c r="C14" s="374"/>
      <x:c r="D14" s="374"/>
      <x:c r="E14" s="374"/>
      <x:c r="F14" s="374"/>
      <x:c r="G14" s="374"/>
      <x:c r="H14" s="374"/>
      <x:c r="I14" s="374"/>
      <x:c r="J14" s="374"/>
      <x:c r="K14" s="374"/>
      <x:c r="L14" s="374"/>
      <x:c r="M14" s="374"/>
      <x:c r="N14" s="374"/>
      <x:c r="O14" s="374"/>
      <x:c r="P14" s="374"/>
      <x:c r="Q14" s="374"/>
      <x:c r="R14" s="374"/>
      <x:c r="S14" s="374"/>
      <x:c r="T14" s="374"/>
      <x:c r="U14" s="374"/>
      <x:c r="V14" s="374"/>
      <x:c r="W14" s="374"/>
      <x:c r="X14" s="374"/>
      <x:c r="Y14" s="374"/>
      <x:c r="Z14" s="374"/>
      <x:c r="AA14" s="412" t="s">
        <x:v>28</x:v>
      </x:c>
      <x:c r="AB14" s="413"/>
      <x:c r="BA14" s="246"/>
      <x:c r="BB14" s="244"/>
      <x:c r="BC14" s="244"/>
      <x:c r="BD14" s="244"/>
      <x:c r="BE14" s="244"/>
      <x:c r="BF14" s="244"/>
      <x:c r="BG14" s="244"/>
      <x:c r="BH14" s="244"/>
      <x:c r="BI14" s="244"/>
      <x:c r="BJ14" s="244"/>
      <x:c r="BK14" s="244"/>
      <x:c r="BL14" s="244"/>
      <x:c r="BM14" s="244"/>
      <x:c r="BN14" s="244"/>
      <x:c r="BO14" s="244"/>
      <x:c r="BP14" s="244"/>
      <x:c r="BQ14" s="244"/>
      <x:c r="BR14" s="244"/>
      <x:c r="BS14" s="244"/>
      <x:c r="BT14" s="244"/>
      <x:c r="BU14" s="244"/>
      <x:c r="BV14" s="244"/>
      <x:c r="BW14" s="244"/>
      <x:c r="BX14" s="244"/>
      <x:c r="BY14" s="244"/>
      <x:c r="BZ14" s="244"/>
      <x:c r="CA14" s="244"/>
      <x:c r="CB14" s="244"/>
      <x:c r="CC14" s="244"/>
      <x:c r="CD14" s="244"/>
      <x:c r="CE14" s="244"/>
      <x:c r="CF14" s="244"/>
      <x:c r="CG14" s="374"/>
      <x:c r="CH14" s="374"/>
      <x:c r="CI14" s="374"/>
      <x:c r="CJ14" s="374"/>
      <x:c r="CK14" s="374"/>
      <x:c r="CL14" s="374"/>
      <x:c r="CM14" s="374"/>
      <x:c r="CN14" s="374"/>
      <x:c r="CO14" s="374"/>
      <x:c r="CP14" s="244"/>
      <x:c r="CQ14" s="244"/>
      <x:c r="CR14" s="244"/>
      <x:c r="CS14" s="244"/>
      <x:c r="CT14" s="246"/>
      <x:c r="CU14" s="246"/>
      <x:c r="CV14" s="246"/>
      <x:c r="CW14" s="246"/>
      <x:c r="CX14" s="246"/>
      <x:c r="CY14" s="246"/>
      <x:c r="CZ14" s="246"/>
      <x:c r="EE14" s="404"/>
      <x:c r="EF14" s="404"/>
      <x:c r="EG14" s="404"/>
      <x:c r="EH14" s="404"/>
      <x:c r="EI14" s="404"/>
      <x:c r="EJ14" s="404"/>
      <x:c r="EK14" s="404"/>
      <x:c r="EL14" s="404"/>
      <x:c r="EM14" s="404"/>
      <x:c r="EN14" s="404"/>
      <x:c r="EO14" s="404"/>
      <x:c r="EP14" s="404"/>
      <x:c r="EQ14" s="2330"/>
      <x:c r="ES14" s="246"/>
      <x:c r="ET14" s="246"/>
      <x:c r="EU14" s="2330"/>
      <x:c r="EV14" s="2330"/>
      <x:c r="EW14" s="2330"/>
      <x:c r="EZ14" s="251"/>
      <x:c r="FA14" s="251"/>
      <x:c r="FB14" s="246"/>
      <x:c r="FC14" s="246"/>
      <x:c r="FD14" s="246"/>
      <x:c r="FE14" s="246"/>
      <x:c r="FF14" s="246"/>
      <x:c r="FG14" s="246"/>
      <x:c r="FH14" s="246"/>
      <x:c r="FI14" s="246"/>
      <x:c r="GA14" s="374"/>
      <x:c r="GB14" s="374"/>
      <x:c r="GC14" s="374"/>
      <x:c r="GD14" s="374"/>
      <x:c r="GE14" s="374"/>
      <x:c r="GF14" s="374"/>
      <x:c r="GG14" s="374"/>
      <x:c r="GH14" s="374"/>
      <x:c r="GI14" s="374"/>
      <x:c r="GJ14" s="374"/>
    </x:row>
    <x:row r="15" spans="1:241" ht="12.6" customHeight="1" x14ac:dyDescent="0.2">
      <x:c r="A15" s="374"/>
      <x:c r="B15" s="374"/>
      <x:c r="C15" s="374"/>
      <x:c r="D15" s="374"/>
      <x:c r="E15" s="374"/>
      <x:c r="F15" s="374"/>
      <x:c r="G15" s="374"/>
      <x:c r="H15" s="374"/>
      <x:c r="I15" s="374"/>
      <x:c r="J15" s="374"/>
      <x:c r="K15" s="374"/>
      <x:c r="L15" s="374"/>
      <x:c r="M15" s="374"/>
      <x:c r="N15" s="374"/>
      <x:c r="O15" s="374"/>
      <x:c r="P15" s="374"/>
      <x:c r="Q15" s="374"/>
      <x:c r="R15" s="374"/>
      <x:c r="S15" s="374"/>
      <x:c r="T15" s="374"/>
      <x:c r="U15" s="374"/>
      <x:c r="V15" s="374"/>
      <x:c r="W15" s="374"/>
      <x:c r="X15" s="374"/>
      <x:c r="Y15" s="374"/>
      <x:c r="Z15" s="462" t="s">
        <x:v>5</x:v>
      </x:c>
      <x:c r="AA15" s="663">
        <x:f>AD15+AD41</x:f>
        <x:v>0</x:v>
      </x:c>
      <x:c r="AB15" s="414"/>
      <x:c r="AD15" s="415">
        <x:v>0</x:v>
      </x:c>
      <x:c r="AE15" s="245" t="s">
        <x:v>73</x:v>
      </x:c>
      <x:c r="BA15" s="246"/>
      <x:c r="BB15" s="244"/>
      <x:c r="BC15" s="244"/>
      <x:c r="BD15" s="244"/>
      <x:c r="BE15" s="244"/>
      <x:c r="BF15" s="244"/>
      <x:c r="BG15" s="244"/>
      <x:c r="BH15" s="244"/>
      <x:c r="BI15" s="244"/>
      <x:c r="BJ15" s="244"/>
      <x:c r="BK15" s="244"/>
      <x:c r="BL15" s="244"/>
      <x:c r="BM15" s="244"/>
      <x:c r="BN15" s="244"/>
      <x:c r="BO15" s="244"/>
      <x:c r="BP15" s="244"/>
      <x:c r="BQ15" s="244"/>
      <x:c r="BR15" s="244"/>
      <x:c r="BS15" s="244"/>
      <x:c r="BT15" s="244"/>
      <x:c r="BU15" s="244"/>
      <x:c r="BV15" s="244"/>
      <x:c r="BW15" s="244"/>
      <x:c r="BX15" s="244"/>
      <x:c r="BY15" s="244"/>
      <x:c r="BZ15" s="244"/>
      <x:c r="CA15" s="244"/>
      <x:c r="CB15" s="393" t="s">
        <x:v>678</x:v>
      </x:c>
      <x:c r="CC15" s="2406"/>
      <x:c r="CD15" s="1924"/>
      <x:c r="CE15" s="1924"/>
      <x:c r="CF15" s="1924"/>
      <x:c r="CG15" s="374"/>
      <x:c r="CH15" s="374"/>
      <x:c r="CI15" s="374"/>
      <x:c r="CJ15" s="374"/>
      <x:c r="CK15" s="374"/>
      <x:c r="CL15" s="374"/>
      <x:c r="CM15" s="374"/>
      <x:c r="CN15" s="374"/>
      <x:c r="CO15" s="244"/>
      <x:c r="CP15" s="244"/>
      <x:c r="CQ15" s="244"/>
      <x:c r="CR15" s="244"/>
      <x:c r="CS15" s="952"/>
      <x:c r="CT15" s="416"/>
      <x:c r="CU15" s="246"/>
      <x:c r="CV15" s="246"/>
      <x:c r="CW15" s="246"/>
      <x:c r="CX15" s="246"/>
      <x:c r="CY15" s="246"/>
      <x:c r="CZ15" s="246"/>
      <x:c r="DA15" s="246"/>
      <x:c r="DB15" s="246"/>
      <x:c r="DC15" s="246"/>
      <x:c r="DD15" s="246"/>
      <x:c r="DE15" s="246"/>
      <x:c r="DF15" s="246"/>
      <x:c r="DG15" s="246"/>
      <x:c r="DH15" s="246"/>
      <x:c r="DI15" s="404"/>
      <x:c r="DJ15" s="404"/>
      <x:c r="DK15" s="251"/>
      <x:c r="DL15" s="417"/>
      <x:c r="DM15" s="417"/>
      <x:c r="DN15" s="417"/>
      <x:c r="DO15" s="246"/>
      <x:c r="DP15" s="246"/>
      <x:c r="DQ15" s="246"/>
      <x:c r="DR15" s="246"/>
      <x:c r="DS15" s="246"/>
      <x:c r="DT15" s="404"/>
      <x:c r="DU15" s="404"/>
      <x:c r="DV15" s="404"/>
      <x:c r="DW15" s="404"/>
      <x:c r="DX15" s="246"/>
      <x:c r="DY15" s="251"/>
      <x:c r="DZ15" s="246"/>
      <x:c r="EA15" s="246"/>
      <x:c r="EB15" s="246"/>
      <x:c r="EC15" s="404"/>
      <x:c r="ED15" s="404"/>
      <x:c r="EE15" s="404"/>
      <x:c r="EF15" s="404"/>
      <x:c r="EG15" s="404"/>
      <x:c r="EH15" s="404"/>
      <x:c r="EI15" s="1295"/>
      <x:c r="EJ15" s="404"/>
      <x:c r="EK15" s="404"/>
      <x:c r="EL15" s="404"/>
      <x:c r="EM15" s="404"/>
      <x:c r="EN15" s="404"/>
      <x:c r="EO15" s="404"/>
      <x:c r="EP15" s="404"/>
      <x:c r="EQ15" s="246"/>
      <x:c r="ES15" s="246"/>
      <x:c r="ET15" s="246"/>
      <x:c r="EU15" s="246"/>
      <x:c r="EV15" s="246"/>
      <x:c r="EW15" s="246"/>
      <x:c r="EZ15" s="251"/>
      <x:c r="FA15" s="251"/>
      <x:c r="FB15" s="246"/>
      <x:c r="FC15" s="246"/>
      <x:c r="FD15" s="246"/>
      <x:c r="FE15" s="246"/>
      <x:c r="FF15" s="246"/>
      <x:c r="FG15" s="246"/>
      <x:c r="FH15" s="246"/>
      <x:c r="FI15" s="246"/>
      <x:c r="FR15" s="511"/>
      <x:c r="GA15" s="374"/>
      <x:c r="GB15" s="374"/>
      <x:c r="GC15" s="374"/>
      <x:c r="GD15" s="374"/>
      <x:c r="GE15" s="374"/>
      <x:c r="GF15" s="374"/>
      <x:c r="GG15" s="374"/>
      <x:c r="GH15" s="374"/>
      <x:c r="GI15" s="374"/>
      <x:c r="GJ15" s="374"/>
    </x:row>
    <x:row r="16" spans="1:241" ht="12.6" customHeight="1" x14ac:dyDescent="0.2">
      <x:c r="A16" s="374"/>
      <x:c r="B16" s="374"/>
      <x:c r="C16" s="374"/>
      <x:c r="D16" s="374"/>
      <x:c r="E16" s="374"/>
      <x:c r="F16" s="374"/>
      <x:c r="G16" s="374"/>
      <x:c r="H16" s="374"/>
      <x:c r="I16" s="374"/>
      <x:c r="J16" s="374"/>
      <x:c r="K16" s="374"/>
      <x:c r="L16" s="374"/>
      <x:c r="M16" s="374"/>
      <x:c r="N16" s="374"/>
      <x:c r="O16" s="374"/>
      <x:c r="P16" s="374"/>
      <x:c r="Q16" s="374"/>
      <x:c r="R16" s="374"/>
      <x:c r="S16" s="374"/>
      <x:c r="T16" s="374"/>
      <x:c r="U16" s="374"/>
      <x:c r="V16" s="374"/>
      <x:c r="W16" s="374"/>
      <x:c r="X16" s="374"/>
      <x:c r="Y16" s="374"/>
      <x:c r="Z16" s="462" t="s">
        <x:v>6</x:v>
      </x:c>
      <x:c r="AA16" s="663">
        <x:f>AD16+AE41</x:f>
        <x:v>535</x:v>
      </x:c>
      <x:c r="AB16" s="414"/>
      <x:c r="AD16" s="415">
        <x:v>447</x:v>
      </x:c>
      <x:c r="AE16" s="245" t="s">
        <x:v>74</x:v>
      </x:c>
      <x:c r="BA16" s="246"/>
      <x:c r="BB16" s="244"/>
      <x:c r="BC16" s="244"/>
      <x:c r="BD16" s="244"/>
      <x:c r="BE16" s="949">
        <x:v>4.5</x:v>
      </x:c>
      <x:c r="BF16" s="949">
        <x:v>5.5</x:v>
      </x:c>
      <x:c r="BG16" s="950">
        <x:v>5</x:v>
      </x:c>
      <x:c r="BH16" s="950">
        <x:v>5</x:v>
      </x:c>
      <x:c r="BI16" s="950">
        <x:v>5</x:v>
      </x:c>
      <x:c r="BJ16" s="950">
        <x:v>3</x:v>
      </x:c>
      <x:c r="BK16" s="950">
        <x:v>5</x:v>
      </x:c>
      <x:c r="BL16" s="950">
        <x:v>5</x:v>
      </x:c>
      <x:c r="BM16" s="950">
        <x:v>5</x:v>
      </x:c>
      <x:c r="BN16" s="950">
        <x:v>6</x:v>
      </x:c>
      <x:c r="BO16" s="950">
        <x:v>5</x:v>
      </x:c>
      <x:c r="BP16" s="950">
        <x:v>5</x:v>
      </x:c>
      <x:c r="BQ16" s="950">
        <x:v>5</x:v>
      </x:c>
      <x:c r="BR16" s="950">
        <x:v>3</x:v>
      </x:c>
      <x:c r="BS16" s="950">
        <x:v>5</x:v>
      </x:c>
      <x:c r="BT16" s="950">
        <x:v>5</x:v>
      </x:c>
      <x:c r="BU16" s="950">
        <x:v>5</x:v>
      </x:c>
      <x:c r="BV16" s="950">
        <x:v>6</x:v>
      </x:c>
      <x:c r="BW16" s="951"/>
      <x:c r="BX16" s="949">
        <x:v>24</x:v>
      </x:c>
      <x:c r="BY16" s="949">
        <x:v>24</x:v>
      </x:c>
      <x:c r="BZ16" s="244"/>
      <x:c r="CA16" s="244"/>
      <x:c r="CB16" s="393" t="s">
        <x:v>657</x:v>
      </x:c>
      <x:c r="CC16" s="1082"/>
      <x:c r="CD16" s="244"/>
      <x:c r="CE16" s="244"/>
      <x:c r="CF16" s="244"/>
      <x:c r="CG16" s="374"/>
      <x:c r="CH16" s="374"/>
      <x:c r="CI16" s="374"/>
      <x:c r="CJ16" s="374"/>
      <x:c r="CK16" s="374"/>
      <x:c r="CL16" s="374"/>
      <x:c r="CM16" s="374"/>
      <x:c r="CN16" s="374"/>
      <x:c r="CO16" s="244"/>
      <x:c r="CP16" s="244"/>
      <x:c r="CQ16" s="244"/>
      <x:c r="CR16" s="953"/>
      <x:c r="CS16" s="244"/>
      <x:c r="CT16" s="416"/>
      <x:c r="CU16" s="246"/>
      <x:c r="CV16" s="246"/>
      <x:c r="CW16" s="246"/>
      <x:c r="CX16" s="246"/>
      <x:c r="CY16" s="246"/>
      <x:c r="CZ16" s="246"/>
      <x:c r="DA16" s="246"/>
      <x:c r="DB16" s="246"/>
      <x:c r="DC16" s="246"/>
      <x:c r="DD16" s="246"/>
      <x:c r="DE16" s="246"/>
      <x:c r="DF16" s="246"/>
      <x:c r="DG16" s="246"/>
      <x:c r="DH16" s="246"/>
      <x:c r="DI16" s="246"/>
      <x:c r="DJ16" s="246"/>
      <x:c r="DK16" s="251"/>
      <x:c r="DL16" s="418"/>
      <x:c r="DM16" s="418"/>
      <x:c r="DN16" s="418"/>
      <x:c r="DO16" s="246"/>
      <x:c r="DP16" s="419"/>
      <x:c r="DQ16" s="419"/>
      <x:c r="DR16" s="419"/>
      <x:c r="DS16" s="419"/>
      <x:c r="DT16" s="246"/>
      <x:c r="DU16" s="246"/>
      <x:c r="DV16" s="246"/>
      <x:c r="DW16" s="246"/>
      <x:c r="DX16" s="246"/>
      <x:c r="DY16" s="246"/>
      <x:c r="DZ16" s="246"/>
      <x:c r="EA16" s="416"/>
      <x:c r="EB16" s="246"/>
      <x:c r="EC16" s="404"/>
      <x:c r="ED16" s="404"/>
      <x:c r="EE16" s="404"/>
      <x:c r="EF16" s="404"/>
      <x:c r="EG16" s="404"/>
      <x:c r="EH16" s="404"/>
      <x:c r="EI16" s="404"/>
      <x:c r="EJ16" s="404"/>
      <x:c r="EK16" s="404"/>
      <x:c r="EL16" s="404"/>
      <x:c r="EM16" s="404"/>
      <x:c r="EN16" s="404"/>
      <x:c r="EO16" s="404"/>
      <x:c r="EP16" s="404"/>
      <x:c r="EQ16" s="246"/>
      <x:c r="ES16" s="246"/>
      <x:c r="ET16" s="246"/>
      <x:c r="EU16" s="246"/>
      <x:c r="EV16" s="246"/>
      <x:c r="EW16" s="246"/>
      <x:c r="EZ16" s="251"/>
      <x:c r="FA16" s="251"/>
      <x:c r="FB16" s="246"/>
      <x:c r="FC16" s="246"/>
      <x:c r="FD16" s="246"/>
      <x:c r="FE16" s="246"/>
      <x:c r="FF16" s="246"/>
      <x:c r="FG16" s="246"/>
      <x:c r="FH16" s="246"/>
      <x:c r="FI16" s="246"/>
      <x:c r="FR16" s="510"/>
      <x:c r="GA16" s="374"/>
      <x:c r="GB16" s="374"/>
      <x:c r="GC16" s="374"/>
      <x:c r="GD16" s="374"/>
      <x:c r="GE16" s="374"/>
      <x:c r="GF16" s="374"/>
      <x:c r="GG16" s="374"/>
      <x:c r="GH16" s="374"/>
      <x:c r="GI16" s="374"/>
      <x:c r="GJ16" s="374"/>
    </x:row>
    <x:row r="17" spans="1:240" ht="12.6" customHeight="1" thickBot="1" x14ac:dyDescent="0.25">
      <x:c r="A17" s="374"/>
      <x:c r="B17" s="374"/>
      <x:c r="C17" s="374"/>
      <x:c r="D17" s="374"/>
      <x:c r="E17" s="374"/>
      <x:c r="F17" s="374"/>
      <x:c r="G17" s="374"/>
      <x:c r="H17" s="374"/>
      <x:c r="I17" s="374"/>
      <x:c r="J17" s="374"/>
      <x:c r="K17" s="374"/>
      <x:c r="L17" s="374"/>
      <x:c r="M17" s="374"/>
      <x:c r="N17" s="374"/>
      <x:c r="O17" s="374"/>
      <x:c r="P17" s="374"/>
      <x:c r="Q17" s="374"/>
      <x:c r="R17" s="374"/>
      <x:c r="S17" s="374"/>
      <x:c r="T17" s="374"/>
      <x:c r="U17" s="374"/>
      <x:c r="V17" s="374"/>
      <x:c r="W17" s="374"/>
      <x:c r="X17" s="374"/>
      <x:c r="Y17" s="374"/>
      <x:c r="Z17" s="462" t="s">
        <x:v>7</x:v>
      </x:c>
      <x:c r="AA17" s="663">
        <x:f>AD17+AF41</x:f>
        <x:v>0</x:v>
      </x:c>
      <x:c r="AB17" s="414"/>
      <x:c r="AD17" s="415">
        <x:v>0</x:v>
      </x:c>
      <x:c r="AE17" s="245" t="s">
        <x:v>75</x:v>
      </x:c>
      <x:c r="AP17" s="1028"/>
      <x:c r="BA17" s="246"/>
      <x:c r="BB17" s="1622">
        <x:v>6</x:v>
      </x:c>
      <x:c r="BC17" s="1622">
        <x:v>4</x:v>
      </x:c>
      <x:c r="BD17" s="1622">
        <x:v>13</x:v>
      </x:c>
      <x:c r="BE17" s="1622">
        <x:v>4</x:v>
      </x:c>
      <x:c r="BF17" s="1622">
        <x:v>5</x:v>
      </x:c>
      <x:c r="BG17" s="1623">
        <x:v>3</x:v>
      </x:c>
      <x:c r="BH17" s="1623">
        <x:v>4.57</x:v>
      </x:c>
      <x:c r="BI17" s="1623">
        <x:v>4.57</x:v>
      </x:c>
      <x:c r="BJ17" s="1623">
        <x:v>2.71</x:v>
      </x:c>
      <x:c r="BK17" s="1623">
        <x:v>4.57</x:v>
      </x:c>
      <x:c r="BL17" s="1623">
        <x:v>4.57</x:v>
      </x:c>
      <x:c r="BM17" s="1623">
        <x:v>4</x:v>
      </x:c>
      <x:c r="BN17" s="1623">
        <x:v>5</x:v>
      </x:c>
      <x:c r="BO17" s="1623">
        <x:v>2.71</x:v>
      </x:c>
      <x:c r="BP17" s="1623">
        <x:v>5.29</x:v>
      </x:c>
      <x:c r="BQ17" s="1623">
        <x:v>5.29</x:v>
      </x:c>
      <x:c r="BR17" s="1623">
        <x:v>4</x:v>
      </x:c>
      <x:c r="BS17" s="1623">
        <x:v>3</x:v>
      </x:c>
      <x:c r="BT17" s="1623">
        <x:v>4.57</x:v>
      </x:c>
      <x:c r="BU17" s="1623">
        <x:v>4.57</x:v>
      </x:c>
      <x:c r="BV17" s="1623">
        <x:v>2.71</x:v>
      </x:c>
      <x:c r="BW17" s="1622">
        <x:v>4.57</x:v>
      </x:c>
      <x:c r="BX17" s="1622">
        <x:v>4.57</x:v>
      </x:c>
      <x:c r="BY17" s="1622">
        <x:v>4</x:v>
      </x:c>
      <x:c r="BZ17" s="1622">
        <x:v>5</x:v>
      </x:c>
      <x:c r="CA17" s="1622">
        <x:v>2.71</x:v>
      </x:c>
      <x:c r="CB17" s="1623">
        <x:v>5.29</x:v>
      </x:c>
      <x:c r="CC17" s="1622">
        <x:v>5.29</x:v>
      </x:c>
      <x:c r="CD17" s="1622">
        <x:v>4</x:v>
      </x:c>
      <x:c r="CE17" s="1622">
        <x:v>5</x:v>
      </x:c>
      <x:c r="CF17" s="1622">
        <x:v>17.14</x:v>
      </x:c>
      <x:c r="CG17" s="1623">
        <x:v>17.14</x:v>
      </x:c>
      <x:c r="CH17" s="374"/>
      <x:c r="CI17" s="374"/>
      <x:c r="CJ17" s="374"/>
      <x:c r="CK17" s="374"/>
      <x:c r="CL17" s="374"/>
      <x:c r="CM17" s="374"/>
      <x:c r="CN17" s="374"/>
      <x:c r="CO17" s="244"/>
      <x:c r="CP17" s="244"/>
      <x:c r="CQ17" s="244"/>
      <x:c r="CR17" s="244"/>
      <x:c r="CS17" s="244"/>
      <x:c r="CT17" s="246"/>
      <x:c r="CU17" s="246"/>
      <x:c r="CV17" s="246"/>
      <x:c r="CW17" s="246"/>
      <x:c r="CX17" s="246"/>
      <x:c r="CY17" s="246"/>
      <x:c r="CZ17" s="246"/>
      <x:c r="DA17" s="246"/>
      <x:c r="DB17" s="246"/>
      <x:c r="DC17" s="246"/>
      <x:c r="DD17" s="246"/>
      <x:c r="DE17" s="246"/>
      <x:c r="DF17" s="246"/>
      <x:c r="DG17" s="246"/>
      <x:c r="DH17" s="246"/>
      <x:c r="DI17" s="246"/>
      <x:c r="DJ17" s="246"/>
      <x:c r="DK17" s="251"/>
      <x:c r="DN17" s="418"/>
      <x:c r="DO17" s="246"/>
      <x:c r="DP17" s="246"/>
      <x:c r="DQ17" s="246"/>
      <x:c r="DR17" s="246"/>
      <x:c r="DS17" s="246"/>
      <x:c r="DT17" s="404"/>
      <x:c r="DU17" s="404"/>
      <x:c r="DV17" s="404"/>
      <x:c r="DW17" s="404"/>
      <x:c r="DX17" s="246"/>
      <x:c r="DY17" s="251"/>
      <x:c r="DZ17" s="246"/>
      <x:c r="EA17" s="246"/>
      <x:c r="EB17" s="246"/>
      <x:c r="EC17" s="404"/>
      <x:c r="ED17" s="404"/>
      <x:c r="EE17" s="404"/>
      <x:c r="EF17" s="404"/>
      <x:c r="EG17" s="404"/>
      <x:c r="EH17" s="404"/>
      <x:c r="EI17" s="404"/>
      <x:c r="EJ17" s="404"/>
      <x:c r="EK17" s="404"/>
      <x:c r="EL17" s="404"/>
      <x:c r="EM17" s="404"/>
      <x:c r="EN17" s="404"/>
      <x:c r="EO17" s="404"/>
      <x:c r="EP17" s="404"/>
      <x:c r="EQ17" s="246"/>
      <x:c r="ER17" s="246"/>
      <x:c r="ES17" s="246"/>
      <x:c r="ET17" s="246"/>
      <x:c r="EU17" s="246"/>
      <x:c r="EV17" s="246"/>
      <x:c r="EW17" s="246"/>
      <x:c r="EX17" s="251"/>
      <x:c r="EY17" s="251"/>
      <x:c r="EZ17" s="251"/>
      <x:c r="FA17" s="251"/>
      <x:c r="FB17" s="246"/>
      <x:c r="FC17" s="246"/>
      <x:c r="FD17" s="246"/>
      <x:c r="FE17" s="246"/>
      <x:c r="FF17" s="246"/>
      <x:c r="FG17" s="246"/>
      <x:c r="FH17" s="246"/>
      <x:c r="FI17" s="246"/>
      <x:c r="GA17" s="374"/>
      <x:c r="GB17" s="374"/>
      <x:c r="GC17" s="374"/>
      <x:c r="GD17" s="374"/>
      <x:c r="GE17" s="374"/>
      <x:c r="GF17" s="374"/>
      <x:c r="GG17" s="374"/>
      <x:c r="GH17" s="374"/>
      <x:c r="GI17" s="374"/>
      <x:c r="GJ17" s="374"/>
      <x:c r="GZ17" s="2310"/>
    </x:row>
    <x:row r="18" spans="1:240" ht="12.6" customHeight="1" thickTop="1" thickBot="1" x14ac:dyDescent="0.25">
      <x:c r="A18" s="374"/>
      <x:c r="B18" s="374"/>
      <x:c r="C18" s="374"/>
      <x:c r="D18" s="374"/>
      <x:c r="E18" s="374"/>
      <x:c r="F18" s="374"/>
      <x:c r="G18" s="374"/>
      <x:c r="H18" s="374"/>
      <x:c r="I18" s="374"/>
      <x:c r="J18" s="374"/>
      <x:c r="K18" s="374"/>
      <x:c r="L18" s="374"/>
      <x:c r="M18" s="374"/>
      <x:c r="N18" s="374"/>
      <x:c r="O18" s="374"/>
      <x:c r="P18" s="374"/>
      <x:c r="Q18" s="374"/>
      <x:c r="R18" s="374"/>
      <x:c r="S18" s="374"/>
      <x:c r="T18" s="374"/>
      <x:c r="U18" s="374"/>
      <x:c r="V18" s="374"/>
      <x:c r="W18" s="374"/>
      <x:c r="X18" s="374"/>
      <x:c r="Y18" s="374"/>
      <x:c r="Z18" s="462" t="s">
        <x:v>8</x:v>
      </x:c>
      <x:c r="AA18" s="663">
        <x:f>AD18+AG41</x:f>
        <x:v>0</x:v>
      </x:c>
      <x:c r="AD18" s="415">
        <x:v>0</x:v>
      </x:c>
      <x:c r="AE18" s="245" t="s">
        <x:v>76</x:v>
      </x:c>
      <x:c r="BA18" s="547" t="s">
        <x:v>116</x:v>
      </x:c>
      <x:c r="BB18" s="2359" t="s">
        <x:v>592</x:v>
      </x:c>
      <x:c r="BC18" s="2360"/>
      <x:c r="BD18" s="2360"/>
      <x:c r="BE18" s="2360"/>
      <x:c r="BF18" s="2360"/>
      <x:c r="BG18" s="2360"/>
      <x:c r="BH18" s="2360"/>
      <x:c r="BI18" s="2360"/>
      <x:c r="BJ18" s="2360"/>
      <x:c r="BK18" s="2360"/>
      <x:c r="BL18" s="2360"/>
      <x:c r="BM18" s="2360"/>
      <x:c r="BN18" s="2360"/>
      <x:c r="BO18" s="2360"/>
      <x:c r="BP18" s="2360"/>
      <x:c r="BQ18" s="2360"/>
      <x:c r="BR18" s="2360"/>
      <x:c r="BS18" s="2360"/>
      <x:c r="BT18" s="2360"/>
      <x:c r="BU18" s="2360"/>
      <x:c r="BV18" s="2360"/>
      <x:c r="BW18" s="2360"/>
      <x:c r="BX18" s="2360"/>
      <x:c r="BY18" s="2360"/>
      <x:c r="BZ18" s="2360"/>
      <x:c r="CA18" s="2360"/>
      <x:c r="CB18" s="2360"/>
      <x:c r="CC18" s="1557"/>
      <x:c r="CD18" s="2363"/>
      <x:c r="CE18" s="2363"/>
      <x:c r="CF18" s="2363"/>
      <x:c r="CG18" s="2364"/>
      <x:c r="CH18" s="244"/>
      <x:c r="CI18" s="244"/>
      <x:c r="CJ18" s="244"/>
      <x:c r="CK18" s="244"/>
      <x:c r="CL18" s="244"/>
      <x:c r="CM18" s="908"/>
      <x:c r="CN18" s="244"/>
      <x:c r="CO18" s="244"/>
      <x:c r="CP18" s="244"/>
      <x:c r="CQ18" s="244"/>
      <x:c r="CR18" s="244"/>
      <x:c r="CS18" s="244"/>
      <x:c r="CT18" s="246"/>
      <x:c r="CU18" s="246"/>
      <x:c r="CV18" s="246"/>
      <x:c r="CW18" s="246"/>
      <x:c r="CX18" s="246"/>
      <x:c r="CY18" s="246"/>
      <x:c r="CZ18" s="246"/>
      <x:c r="DA18" s="246"/>
      <x:c r="DB18" s="246"/>
      <x:c r="DC18" s="246"/>
      <x:c r="DD18" s="246"/>
      <x:c r="DE18" s="246"/>
      <x:c r="DF18" s="246"/>
      <x:c r="DG18" s="246"/>
      <x:c r="DH18" s="246"/>
      <x:c r="DI18" s="246"/>
      <x:c r="DJ18" s="246"/>
      <x:c r="DK18" s="251"/>
      <x:c r="DL18" s="246"/>
      <x:c r="DM18" s="246"/>
      <x:c r="DN18" s="246"/>
      <x:c r="DO18" s="246"/>
      <x:c r="DP18" s="419"/>
      <x:c r="DQ18" s="419"/>
      <x:c r="DR18" s="419"/>
      <x:c r="DS18" s="419"/>
      <x:c r="DT18" s="516"/>
      <x:c r="DU18" s="246"/>
      <x:c r="DV18" s="246"/>
      <x:c r="DW18" s="246"/>
      <x:c r="DX18" s="246"/>
      <x:c r="DY18" s="246"/>
      <x:c r="DZ18" s="246"/>
      <x:c r="EA18" s="416"/>
      <x:c r="EB18" s="420"/>
      <x:c r="EC18" s="420"/>
      <x:c r="ED18" s="420"/>
      <x:c r="EE18" s="420"/>
      <x:c r="EF18" s="404"/>
      <x:c r="EG18" s="246"/>
      <x:c r="EH18" s="246" t="s">
        <x:v>1218</x:v>
      </x:c>
      <x:c r="EI18" s="246"/>
      <x:c r="EJ18" s="246"/>
      <x:c r="EK18" s="246"/>
      <x:c r="EL18" s="246"/>
      <x:c r="EM18" s="246"/>
      <x:c r="EN18" s="246"/>
      <x:c r="EO18" s="246" t="s">
        <x:v>1219</x:v>
      </x:c>
      <x:c r="EP18" s="246"/>
      <x:c r="EQ18" s="246"/>
      <x:c r="ER18" s="246"/>
      <x:c r="ES18" s="246"/>
      <x:c r="ET18" s="246"/>
      <x:c r="EU18" s="251"/>
      <x:c r="EV18" s="251"/>
      <x:c r="EW18" s="251"/>
      <x:c r="EX18" s="251"/>
      <x:c r="EY18" s="246"/>
      <x:c r="EZ18" s="246"/>
      <x:c r="FA18" s="246"/>
      <x:c r="FB18" s="246"/>
      <x:c r="FC18" s="246"/>
      <x:c r="FD18" s="246"/>
      <x:c r="FE18" s="246"/>
      <x:c r="FF18" s="246"/>
      <x:c r="FG18" s="246"/>
      <x:c r="FQ18" s="633" t="s">
        <x:v>1217</x:v>
      </x:c>
      <x:c r="FR18" s="420"/>
      <x:c r="FS18" s="420"/>
      <x:c r="FW18" s="420"/>
      <x:c r="FX18" s="420"/>
      <x:c r="GA18" s="374"/>
      <x:c r="GB18" s="374"/>
      <x:c r="GC18" s="374"/>
      <x:c r="GD18" s="374"/>
      <x:c r="GE18" s="374"/>
      <x:c r="GF18" s="374"/>
      <x:c r="GG18" s="374"/>
      <x:c r="GH18" s="374"/>
      <x:c r="GI18" s="374"/>
      <x:c r="GJ18" s="374"/>
      <x:c r="GZ18" s="2311"/>
      <x:c r="HA18" s="255">
        <x:v>1</x:v>
      </x:c>
      <x:c r="HB18" s="255">
        <x:f>HA18+1</x:f>
        <x:v>2</x:v>
      </x:c>
      <x:c r="HC18" s="255">
        <x:f t="shared" ref="HC18:IB18" si="0">HB18+1</x:f>
        <x:v>3</x:v>
      </x:c>
      <x:c r="HD18" s="255">
        <x:f t="shared" si="0"/>
        <x:v>4</x:v>
      </x:c>
      <x:c r="HE18" s="255">
        <x:f t="shared" si="0"/>
        <x:v>5</x:v>
      </x:c>
      <x:c r="HF18" s="255">
        <x:f t="shared" si="0"/>
        <x:v>6</x:v>
      </x:c>
      <x:c r="HG18" s="255">
        <x:f t="shared" si="0"/>
        <x:v>7</x:v>
      </x:c>
      <x:c r="HH18" s="255">
        <x:f t="shared" si="0"/>
        <x:v>8</x:v>
      </x:c>
      <x:c r="HI18" s="255">
        <x:f t="shared" si="0"/>
        <x:v>9</x:v>
      </x:c>
      <x:c r="HJ18" s="255">
        <x:f t="shared" si="0"/>
        <x:v>10</x:v>
      </x:c>
      <x:c r="HK18" s="255">
        <x:f t="shared" si="0"/>
        <x:v>11</x:v>
      </x:c>
      <x:c r="HL18" s="255">
        <x:f t="shared" si="0"/>
        <x:v>12</x:v>
      </x:c>
      <x:c r="HM18" s="255">
        <x:f t="shared" si="0"/>
        <x:v>13</x:v>
      </x:c>
      <x:c r="HN18" s="255">
        <x:f t="shared" si="0"/>
        <x:v>14</x:v>
      </x:c>
      <x:c r="HO18" s="255">
        <x:f t="shared" si="0"/>
        <x:v>15</x:v>
      </x:c>
      <x:c r="HP18" s="255">
        <x:f t="shared" si="0"/>
        <x:v>16</x:v>
      </x:c>
      <x:c r="HQ18" s="255">
        <x:f t="shared" si="0"/>
        <x:v>17</x:v>
      </x:c>
      <x:c r="HR18" s="255">
        <x:f t="shared" si="0"/>
        <x:v>18</x:v>
      </x:c>
      <x:c r="HS18" s="255">
        <x:f t="shared" si="0"/>
        <x:v>19</x:v>
      </x:c>
      <x:c r="HT18" s="255">
        <x:f t="shared" si="0"/>
        <x:v>20</x:v>
      </x:c>
      <x:c r="HU18" s="255">
        <x:f t="shared" si="0"/>
        <x:v>21</x:v>
      </x:c>
      <x:c r="HV18" s="255">
        <x:f t="shared" si="0"/>
        <x:v>22</x:v>
      </x:c>
      <x:c r="HW18" s="255">
        <x:f t="shared" si="0"/>
        <x:v>23</x:v>
      </x:c>
      <x:c r="HX18" s="255">
        <x:f t="shared" si="0"/>
        <x:v>24</x:v>
      </x:c>
      <x:c r="HY18" s="255">
        <x:f t="shared" si="0"/>
        <x:v>25</x:v>
      </x:c>
      <x:c r="HZ18" s="255">
        <x:f t="shared" si="0"/>
        <x:v>26</x:v>
      </x:c>
      <x:c r="IA18" s="255">
        <x:f t="shared" si="0"/>
        <x:v>27</x:v>
      </x:c>
      <x:c r="IB18" s="255">
        <x:f t="shared" si="0"/>
        <x:v>28</x:v>
      </x:c>
      <x:c r="IC18" s="255">
        <x:f>IB18+1</x:f>
        <x:v>29</x:v>
      </x:c>
      <x:c r="ID18" s="255">
        <x:f>IC18+1</x:f>
        <x:v>30</x:v>
      </x:c>
      <x:c r="IE18" s="255">
        <x:f>ID18+1</x:f>
        <x:v>31</x:v>
      </x:c>
      <x:c r="IF18" s="255">
        <x:f>IE18+1</x:f>
        <x:v>32</x:v>
      </x:c>
    </x:row>
    <x:row r="19" spans="1:240" ht="12.6" customHeight="1" thickBot="1" x14ac:dyDescent="0.25">
      <x:c r="A19" s="374"/>
      <x:c r="B19" s="374"/>
      <x:c r="C19" s="374"/>
      <x:c r="D19" s="374"/>
      <x:c r="E19" s="374"/>
      <x:c r="F19" s="374"/>
      <x:c r="G19" s="374"/>
      <x:c r="H19" s="374"/>
      <x:c r="I19" s="374"/>
      <x:c r="J19" s="374"/>
      <x:c r="K19" s="374"/>
      <x:c r="L19" s="374"/>
      <x:c r="M19" s="374"/>
      <x:c r="N19" s="374"/>
      <x:c r="O19" s="374"/>
      <x:c r="P19" s="374"/>
      <x:c r="Q19" s="374"/>
      <x:c r="R19" s="374"/>
      <x:c r="S19" s="374"/>
      <x:c r="T19" s="374"/>
      <x:c r="U19" s="374"/>
      <x:c r="V19" s="374"/>
      <x:c r="W19" s="374"/>
      <x:c r="X19" s="374"/>
      <x:c r="Y19" s="374"/>
      <x:c r="Z19" s="462" t="s">
        <x:v>115</x:v>
      </x:c>
      <x:c r="AA19" s="663">
        <x:f>AD19+AH41</x:f>
        <x:v>0</x:v>
      </x:c>
      <x:c r="AD19" s="415">
        <x:v>0</x:v>
      </x:c>
      <x:c r="AE19" s="245" t="s">
        <x:v>114</x:v>
      </x:c>
      <x:c r="BA19" s="548"/>
      <x:c r="BB19" s="2361"/>
      <x:c r="BC19" s="2362"/>
      <x:c r="BD19" s="2362"/>
      <x:c r="BE19" s="2362"/>
      <x:c r="BF19" s="2362"/>
      <x:c r="BG19" s="2362"/>
      <x:c r="BH19" s="2362"/>
      <x:c r="BI19" s="2362"/>
      <x:c r="BJ19" s="2362"/>
      <x:c r="BK19" s="2362"/>
      <x:c r="BL19" s="2362"/>
      <x:c r="BM19" s="2362"/>
      <x:c r="BN19" s="2362"/>
      <x:c r="BO19" s="2362"/>
      <x:c r="BP19" s="2362"/>
      <x:c r="BQ19" s="2362"/>
      <x:c r="BR19" s="2362"/>
      <x:c r="BS19" s="2362"/>
      <x:c r="BT19" s="2362"/>
      <x:c r="BU19" s="2362"/>
      <x:c r="BV19" s="2362"/>
      <x:c r="BW19" s="2362"/>
      <x:c r="BX19" s="2362"/>
      <x:c r="BY19" s="2362"/>
      <x:c r="BZ19" s="2362"/>
      <x:c r="CA19" s="2362"/>
      <x:c r="CB19" s="2362"/>
      <x:c r="CC19" s="1556"/>
      <x:c r="CD19" s="2365"/>
      <x:c r="CE19" s="2366"/>
      <x:c r="CF19" s="2366"/>
      <x:c r="CG19" s="2367"/>
      <x:c r="CH19" s="374"/>
      <x:c r="CI19" s="374"/>
      <x:c r="CJ19" s="374"/>
      <x:c r="CK19" s="374"/>
      <x:c r="CL19" s="374"/>
      <x:c r="CM19" s="936"/>
      <x:c r="CN19" s="2432" t="s">
        <x:v>679</x:v>
      </x:c>
      <x:c r="CO19" s="2433"/>
      <x:c r="CP19" s="2104" t="s">
        <x:v>615</x:v>
      </x:c>
      <x:c r="CQ19" s="2427"/>
      <x:c r="CR19" s="2394" t="s">
        <x:v>482</x:v>
      </x:c>
      <x:c r="CS19" s="2386" t="s">
        <x:v>483</x:v>
      </x:c>
      <x:c r="CU19" s="246"/>
      <x:c r="CV19" s="246"/>
      <x:c r="CW19" s="246"/>
      <x:c r="CX19" s="246"/>
      <x:c r="CY19" s="246"/>
      <x:c r="CZ19" s="246"/>
      <x:c r="DA19" s="246"/>
      <x:c r="DB19" s="246"/>
      <x:c r="DC19" s="246"/>
      <x:c r="DD19" s="246"/>
      <x:c r="DE19" s="246"/>
      <x:c r="DF19" s="246"/>
      <x:c r="DG19" s="246"/>
      <x:c r="DH19" s="246"/>
      <x:c r="DI19" s="246"/>
      <x:c r="DJ19" s="246"/>
      <x:c r="DK19" s="246"/>
      <x:c r="DL19" s="246"/>
      <x:c r="DM19" s="246"/>
      <x:c r="DN19" s="246"/>
      <x:c r="DO19" s="251"/>
      <x:c r="DQ19" s="418"/>
      <x:c r="DR19" s="246"/>
      <x:c r="DS19" s="246"/>
      <x:c r="DT19" s="246"/>
      <x:c r="DU19" s="246"/>
      <x:c r="DV19" s="246"/>
      <x:c r="DW19" s="404"/>
      <x:c r="DX19" s="404"/>
      <x:c r="DY19" s="404"/>
      <x:c r="DZ19" s="404"/>
      <x:c r="EA19" s="246"/>
      <x:c r="EB19" s="251"/>
      <x:c r="EC19" s="246"/>
      <x:c r="ED19" s="246"/>
      <x:c r="EE19" s="246"/>
      <x:c r="EF19" s="246"/>
      <x:c r="EG19" s="246"/>
      <x:c r="EH19" s="246"/>
      <x:c r="EI19" s="246"/>
      <x:c r="EJ19" s="246"/>
      <x:c r="EK19" s="246"/>
      <x:c r="EL19" s="246"/>
      <x:c r="EM19" s="246"/>
      <x:c r="EN19" s="246"/>
      <x:c r="EO19" s="246"/>
      <x:c r="EP19" s="246"/>
      <x:c r="EQ19" s="246"/>
      <x:c r="ER19" s="246"/>
      <x:c r="ES19" s="246"/>
      <x:c r="ET19" s="246"/>
      <x:c r="EU19" s="246"/>
      <x:c r="EV19" s="2348" t="s">
        <x:v>581</x:v>
      </x:c>
      <x:c r="EW19" s="2355" t="s">
        <x:v>472</x:v>
      </x:c>
      <x:c r="EX19" s="2346" t="s">
        <x:v>525</x:v>
      </x:c>
      <x:c r="EY19" s="2346" t="s">
        <x:v>526</x:v>
      </x:c>
      <x:c r="EZ19" s="2346" t="s">
        <x:v>527</x:v>
      </x:c>
      <x:c r="FA19" s="2346" t="s">
        <x:v>528</x:v>
      </x:c>
      <x:c r="FB19" s="2346" t="s">
        <x:v>529</x:v>
      </x:c>
      <x:c r="FC19" s="2346" t="s">
        <x:v>530</x:v>
      </x:c>
      <x:c r="FD19" s="2346" t="s">
        <x:v>531</x:v>
      </x:c>
      <x:c r="FE19" s="2346" t="s">
        <x:v>473</x:v>
      </x:c>
      <x:c r="FF19" s="2346" t="s">
        <x:v>532</x:v>
      </x:c>
      <x:c r="FG19" s="2346" t="s">
        <x:v>583</x:v>
      </x:c>
      <x:c r="FH19" s="2346" t="s">
        <x:v>474</x:v>
      </x:c>
      <x:c r="FI19" s="2346" t="s">
        <x:v>533</x:v>
      </x:c>
      <x:c r="FJ19" s="2346" t="s">
        <x:v>475</x:v>
      </x:c>
      <x:c r="FK19" s="2346" t="s">
        <x:v>534</x:v>
      </x:c>
      <x:c r="FL19" s="2346" t="s">
        <x:v>584</x:v>
      </x:c>
      <x:c r="FM19" s="2346" t="s">
        <x:v>476</x:v>
      </x:c>
      <x:c r="FN19" s="2346" t="s">
        <x:v>477</x:v>
      </x:c>
      <x:c r="FQ19" s="2319" t="s">
        <x:v>656</x:v>
      </x:c>
      <x:c r="FR19" s="2320"/>
      <x:c r="GA19" s="374"/>
      <x:c r="GB19" s="374"/>
      <x:c r="GC19" s="374"/>
      <x:c r="GD19" s="374"/>
      <x:c r="GE19" s="374"/>
      <x:c r="GF19" s="374"/>
      <x:c r="GG19" s="374"/>
      <x:c r="GH19" s="374"/>
      <x:c r="GI19" s="374"/>
      <x:c r="GJ19" s="374"/>
      <x:c r="HA19" s="2454" t="s">
        <x:v>621</x:v>
      </x:c>
      <x:c r="HB19" s="2455"/>
      <x:c r="HC19" s="2455"/>
      <x:c r="HD19" s="2455"/>
      <x:c r="HE19" s="2455"/>
      <x:c r="HF19" s="2455"/>
      <x:c r="HG19" s="2455"/>
      <x:c r="HH19" s="2455"/>
      <x:c r="HI19" s="2455"/>
      <x:c r="HJ19" s="2455"/>
      <x:c r="HK19" s="2455"/>
      <x:c r="HL19" s="2455"/>
      <x:c r="HM19" s="2455"/>
      <x:c r="HN19" s="2455"/>
      <x:c r="HO19" s="2455"/>
      <x:c r="HP19" s="2455"/>
      <x:c r="HQ19" s="2455"/>
      <x:c r="HR19" s="2455"/>
      <x:c r="HS19" s="2455"/>
      <x:c r="HT19" s="2455"/>
      <x:c r="HU19" s="2455"/>
      <x:c r="HV19" s="2456"/>
      <x:c r="HW19" s="2456"/>
      <x:c r="HX19" s="2456"/>
      <x:c r="HY19" s="2457"/>
      <x:c r="HZ19" s="2457"/>
      <x:c r="IA19" s="2457"/>
      <x:c r="IB19" s="2457"/>
      <x:c r="IC19" s="2457"/>
      <x:c r="ID19" s="2457"/>
      <x:c r="IE19" s="2457"/>
      <x:c r="IF19" s="2458"/>
    </x:row>
    <x:row r="20" spans="1:240" ht="12.6" customHeight="1" thickTop="1" thickBot="1" x14ac:dyDescent="0.25">
      <x:c r="A20" s="421"/>
      <x:c r="B20" s="421"/>
      <x:c r="C20" s="421"/>
      <x:c r="D20" s="422"/>
      <x:c r="E20" s="422"/>
      <x:c r="F20" s="422"/>
      <x:c r="G20" s="422"/>
      <x:c r="H20" s="422"/>
      <x:c r="I20" s="422"/>
      <x:c r="J20" s="422"/>
      <x:c r="K20" s="422"/>
      <x:c r="L20" s="422"/>
      <x:c r="M20" s="422"/>
      <x:c r="N20" s="422"/>
      <x:c r="O20" s="422"/>
      <x:c r="P20" s="422"/>
      <x:c r="Q20" s="422"/>
      <x:c r="R20" s="422"/>
      <x:c r="S20" s="422"/>
      <x:c r="T20" s="422"/>
      <x:c r="U20" s="422"/>
      <x:c r="V20" s="422"/>
      <x:c r="W20" s="374"/>
      <x:c r="X20" s="374"/>
      <x:c r="Y20" s="374"/>
      <x:c r="Z20" s="374"/>
      <x:c r="AA20" s="374"/>
      <x:c r="AU20" s="1896" t="s">
        <x:v>450</x:v>
      </x:c>
      <x:c r="AV20" s="2319" t="s">
        <x:v>451</x:v>
      </x:c>
      <x:c r="AW20" s="2320"/>
      <x:c r="AX20" s="465"/>
      <x:c r="BA20" s="423"/>
      <x:c r="BB20" s="2379"/>
      <x:c r="BC20" s="2380"/>
      <x:c r="BD20" s="2380"/>
      <x:c r="BE20" s="2380"/>
      <x:c r="BF20" s="2381"/>
      <x:c r="BG20" s="2414" t="s">
        <x:v>469</x:v>
      </x:c>
      <x:c r="BH20" s="2415"/>
      <x:c r="BI20" s="2415"/>
      <x:c r="BJ20" s="2415"/>
      <x:c r="BK20" s="2415"/>
      <x:c r="BL20" s="2416"/>
      <x:c r="BM20" s="2417"/>
      <x:c r="BN20" s="2417"/>
      <x:c r="BO20" s="2418"/>
      <x:c r="BP20" s="2418"/>
      <x:c r="BQ20" s="2418"/>
      <x:c r="BR20" s="2419"/>
      <x:c r="BS20" s="2414" t="s">
        <x:v>470</x:v>
      </x:c>
      <x:c r="BT20" s="2416"/>
      <x:c r="BU20" s="2416"/>
      <x:c r="BV20" s="2416"/>
      <x:c r="BW20" s="2416"/>
      <x:c r="BX20" s="2416"/>
      <x:c r="BY20" s="2417"/>
      <x:c r="BZ20" s="2417"/>
      <x:c r="CA20" s="2418"/>
      <x:c r="CB20" s="2418"/>
      <x:c r="CC20" s="2418"/>
      <x:c r="CD20" s="2419"/>
      <x:c r="CE20" s="2444" t="s">
        <x:v>804</x:v>
      </x:c>
      <x:c r="CF20" s="2447"/>
      <x:c r="CG20" s="2448"/>
      <x:c r="CH20" s="374"/>
      <x:c r="CI20" s="374"/>
      <x:c r="CJ20" s="374"/>
      <x:c r="CK20" s="374"/>
      <x:c r="CL20" s="937"/>
      <x:c r="CM20" s="938"/>
      <x:c r="CN20" s="2434"/>
      <x:c r="CO20" s="2435"/>
      <x:c r="CP20" s="2428"/>
      <x:c r="CQ20" s="2429"/>
      <x:c r="CR20" s="2395"/>
      <x:c r="CS20" s="2387"/>
      <x:c r="CU20" s="2397" t="s">
        <x:v>471</x:v>
      </x:c>
      <x:c r="CV20" s="2398"/>
      <x:c r="CW20" s="2398"/>
      <x:c r="CX20" s="2398"/>
      <x:c r="CY20" s="2398"/>
      <x:c r="CZ20" s="2398"/>
      <x:c r="DA20" s="2398"/>
      <x:c r="DB20" s="2398"/>
      <x:c r="DC20" s="2398"/>
      <x:c r="DD20" s="2399"/>
      <x:c r="DE20" s="2397" t="s">
        <x:v>470</x:v>
      </x:c>
      <x:c r="DF20" s="2398"/>
      <x:c r="DG20" s="2398"/>
      <x:c r="DH20" s="2398"/>
      <x:c r="DI20" s="2398"/>
      <x:c r="DJ20" s="2398"/>
      <x:c r="DK20" s="2398"/>
      <x:c r="DL20" s="2398"/>
      <x:c r="DM20" s="2398"/>
      <x:c r="DN20" s="2399"/>
      <x:c r="DQ20" s="424"/>
      <x:c r="DR20" s="246"/>
      <x:c r="DS20" s="419"/>
      <x:c r="DT20" s="419"/>
      <x:c r="DU20" s="419"/>
      <x:c r="DV20" s="419"/>
      <x:c r="DW20" s="246"/>
      <x:c r="DX20" s="246"/>
      <x:c r="DY20" s="246"/>
      <x:c r="DZ20" s="246"/>
      <x:c r="EA20" s="246"/>
      <x:c r="EB20" s="246"/>
      <x:c r="EC20" s="246"/>
      <x:c r="ED20" s="416"/>
      <x:c r="EE20" s="424"/>
      <x:c r="EF20" s="424"/>
      <x:c r="EG20" s="424"/>
      <x:c r="EH20" s="424"/>
      <x:c r="EI20" s="424"/>
      <x:c r="EJ20" s="424"/>
      <x:c r="EK20" s="424"/>
      <x:c r="EL20" s="424"/>
      <x:c r="EM20" s="424"/>
      <x:c r="EN20" s="424"/>
      <x:c r="EO20" s="424"/>
      <x:c r="EP20" s="424"/>
      <x:c r="EQ20" s="424"/>
      <x:c r="ER20" s="424"/>
      <x:c r="ES20" s="424"/>
      <x:c r="ET20" s="424"/>
      <x:c r="EU20" s="425"/>
      <x:c r="EV20" s="2349"/>
      <x:c r="EW20" s="2356"/>
      <x:c r="EX20" s="2347"/>
      <x:c r="EY20" s="2347"/>
      <x:c r="EZ20" s="2422"/>
      <x:c r="FA20" s="2347"/>
      <x:c r="FB20" s="2347"/>
      <x:c r="FC20" s="2347"/>
      <x:c r="FD20" s="2423"/>
      <x:c r="FE20" s="2423"/>
      <x:c r="FF20" s="2423"/>
      <x:c r="FG20" s="2423"/>
      <x:c r="FH20" s="2423"/>
      <x:c r="FI20" s="2423"/>
      <x:c r="FJ20" s="2423"/>
      <x:c r="FK20" s="2423"/>
      <x:c r="FL20" s="2423"/>
      <x:c r="FM20" s="2423"/>
      <x:c r="FN20" s="2423"/>
      <x:c r="FQ20" s="2321"/>
      <x:c r="FR20" s="2322"/>
      <x:c r="GA20" s="2318" t="s">
        <x:v>1140</x:v>
      </x:c>
      <x:c r="GB20" s="2318"/>
      <x:c r="GC20" s="2318"/>
      <x:c r="GD20" s="2318"/>
      <x:c r="GE20" s="2318"/>
      <x:c r="GF20" s="2318"/>
      <x:c r="GG20" s="1935"/>
      <x:c r="GH20" s="1935"/>
      <x:c r="GI20" s="1935"/>
      <x:c r="GJ20" s="1935"/>
      <x:c r="GZ20" s="2310"/>
      <x:c r="HA20" s="2459"/>
      <x:c r="HB20" s="2460"/>
      <x:c r="HC20" s="2460"/>
      <x:c r="HD20" s="2460"/>
      <x:c r="HE20" s="2460"/>
      <x:c r="HF20" s="2460"/>
      <x:c r="HG20" s="2460"/>
      <x:c r="HH20" s="2460"/>
      <x:c r="HI20" s="2460"/>
      <x:c r="HJ20" s="2460"/>
      <x:c r="HK20" s="2460"/>
      <x:c r="HL20" s="2460"/>
      <x:c r="HM20" s="2460"/>
      <x:c r="HN20" s="2460"/>
      <x:c r="HO20" s="2460"/>
      <x:c r="HP20" s="2460"/>
      <x:c r="HQ20" s="2460"/>
      <x:c r="HR20" s="2460"/>
      <x:c r="HS20" s="2460"/>
      <x:c r="HT20" s="2460"/>
      <x:c r="HU20" s="2460"/>
      <x:c r="HV20" s="2461"/>
      <x:c r="HW20" s="2461"/>
      <x:c r="HX20" s="2461"/>
      <x:c r="HY20" s="2462"/>
      <x:c r="HZ20" s="2462"/>
      <x:c r="IA20" s="2462"/>
      <x:c r="IB20" s="2462"/>
      <x:c r="IC20" s="2462"/>
      <x:c r="ID20" s="2462"/>
      <x:c r="IE20" s="2462"/>
      <x:c r="IF20" s="2463"/>
    </x:row>
    <x:row r="21" spans="1:240" s="426" customFormat="1" ht="12.6" customHeight="1" thickTop="1" thickBot="1" x14ac:dyDescent="0.25">
      <x:c r="A21" s="2410" t="s">
        <x:v>40</x:v>
      </x:c>
      <x:c r="B21" s="2384" t="s">
        <x:v>28</x:v>
      </x:c>
      <x:c r="C21" s="2384" t="s">
        <x:v>24</x:v>
      </x:c>
      <x:c r="D21" s="2384" t="s">
        <x:v>25</x:v>
      </x:c>
      <x:c r="E21" s="2408"/>
      <x:c r="F21" s="1969" t="s">
        <x:v>9</x:v>
      </x:c>
      <x:c r="G21" s="2077"/>
      <x:c r="H21" s="2077"/>
      <x:c r="I21" s="2077" t="s">
        <x:v>10</x:v>
      </x:c>
      <x:c r="J21" s="2077"/>
      <x:c r="K21" s="1967"/>
      <x:c r="L21" s="2076" t="s">
        <x:v>11</x:v>
      </x:c>
      <x:c r="M21" s="2078"/>
      <x:c r="N21" s="1969" t="s">
        <x:v>12</x:v>
      </x:c>
      <x:c r="O21" s="2077"/>
      <x:c r="P21" s="2077"/>
      <x:c r="Q21" s="2077" t="s">
        <x:v>13</x:v>
      </x:c>
      <x:c r="R21" s="2077"/>
      <x:c r="S21" s="2078"/>
      <x:c r="T21" s="1969" t="s">
        <x:v>14</x:v>
      </x:c>
      <x:c r="U21" s="2077"/>
      <x:c r="V21" s="2077"/>
      <x:c r="W21" s="2077"/>
      <x:c r="X21" s="1967"/>
      <x:c r="Y21" s="2071" t="s">
        <x:v>111</x:v>
      </x:c>
      <x:c r="Z21" s="2072"/>
      <x:c r="AA21" s="1059" t="s">
        <x:v>15</x:v>
      </x:c>
      <x:c r="AB21" s="1414"/>
      <x:c r="AU21" s="1897"/>
      <x:c r="AV21" s="2321"/>
      <x:c r="AW21" s="2322"/>
      <x:c r="AX21" s="502"/>
      <x:c r="AZ21" s="2412" t="s">
        <x:v>1059</x:v>
      </x:c>
      <x:c r="BA21" s="251"/>
      <x:c r="BB21" s="2420" t="s">
        <x:v>539</x:v>
      </x:c>
      <x:c r="BC21" s="2400" t="s">
        <x:v>130</x:v>
      </x:c>
      <x:c r="BD21" s="2401" t="s">
        <x:v>540</x:v>
      </x:c>
      <x:c r="BE21" s="2402" t="s">
        <x:v>1290</x:v>
      </x:c>
      <x:c r="BF21" s="2403"/>
      <x:c r="BG21" s="2226" t="s">
        <x:v>1282</x:v>
      </x:c>
      <x:c r="BH21" s="2370" t="s">
        <x:v>803</x:v>
      </x:c>
      <x:c r="BI21" s="2371"/>
      <x:c r="BJ21" s="2368" t="s">
        <x:v>541</x:v>
      </x:c>
      <x:c r="BK21" s="2370" t="s">
        <x:v>1072</x:v>
      </x:c>
      <x:c r="BL21" s="2371"/>
      <x:c r="BM21" s="2368" t="s">
        <x:v>488</x:v>
      </x:c>
      <x:c r="BN21" s="2375" t="s">
        <x:v>793</x:v>
      </x:c>
      <x:c r="BO21" s="2377" t="s">
        <x:v>1275</x:v>
      </x:c>
      <x:c r="BP21" s="1937" t="s">
        <x:v>1276</x:v>
      </x:c>
      <x:c r="BQ21" s="1938"/>
      <x:c r="BR21" s="1939"/>
      <x:c r="BS21" s="2226" t="s">
        <x:v>1282</x:v>
      </x:c>
      <x:c r="BT21" s="2370" t="s">
        <x:v>803</x:v>
      </x:c>
      <x:c r="BU21" s="2371"/>
      <x:c r="BV21" s="2368" t="s">
        <x:v>541</x:v>
      </x:c>
      <x:c r="BW21" s="2370" t="s">
        <x:v>1072</x:v>
      </x:c>
      <x:c r="BX21" s="2371"/>
      <x:c r="BY21" s="2368" t="s">
        <x:v>488</x:v>
      </x:c>
      <x:c r="BZ21" s="2382" t="s">
        <x:v>793</x:v>
      </x:c>
      <x:c r="CA21" s="2377" t="s">
        <x:v>1275</x:v>
      </x:c>
      <x:c r="CB21" s="1937" t="s">
        <x:v>1276</x:v>
      </x:c>
      <x:c r="CC21" s="1938"/>
      <x:c r="CD21" s="1939"/>
      <x:c r="CE21" s="2445"/>
      <x:c r="CF21" s="2449"/>
      <x:c r="CG21" s="2448"/>
      <x:c r="CH21" s="2389" t="s">
        <x:v>588</x:v>
      </x:c>
      <x:c r="CI21" s="2390"/>
      <x:c r="CJ21" s="2390"/>
      <x:c r="CK21" s="2389" t="s">
        <x:v>589</x:v>
      </x:c>
      <x:c r="CL21" s="2436" t="s">
        <x:v>786</x:v>
      </x:c>
      <x:c r="CM21" s="2436"/>
      <x:c r="CN21" s="2434"/>
      <x:c r="CO21" s="2435"/>
      <x:c r="CP21" s="2430"/>
      <x:c r="CQ21" s="2431"/>
      <x:c r="CR21" s="2395"/>
      <x:c r="CS21" s="2387"/>
      <x:c r="CU21" s="2342" t="s">
        <x:v>498</x:v>
      </x:c>
      <x:c r="CV21" s="2302" t="s">
        <x:v>499</x:v>
      </x:c>
      <x:c r="CW21" s="2302" t="s">
        <x:v>500</x:v>
      </x:c>
      <x:c r="CX21" s="2302" t="s">
        <x:v>501</x:v>
      </x:c>
      <x:c r="CY21" s="2302" t="s">
        <x:v>560</x:v>
      </x:c>
      <x:c r="CZ21" s="2302" t="s">
        <x:v>578</x:v>
      </x:c>
      <x:c r="DA21" s="2302" t="s">
        <x:v>502</x:v>
      </x:c>
      <x:c r="DB21" s="2302" t="s">
        <x:v>579</x:v>
      </x:c>
      <x:c r="DC21" s="2302" t="s">
        <x:v>503</x:v>
      </x:c>
      <x:c r="DD21" s="2302" t="s">
        <x:v>504</x:v>
      </x:c>
      <x:c r="DE21" s="2342" t="s">
        <x:v>498</x:v>
      </x:c>
      <x:c r="DF21" s="2302" t="s">
        <x:v>499</x:v>
      </x:c>
      <x:c r="DG21" s="2302" t="s">
        <x:v>505</x:v>
      </x:c>
      <x:c r="DH21" s="2302" t="s">
        <x:v>501</x:v>
      </x:c>
      <x:c r="DI21" s="2302" t="s">
        <x:v>560</x:v>
      </x:c>
      <x:c r="DJ21" s="2302" t="s">
        <x:v>578</x:v>
      </x:c>
      <x:c r="DK21" s="2302" t="s">
        <x:v>502</x:v>
      </x:c>
      <x:c r="DL21" s="2302" t="s">
        <x:v>579</x:v>
      </x:c>
      <x:c r="DM21" s="2302" t="s">
        <x:v>503</x:v>
      </x:c>
      <x:c r="DN21" s="2344" t="s">
        <x:v>504</x:v>
      </x:c>
      <x:c r="DO21" s="2339" t="s">
        <x:v>491</x:v>
      </x:c>
      <x:c r="DP21" s="2437" t="s">
        <x:v>506</x:v>
      </x:c>
      <x:c r="DQ21" s="2333" t="s">
        <x:v>507</x:v>
      </x:c>
      <x:c r="DR21" s="2304" t="s">
        <x:v>508</x:v>
      </x:c>
      <x:c r="DS21" s="2306" t="s">
        <x:v>543</x:v>
      </x:c>
      <x:c r="DT21" s="2331" t="s">
        <x:v>509</x:v>
      </x:c>
      <x:c r="DU21" s="2332"/>
      <x:c r="DV21" s="2308" t="s">
        <x:v>1103</x:v>
      </x:c>
      <x:c r="DW21" s="2335" t="s">
        <x:v>1104</x:v>
      </x:c>
      <x:c r="DX21" s="2337" t="s">
        <x:v>514</x:v>
      </x:c>
      <x:c r="DY21" s="2306" t="s">
        <x:v>544</x:v>
      </x:c>
      <x:c r="DZ21" s="2331" t="s">
        <x:v>511</x:v>
      </x:c>
      <x:c r="EA21" s="2332"/>
      <x:c r="EB21" s="2335" t="s">
        <x:v>1105</x:v>
      </x:c>
      <x:c r="EC21" s="2335" t="s">
        <x:v>1106</x:v>
      </x:c>
      <x:c r="ED21" s="2337" t="s">
        <x:v>516</x:v>
      </x:c>
      <x:c r="EE21" s="2333" t="s">
        <x:v>545</x:v>
      </x:c>
      <x:c r="EF21" s="2351" t="s">
        <x:v>546</x:v>
      </x:c>
      <x:c r="EG21" s="2352"/>
      <x:c r="EH21" s="2351" t="s">
        <x:v>547</x:v>
      </x:c>
      <x:c r="EI21" s="2353"/>
      <x:c r="EJ21" s="2304" t="s">
        <x:v>548</x:v>
      </x:c>
      <x:c r="EK21" s="2341"/>
      <x:c r="EL21" s="2333" t="s">
        <x:v>568</x:v>
      </x:c>
      <x:c r="EM21" s="2351" t="s">
        <x:v>549</x:v>
      </x:c>
      <x:c r="EN21" s="2352"/>
      <x:c r="EO21" s="2351" t="s">
        <x:v>550</x:v>
      </x:c>
      <x:c r="EP21" s="2353"/>
      <x:c r="EQ21" s="2304" t="s">
        <x:v>551</x:v>
      </x:c>
      <x:c r="ER21" s="2341"/>
      <x:c r="ES21" s="2333" t="s">
        <x:v>12</x:v>
      </x:c>
      <x:c r="ET21" s="2333" t="s">
        <x:v>13</x:v>
      </x:c>
      <x:c r="EU21" s="2304" t="s">
        <x:v>582</x:v>
      </x:c>
      <x:c r="EV21" s="2349"/>
      <x:c r="EW21" s="2356"/>
      <x:c r="EX21" s="2347"/>
      <x:c r="EY21" s="2347"/>
      <x:c r="EZ21" s="2422"/>
      <x:c r="FA21" s="2347"/>
      <x:c r="FB21" s="2347"/>
      <x:c r="FC21" s="2347"/>
      <x:c r="FD21" s="2423"/>
      <x:c r="FE21" s="2423"/>
      <x:c r="FF21" s="2423"/>
      <x:c r="FG21" s="2423"/>
      <x:c r="FH21" s="2423"/>
      <x:c r="FI21" s="2423"/>
      <x:c r="FJ21" s="2423"/>
      <x:c r="FK21" s="2423"/>
      <x:c r="FL21" s="2423"/>
      <x:c r="FM21" s="2423"/>
      <x:c r="FN21" s="2423"/>
      <x:c r="FO21" s="2333" t="s">
        <x:v>590</x:v>
      </x:c>
      <x:c r="FP21" s="2333" t="s">
        <x:v>591</x:v>
      </x:c>
      <x:c r="FQ21" s="2439" t="s">
        <x:v>654</x:v>
      </x:c>
      <x:c r="FR21" s="2442" t="s">
        <x:v>655</x:v>
      </x:c>
      <x:c r="FS21" s="2437" t="s">
        <x:v>682</x:v>
      </x:c>
      <x:c r="FT21" s="2450" t="s">
        <x:v>683</x:v>
      </x:c>
      <x:c r="FU21" s="2159" t="s">
        <x:v>787</x:v>
      </x:c>
      <x:c r="FV21" s="2160"/>
      <x:c r="GA21" s="2118" t="s">
        <x:v>708</x:v>
      </x:c>
      <x:c r="GB21" s="2119"/>
      <x:c r="GC21" s="2118" t="s">
        <x:v>558</x:v>
      </x:c>
      <x:c r="GD21" s="2119"/>
      <x:c r="GE21" s="2120" t="s">
        <x:v>711</x:v>
      </x:c>
      <x:c r="GF21" s="2122" t="s">
        <x:v>40</x:v>
      </x:c>
      <x:c r="GG21" s="2316" t="s">
        <x:v>1142</x:v>
      </x:c>
      <x:c r="GH21" s="2317"/>
      <x:c r="GI21" s="2316" t="s">
        <x:v>1141</x:v>
      </x:c>
      <x:c r="GJ21" s="2317"/>
      <x:c r="GK21" s="2425" t="s">
        <x:v>712</x:v>
      </x:c>
      <x:c r="GL21" s="2123" t="s">
        <x:v>713</x:v>
      </x:c>
      <x:c r="GM21" s="2123" t="s">
        <x:v>714</x:v>
      </x:c>
      <x:c r="GZ21" s="2311"/>
      <x:c r="HA21" s="2440" t="s">
        <x:v>539</x:v>
      </x:c>
      <x:c r="HB21" s="2314" t="s">
        <x:v>130</x:v>
      </x:c>
      <x:c r="HC21" s="2314" t="s">
        <x:v>540</x:v>
      </x:c>
      <x:c r="HD21" s="2424" t="str">
        <x:f>IF($HA$1,"Joist ""BayLength""","Overall Length")</x:f>
        <x:v>Overall Length</x:v>
      </x:c>
      <x:c r="HE21" s="2314"/>
      <x:c r="HF21" s="2312" t="str">
        <x:f>IF($HA$1,"Left Sect. #","TCXL Feet")</x:f>
        <x:v>TCXL Feet</x:v>
      </x:c>
      <x:c r="HG21" s="2312" t="str">
        <x:f>IF($HA$1,"L Min Sup Width","TCXL Inch")</x:f>
        <x:v>TCXL Inch</x:v>
      </x:c>
      <x:c r="HH21" s="2312" t="str">
        <x:f>IF($HA$1,"L Max Sup Width","TCXL Type")</x:f>
        <x:v>TCXL Type</x:v>
      </x:c>
      <x:c r="HI21" s="2312" t="str">
        <x:f>IF($HA$1,"Left Bolt ""X""","TCXR Feet")</x:f>
        <x:v>TCXR Feet</x:v>
      </x:c>
      <x:c r="HJ21" s="2312" t="str">
        <x:f>IF($HA$1,"L Min Flg Ga","TCXR Inch")</x:f>
        <x:v>TCXR Inch</x:v>
      </x:c>
      <x:c r="HK21" s="2312" t="str">
        <x:f>IF($HA$1,"L Max Flg Ga","TCXR Type")</x:f>
        <x:v>TCXR Type</x:v>
      </x:c>
      <x:c r="HL21" s="2312" t="str">
        <x:f>IF($HA$1,"Left Skew","BDL")</x:f>
        <x:v>BDL</x:v>
      </x:c>
      <x:c r="HM21" s="2312" t="str">
        <x:f>IF($HA$1,"Left Brg Slp","BDR")</x:f>
        <x:v>BDR</x:v>
      </x:c>
      <x:c r="HN21" s="2312" t="str">
        <x:f>IF($HA$1,"Right Sect. #","BCXL Feet")</x:f>
        <x:v>BCXL Feet</x:v>
      </x:c>
      <x:c r="HO21" s="2312" t="str">
        <x:f>IF($HA$1,"R Min Sup Width","BCXL Inch")</x:f>
        <x:v>BCXL Inch</x:v>
      </x:c>
      <x:c r="HP21" s="2312" t="str">
        <x:f>IF($HA$1,"R Max Sup Width","BCXL Type")</x:f>
        <x:v>BCXL Type</x:v>
      </x:c>
      <x:c r="HQ21" s="2312" t="str">
        <x:f>IF($HA$1,"Right Bolt ""X""","BCXR Feet")</x:f>
        <x:v>BCXR Feet</x:v>
      </x:c>
      <x:c r="HR21" s="2312" t="str">
        <x:f>IF($HA$1,"R Min Flg Ga","BCXR Inch")</x:f>
        <x:v>BCXR Inch</x:v>
      </x:c>
      <x:c r="HS21" s="2312" t="str">
        <x:f>IF($HA$1,"R Max Flg Ga","BCXR Type")</x:f>
        <x:v>BCXR Type</x:v>
      </x:c>
      <x:c r="HT21" s="2312" t="str">
        <x:f>IF($HA$1,"Right Skew","HL Feet")</x:f>
        <x:v>HL Feet</x:v>
      </x:c>
      <x:c r="HU21" s="2312" t="str">
        <x:f>IF($HA$1,"Right Brg Slp","HL Inch")</x:f>
        <x:v>HL Inch</x:v>
      </x:c>
      <x:c r="HV21" s="2312" t="str">
        <x:f>IF($HA$1,"TC Slope","HR Feet")</x:f>
        <x:v>HR Feet</x:v>
      </x:c>
      <x:c r="HW21" s="2312" t="str">
        <x:f>IF($HA$1,"Load Notes","HR Inch")</x:f>
        <x:v>HR Inch</x:v>
      </x:c>
      <x:c r="HX21" s="2312" t="str">
        <x:f>IF($HA$1,"Spcl Notes","Slot Ga")</x:f>
        <x:v>Slot Ga</x:v>
      </x:c>
      <x:c r="HY21" s="2312" t="str">
        <x:f>IF($HA$1,"TC L Override","L Seat Slp")</x:f>
        <x:v>L Seat Slp</x:v>
      </x:c>
      <x:c r="HZ21" s="2312" t="str">
        <x:f>IF($HA$1,"TCR Override","R Seat Slp")</x:f>
        <x:v>R Seat Slp</x:v>
      </x:c>
      <x:c r="IA21" s="2312" t="str">
        <x:f>IF($HA$1,"L-BL Override","Sp Notes")</x:f>
        <x:v>Sp Notes</x:v>
      </x:c>
      <x:c r="IB21" s="2312" t="str">
        <x:f>IF($HA$1,"R-BL Override","Ld Notes")</x:f>
        <x:v>Ld Notes</x:v>
      </x:c>
      <x:c r="IC21" s="2312" t="str">
        <x:f>IF($HA$1,"BCXL ""X""","-")</x:f>
        <x:v>-</x:v>
      </x:c>
      <x:c r="ID21" s="2312" t="str">
        <x:f>IF($HA$1,"BCXR ""X""","-")</x:f>
        <x:v>-</x:v>
      </x:c>
      <x:c r="IE21" s="2312" t="str">
        <x:f>IF($HA$1,"BDL Override","-")</x:f>
        <x:v>-</x:v>
      </x:c>
      <x:c r="IF21" s="2452" t="str">
        <x:f>IF($HA$1,"BDR Override","-")</x:f>
        <x:v>-</x:v>
      </x:c>
    </x:row>
    <x:row r="22" spans="1:240" s="426" customFormat="1" ht="12.6" customHeight="1" thickTop="1" thickBot="1" x14ac:dyDescent="0.25">
      <x:c r="A22" s="2411"/>
      <x:c r="B22" s="2385"/>
      <x:c r="C22" s="2385"/>
      <x:c r="D22" s="2385"/>
      <x:c r="E22" s="2409"/>
      <x:c r="F22" s="1977" t="s">
        <x:v>16</x:v>
      </x:c>
      <x:c r="G22" s="2070"/>
      <x:c r="H22" s="1102" t="s">
        <x:v>732</x:v>
      </x:c>
      <x:c r="I22" s="2070" t="s">
        <x:v>16</x:v>
      </x:c>
      <x:c r="J22" s="2070"/>
      <x:c r="K22" s="1065" t="s">
        <x:v>732</x:v>
      </x:c>
      <x:c r="L22" s="1106" t="s">
        <x:v>18</x:v>
      </x:c>
      <x:c r="M22" s="461" t="s">
        <x:v>19</x:v>
      </x:c>
      <x:c r="N22" s="1977" t="s">
        <x:v>16</x:v>
      </x:c>
      <x:c r="O22" s="2070"/>
      <x:c r="P22" s="1102" t="s">
        <x:v>732</x:v>
      </x:c>
      <x:c r="Q22" s="2070" t="s">
        <x:v>16</x:v>
      </x:c>
      <x:c r="R22" s="2070"/>
      <x:c r="S22" s="461" t="s">
        <x:v>732</x:v>
      </x:c>
      <x:c r="T22" s="1977" t="s">
        <x:v>80</x:v>
      </x:c>
      <x:c r="U22" s="2070"/>
      <x:c r="V22" s="2070" t="s">
        <x:v>81</x:v>
      </x:c>
      <x:c r="W22" s="2070"/>
      <x:c r="X22" s="1065" t="s">
        <x:v>27</x:v>
      </x:c>
      <x:c r="Y22" s="1106" t="s">
        <x:v>112</x:v>
      </x:c>
      <x:c r="Z22" s="461" t="s">
        <x:v>113</x:v>
      </x:c>
      <x:c r="AA22" s="1060" t="s">
        <x:v>57</x:v>
      </x:c>
      <x:c r="AB22" s="1413"/>
      <x:c r="AC22" s="963" t="s">
        <x:v>1101</x:v>
      </x:c>
      <x:c r="AD22" s="427" t="s">
        <x:v>73</x:v>
      </x:c>
      <x:c r="AE22" s="428" t="s">
        <x:v>74</x:v>
      </x:c>
      <x:c r="AF22" s="428" t="s">
        <x:v>75</x:v>
      </x:c>
      <x:c r="AG22" s="428" t="s">
        <x:v>76</x:v>
      </x:c>
      <x:c r="AH22" s="429" t="s">
        <x:v>114</x:v>
      </x:c>
      <x:c r="AI22" s="430" t="s">
        <x:v>170</x:v>
      </x:c>
      <x:c r="AJ22" s="372" t="s">
        <x:v>171</x:v>
      </x:c>
      <x:c r="AK22" s="372" t="s">
        <x:v>172</x:v>
      </x:c>
      <x:c r="AL22" s="372" t="s">
        <x:v>173</x:v>
      </x:c>
      <x:c r="AM22" s="372" t="s">
        <x:v>147</x:v>
      </x:c>
      <x:c r="AN22" s="372" t="s">
        <x:v>748</x:v>
      </x:c>
      <x:c r="AO22" s="372" t="s">
        <x:v>749</x:v>
      </x:c>
      <x:c r="AP22" s="372" t="s">
        <x:v>179</x:v>
      </x:c>
      <x:c r="AQ22" s="372" t="s">
        <x:v>176</x:v>
      </x:c>
      <x:c r="AR22" s="372" t="s">
        <x:v>174</x:v>
      </x:c>
      <x:c r="AS22" s="372" t="s">
        <x:v>177</x:v>
      </x:c>
      <x:c r="AT22" s="372" t="s">
        <x:v>178</x:v>
      </x:c>
      <x:c r="AU22" s="1898"/>
      <x:c r="AV22" s="2392"/>
      <x:c r="AW22" s="2393"/>
      <x:c r="AX22" s="503" t="s">
        <x:v>632</x:v>
      </x:c>
      <x:c r="AY22" s="503" t="s">
        <x:v>133</x:v>
      </x:c>
      <x:c r="AZ22" s="2413"/>
      <x:c r="BA22" s="251"/>
      <x:c r="BB22" s="2128"/>
      <x:c r="BC22" s="2057"/>
      <x:c r="BD22" s="2130"/>
      <x:c r="BE22" s="2404"/>
      <x:c r="BF22" s="2405"/>
      <x:c r="BG22" s="2227"/>
      <x:c r="BH22" s="2372"/>
      <x:c r="BI22" s="2373"/>
      <x:c r="BJ22" s="2369"/>
      <x:c r="BK22" s="2372"/>
      <x:c r="BL22" s="2373"/>
      <x:c r="BM22" s="2374"/>
      <x:c r="BN22" s="2376"/>
      <x:c r="BO22" s="2378"/>
      <x:c r="BP22" s="1546" t="s">
        <x:v>1277</x:v>
      </x:c>
      <x:c r="BQ22" s="1547" t="s">
        <x:v>1278</x:v>
      </x:c>
      <x:c r="BR22" s="1548" t="s">
        <x:v>501</x:v>
      </x:c>
      <x:c r="BS22" s="2227"/>
      <x:c r="BT22" s="2372"/>
      <x:c r="BU22" s="2373"/>
      <x:c r="BV22" s="2369"/>
      <x:c r="BW22" s="2372"/>
      <x:c r="BX22" s="2373"/>
      <x:c r="BY22" s="2374"/>
      <x:c r="BZ22" s="2383"/>
      <x:c r="CA22" s="2378"/>
      <x:c r="CB22" s="1546" t="s">
        <x:v>1277</x:v>
      </x:c>
      <x:c r="CC22" s="1547" t="s">
        <x:v>1278</x:v>
      </x:c>
      <x:c r="CD22" s="1548" t="s">
        <x:v>501</x:v>
      </x:c>
      <x:c r="CE22" s="2446"/>
      <x:c r="CF22" s="1554" t="s">
        <x:v>418</x:v>
      </x:c>
      <x:c r="CG22" s="1549" t="s">
        <x:v>553</x:v>
      </x:c>
      <x:c r="CH22" s="498" t="s">
        <x:v>585</x:v>
      </x:c>
      <x:c r="CI22" s="433" t="s">
        <x:v>586</x:v>
      </x:c>
      <x:c r="CJ22" s="434" t="s">
        <x:v>587</x:v>
      </x:c>
      <x:c r="CK22" s="2391"/>
      <x:c r="CL22" s="499" t="s">
        <x:v>606</x:v>
      </x:c>
      <x:c r="CM22" s="500" t="s">
        <x:v>607</x:v>
      </x:c>
      <x:c r="CN22" s="495" t="s">
        <x:v>606</x:v>
      </x:c>
      <x:c r="CO22" s="435" t="s">
        <x:v>607</x:v>
      </x:c>
      <x:c r="CP22" s="436" t="s">
        <x:v>520</x:v>
      </x:c>
      <x:c r="CQ22" s="437" t="s">
        <x:v>169</x:v>
      </x:c>
      <x:c r="CR22" s="2396"/>
      <x:c r="CS22" s="2388"/>
      <x:c r="CU22" s="2343"/>
      <x:c r="CV22" s="2325"/>
      <x:c r="CW22" s="2325"/>
      <x:c r="CX22" s="2303"/>
      <x:c r="CY22" s="2303"/>
      <x:c r="CZ22" s="2303"/>
      <x:c r="DA22" s="2303"/>
      <x:c r="DB22" s="2303"/>
      <x:c r="DC22" s="2303"/>
      <x:c r="DD22" s="2303"/>
      <x:c r="DE22" s="2343"/>
      <x:c r="DF22" s="2325"/>
      <x:c r="DG22" s="2325"/>
      <x:c r="DH22" s="2303"/>
      <x:c r="DI22" s="2303"/>
      <x:c r="DJ22" s="2303"/>
      <x:c r="DK22" s="2303"/>
      <x:c r="DL22" s="2303"/>
      <x:c r="DM22" s="2303"/>
      <x:c r="DN22" s="2345"/>
      <x:c r="DO22" s="2340"/>
      <x:c r="DP22" s="2451"/>
      <x:c r="DQ22" s="2334"/>
      <x:c r="DR22" s="2305"/>
      <x:c r="DS22" s="2307"/>
      <x:c r="DT22" s="438" t="s">
        <x:v>554</x:v>
      </x:c>
      <x:c r="DU22" s="438" t="s">
        <x:v>555</x:v>
      </x:c>
      <x:c r="DV22" s="2309"/>
      <x:c r="DW22" s="2336"/>
      <x:c r="DX22" s="2338"/>
      <x:c r="DY22" s="2307"/>
      <x:c r="DZ22" s="438" t="s">
        <x:v>554</x:v>
      </x:c>
      <x:c r="EA22" s="438" t="s">
        <x:v>555</x:v>
      </x:c>
      <x:c r="EB22" s="2336"/>
      <x:c r="EC22" s="2336"/>
      <x:c r="ED22" s="2338"/>
      <x:c r="EE22" s="2354"/>
      <x:c r="EF22" s="439" t="s">
        <x:v>521</x:v>
      </x:c>
      <x:c r="EG22" s="440" t="s">
        <x:v>522</x:v>
      </x:c>
      <x:c r="EH22" s="439" t="s">
        <x:v>521</x:v>
      </x:c>
      <x:c r="EI22" s="440" t="s">
        <x:v>522</x:v>
      </x:c>
      <x:c r="EJ22" s="439" t="s">
        <x:v>521</x:v>
      </x:c>
      <x:c r="EK22" s="440" t="s">
        <x:v>522</x:v>
      </x:c>
      <x:c r="EL22" s="2354"/>
      <x:c r="EM22" s="439" t="s">
        <x:v>521</x:v>
      </x:c>
      <x:c r="EN22" s="440" t="s">
        <x:v>522</x:v>
      </x:c>
      <x:c r="EO22" s="439" t="s">
        <x:v>521</x:v>
      </x:c>
      <x:c r="EP22" s="440" t="s">
        <x:v>522</x:v>
      </x:c>
      <x:c r="EQ22" s="439" t="s">
        <x:v>521</x:v>
      </x:c>
      <x:c r="ER22" s="440" t="s">
        <x:v>522</x:v>
      </x:c>
      <x:c r="ES22" s="2357"/>
      <x:c r="ET22" s="2357"/>
      <x:c r="EU22" s="2358"/>
      <x:c r="EV22" s="2350"/>
      <x:c r="EW22" s="2356"/>
      <x:c r="EX22" s="2347"/>
      <x:c r="EY22" s="2347"/>
      <x:c r="EZ22" s="2422"/>
      <x:c r="FA22" s="2347"/>
      <x:c r="FB22" s="2347"/>
      <x:c r="FC22" s="2347"/>
      <x:c r="FD22" s="2423"/>
      <x:c r="FE22" s="2423"/>
      <x:c r="FF22" s="2423"/>
      <x:c r="FG22" s="2423"/>
      <x:c r="FH22" s="2423"/>
      <x:c r="FI22" s="2423"/>
      <x:c r="FJ22" s="2423"/>
      <x:c r="FK22" s="2423"/>
      <x:c r="FL22" s="2423"/>
      <x:c r="FM22" s="2423"/>
      <x:c r="FN22" s="2423"/>
      <x:c r="FO22" s="2357"/>
      <x:c r="FP22" s="2357"/>
      <x:c r="FQ22" s="2357"/>
      <x:c r="FR22" s="2443"/>
      <x:c r="FS22" s="2438"/>
      <x:c r="FT22" s="2443"/>
      <x:c r="FU22" s="508" t="s">
        <x:v>606</x:v>
      </x:c>
      <x:c r="FV22" s="509" t="s">
        <x:v>607</x:v>
      </x:c>
      <x:c r="GA22" s="1029" t="s">
        <x:v>1112</x:v>
      </x:c>
      <x:c r="GB22" s="1030" t="s">
        <x:v>710</x:v>
      </x:c>
      <x:c r="GC22" s="1031" t="s">
        <x:v>606</x:v>
      </x:c>
      <x:c r="GD22" s="1032" t="s">
        <x:v>607</x:v>
      </x:c>
      <x:c r="GE22" s="2121"/>
      <x:c r="GF22" s="2121"/>
      <x:c r="GG22" s="1033" t="s">
        <x:v>1112</x:v>
      </x:c>
      <x:c r="GH22" s="1034" t="s">
        <x:v>710</x:v>
      </x:c>
      <x:c r="GI22" s="1033" t="s">
        <x:v>1112</x:v>
      </x:c>
      <x:c r="GJ22" s="1034" t="s">
        <x:v>710</x:v>
      </x:c>
      <x:c r="GK22" s="2426"/>
      <x:c r="GL22" s="2124"/>
      <x:c r="GM22" s="2124"/>
      <x:c r="GZ22" s="2311"/>
      <x:c r="HA22" s="2441"/>
      <x:c r="HB22" s="2315"/>
      <x:c r="HC22" s="2315"/>
      <x:c r="HD22" s="2315"/>
      <x:c r="HE22" s="2315"/>
      <x:c r="HF22" s="2313"/>
      <x:c r="HG22" s="2313"/>
      <x:c r="HH22" s="2313"/>
      <x:c r="HI22" s="2313"/>
      <x:c r="HJ22" s="2313"/>
      <x:c r="HK22" s="2313"/>
      <x:c r="HL22" s="2313"/>
      <x:c r="HM22" s="2313"/>
      <x:c r="HN22" s="2313"/>
      <x:c r="HO22" s="2313"/>
      <x:c r="HP22" s="2313"/>
      <x:c r="HQ22" s="2313"/>
      <x:c r="HR22" s="2313"/>
      <x:c r="HS22" s="2313"/>
      <x:c r="HT22" s="2313"/>
      <x:c r="HU22" s="2313"/>
      <x:c r="HV22" s="2313"/>
      <x:c r="HW22" s="2313"/>
      <x:c r="HX22" s="2313"/>
      <x:c r="HY22" s="2313"/>
      <x:c r="HZ22" s="2313"/>
      <x:c r="IA22" s="2313"/>
      <x:c r="IB22" s="2313"/>
      <x:c r="IC22" s="2313"/>
      <x:c r="ID22" s="2313"/>
      <x:c r="IE22" s="2313"/>
      <x:c r="IF22" s="2453"/>
    </x:row>
    <x:row r="23" spans="1:240" ht="12.6" customHeight="1" thickTop="1" x14ac:dyDescent="0.25">
      <x:c r="A23" s="2764" t="s">
        <x:v>1431</x:v>
      </x:c>
      <x:c r="B23" s="2765">
        <x:v>2</x:v>
      </x:c>
      <x:c r="C23" s="2766" t="s">
        <x:v>1592</x:v>
      </x:c>
      <x:c r="D23" s="2767">
        <x:v>40</x:v>
      </x:c>
      <x:c r="E23" s="2841">
        <x:v>0</x:v>
      </x:c>
      <x:c r="F23" s="2770" t="str">
        <x:f>IF(DX23=0,"",TRUNC(DX23/12))</x:f>
        <x:v/>
      </x:c>
      <x:c r="G23" s="2771" t="str">
        <x:f>IF(DX23=0,"",DX23-(F23*12))</x:f>
        <x:v/>
      </x:c>
      <x:c r="H23" s="2842" t="str">
        <x:f>IF(DX23=0,"",CW23)</x:f>
        <x:v/>
      </x:c>
      <x:c r="I23" s="2767" t="str">
        <x:f>IF(ED23=0,"",TRUNC(ED23/12))</x:f>
        <x:v/>
      </x:c>
      <x:c r="J23" s="2771" t="str">
        <x:f>IF(ED23=0,"",ED23-(I23*12))</x:f>
        <x:v/>
      </x:c>
      <x:c r="K23" s="2843" t="str">
        <x:f>IF(ED23=0,"",DG23)</x:f>
        <x:v/>
      </x:c>
      <x:c r="L23" s="2774">
        <x:v>5</x:v>
      </x:c>
      <x:c r="M23" s="2775">
        <x:v>5</x:v>
      </x:c>
      <x:c r="N23" s="2770" t="str">
        <x:f>IF(ES23="","",IF(AND(ES23&lt;0,ES23&gt;-12),TRUNC(ES23/12)-0.0000001,TRUNC(ES23/12)))</x:f>
        <x:v/>
      </x:c>
      <x:c r="O23" s="2771" t="str">
        <x:f>IF(ES23="","",IF(AND(ES23-(N23*12)=0,ES23&lt;0),-0.000001,ES23-(N23*12)))</x:f>
        <x:v/>
      </x:c>
      <x:c r="P23" s="2772" t="str">
        <x:f>IF(ES23="","",IF(OR(CW23="Q",CW23="C"),3,CZ23))</x:f>
        <x:v/>
      </x:c>
      <x:c r="Q23" s="2767" t="str">
        <x:f>IF(ET23="","",IF(AND(ET23&lt;0,ET23&gt;-12),TRUNC(ET23/12)-0.0000001,TRUNC(ET23/12)))</x:f>
        <x:v/>
      </x:c>
      <x:c r="R23" s="2771" t="str">
        <x:f>IF(ET23="","",IF(AND(ET23-(Q23*12)=0,ET23&lt;0),-0.000001,ET23-(Q23*12)))</x:f>
        <x:v/>
      </x:c>
      <x:c r="S23" s="2819" t="str">
        <x:f>IF(ET23="","",IF(OR(DG23="Q",DG23="C"),3,DJ23))</x:f>
        <x:v/>
      </x:c>
      <x:c r="T23" s="2770">
        <x:v>0</x:v>
      </x:c>
      <x:c r="U23" s="2771">
        <x:v>2.25</x:v>
      </x:c>
      <x:c r="V23" s="2767">
        <x:v>0</x:v>
      </x:c>
      <x:c r="W23" s="2771">
        <x:v>2</x:v>
      </x:c>
      <x:c r="X23" s="2816">
        <x:v>4</x:v>
      </x:c>
      <x:c r="Y23" s="2844" t="str">
        <x:f>FG23</x:f>
        <x:v/>
      </x:c>
      <x:c r="Z23" s="2845" t="str">
        <x:f>FL23</x:f>
        <x:v/>
      </x:c>
      <x:c r="AA23" s="2846" t="s">
        <x:v>1646</x:v>
      </x:c>
      <x:c r="AB23" s="1413"/>
      <x:c r="AC23" s="964" t="b">
        <x:v>0</x:v>
      </x:c>
      <x:c r="AD23" s="441">
        <x:f t="shared" ref="AD23:AD40" si="1">IF($C23="",0,IF(SUM(AE23:AG23)&gt;0,0,IF(ISERROR(SEARCH("K",$C23,1))=TRUE,0,$B23)))</x:f>
        <x:v>0</x:v>
      </x:c>
      <x:c r="AE23" s="442">
        <x:f t="shared" ref="AE23:AE40" si="2">IF(ISERROR(SEARCH("LH",$C23,1))=TRUE,0,$B23)</x:f>
        <x:v>2</x:v>
      </x:c>
      <x:c r="AF23" s="442">
        <x:f t="shared" ref="AF23:AF40" si="3">IF(ISERROR(SEARCH("JS",$C23))=TRUE,IF(ISERROR(SEARCH("2.5K",$C23))=TRUE,0,$B23),$B23)</x:f>
        <x:v>0</x:v>
      </x:c>
      <x:c r="AG23" s="442">
        <x:f t="shared" ref="AG23:AG40" si="4">IF(ISERROR(SEARCH("HDR",$C23,1))=TRUE,0,$B23)</x:f>
        <x:v>0</x:v>
      </x:c>
      <x:c r="AH23" s="443">
        <x:f t="shared" ref="AH23:AH40" si="5">IF(ISERROR(SEARCH("CJ",$C23,1))=TRUE,0,$B23)</x:f>
        <x:v>0</x:v>
      </x:c>
      <x:c r="AI23" s="444" t="b">
        <x:v>0</x:v>
      </x:c>
      <x:c r="AJ23" s="238">
        <x:f>IF(OR(ISERROR(VALUE(LEFT(C23,SEARCH(AK23,C23)-1))),AK23=""),0,VALUE(LEFT(C23,SEARCH(AK23,C23)-1)))</x:f>
        <x:v>32</x:v>
      </x:c>
      <x:c r="AK23" s="238" t="str">
        <x:f t="shared" ref="AK23:AK40" si="6">IF(AV23="",AW23,AV23)</x:f>
        <x:v>LH</x:v>
      </x:c>
      <x:c r="AL23" s="1290" t="str">
        <x:f t="shared" ref="AL23:AL40" si="7">IF(AK23="","",IF(ISERROR(SEARCH("/",C23)),IF(VALUE(MID(C23,SEARCH(AK23,C23)+LEN(AK23),LEN(C23)))&gt;25,"",VALUE(MID(C23,SEARCH(AK23,C23)+LEN(AK23),LEN(C23)))),""))</x:f>
        <x:v/>
      </x:c>
      <x:c r="AM23" s="238">
        <x:f t="shared" ref="AM23:AM40" si="8">IF(AK23="","",IF(ISERROR(SEARCH("/",C23)),IF(VALUE(MID(C23,SEARCH(AK23,C23)+LEN(AK23),LEN(C23)))&lt;26,"",VALUE(MID(C23,SEARCH(AK23,C23)+LEN(AK23),LEN(C23)))),VALUE(MID(C23,SEARCH(AK23,C23)+LEN(AK23),SEARCH("/",C23)-SEARCH(AK23,C23)-LEN(AK23)))))</x:f>
        <x:v>305</x:v>
      </x:c>
      <x:c r="AN23" s="238">
        <x:f t="shared" ref="AN23:AN40" si="9">IF(AK23="","",IF(AK23="CJ",MID(MID(C23,SEARCH("/",C23)+1,LEN(C23)),1,SEARCH("/",MID(C23,SEARCH("/",C23)+1,LEN(C23)))-1),IF(ISERROR(SEARCH("/",C23)),"",VALUE(MID(C23,SEARCH("/",C23)+1,LEN(C23))))))</x:f>
        <x:v>180</x:v>
      </x:c>
      <x:c r="AO23" s="238" t="str">
        <x:f t="shared" ref="AO23:AO40" si="10">IF(AK23="CJ",VALUE(MID(MID(C23,SEARCH("/",C23)+1,LEN(C23)),SEARCH("/",MID(C23,SEARCH("/",C23)+1,LEN(C23)))+1,LEN(MID(C23,SEARCH("/",C23)+1,LEN(C23))))),"")</x:f>
        <x:v/>
      </x:c>
      <x:c r="AP23" s="830" t="b">
        <x:f>IF(ISERROR(AJ23),FALSE,IF(OR(AJ23=0,ISERROR(AL23),ISERROR(AM23),ISERROR(AN23),ISERROR(AO23)),FALSE,IF(AL23&lt;&gt;"",IF(ISERROR(VLOOKUP(SUBSTITUTE(SUBSTITUTE(C23,"R",""),"A",""),TblJoistSize!$A:$A,1,FALSE)),FALSE,TRUE),TRUE)))</x:f>
        <x:v>1</x:v>
      </x:c>
      <x:c r="AQ23" s="1038">
        <x:f t="shared" ref="AQ23:AQ40" si="11">VLOOKUP(AK23,$DF$2:$DN$9,4,FALSE)+IF(LEFT(H23,1)="R",IF(ISNUMBER(F23),F23*12,0)+IF(ISNUMBER(G23),G23,0),0)</x:f>
        <x:v>6</x:v>
      </x:c>
      <x:c r="AR23" s="945" t="b">
        <x:f>IF(IF(ISNUMBER(T23),T23*12,0)+IF(ISNUMBER(U23),U23,0)&gt;0,IF(AND(IF(ISNUMBER(T23),T23*12,0)+IF(ISNUMBER(U23),U23,0)&gt;=VLOOKUP(AU23,$DF$2:$DN$9,8,FALSE)/2+$DQ$2,IF(ISNUMBER(T23),T23*12,0)+IF(ISNUMBER(U23),U23,0)&lt;=(AQ23-(VLOOKUP(AU23,$DF$2:$DN$9,8,FALSE)/2+$DQ$2))+IF(H23="X",2,0)),TRUE,FALSE),FALSE)</x:f>
        <x:v>1</x:v>
      </x:c>
      <x:c r="AS23" s="1038">
        <x:f t="shared" ref="AS23:AS40" si="12">VLOOKUP(AK23,$DF$2:$DN$9,4,FALSE)+IF(LEFT(K23,1)="R",(IF(ISNUMBER(I23),I23*12,0)+IF(ISNUMBER(J23),J23,0)),0)</x:f>
        <x:v>6</x:v>
      </x:c>
      <x:c r="AT23" s="945" t="b">
        <x:f>IF(IF(ISNUMBER(V23),V23*12,0)+IF(ISNUMBER(W23),W23,0)&gt;0,IF(AND((IF(ISNUMBER(V23),V23*12,0)+IF(ISNUMBER(W23),W23,0))&gt;=VLOOKUP(AU23,$DF$2:$DN$9,8,FALSE)/2+$DQ$2,(IF(ISNUMBER(V23),V23*12,0)+IF(ISNUMBER(W23),W23,0))&lt;=(AS23-(VLOOKUP(AU23,$DF$2:$DN$9,8,FALSE)/2+$DQ$2))+IF(K23="X",2,0)),TRUE,FALSE),FALSE)</x:f>
        <x:v>1</x:v>
      </x:c>
      <x:c r="AU23" s="1291" t="str">
        <x: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x:f>
        <x:v>LH</x:v>
      </x:c>
      <x:c r="AV23" s="830" t="str">
        <x:f t="shared" ref="AV23:AV40" si="14">IF(NOT(ISERROR(SEARCH("KCSR",C23))),"KCSR",IF(NOT(ISERROR(SEARCH("KCSA",C23))),"KCSA",IF(NOT(ISERROR(SEARCH("KCS",C23))),"KCS",IF(NOT(ISERROR(SEARCH("KR",C23))),"KR",IF(NOT(ISERROR(SEARCH("KA",C23))),"KA",IF(NOT(ISERROR(SEARCH("K",C23))),"K",IF(NOT(ISERROR(SEARCH("CJ",C23))),"CJ","")))))))</x:f>
        <x:v/>
      </x:c>
      <x:c r="AW23" s="830" t="str">
        <x:f>IF(NOT(ISERROR(SEARCH("HDR",C23))),"HDR",IF(NOT(ISERROR(SEARCH("JS",C23))),"JS",IF(NOT(ISERROR(SEARCH("SLH",C23))),"SLH",IF(NOT(ISERROR(SEARCH("DLH",C23))),"DLH",IF(NOT(ISERROR(SEARCH("LH",C23))),"LH","")))))</x:f>
        <x:v>LH</x:v>
      </x:c>
      <x:c r="AX23" s="830" t="str">
        <x:f>IF(OR(ISBLANK(A23),A23=""),"",A23)</x:f>
        <x:v>J1</x:v>
      </x:c>
      <x:c r="AY23" s="464" t="b">
        <x:f t="shared" ref="AY23:AY40" si="15">IF($AE$1,IF(AX23=AX22,AY22,IF(AND(AX23&lt;&gt;"",OR(B23=0,B23="")),TRUE,FALSE)),FALSE)</x:f>
        <x:v>0</x:v>
      </x:c>
      <x:c r="AZ23" s="856" t="b">
        <x:f>IF(AND(NOT(ISERROR(AJ23)),AJ23&gt;0),((IF(D23="",0,D23)*12+IF(E23="",0,E23))-(IF(F23="",0,F23)*12+IF(G23="",0,G23))-(IF(I23="",0,I23)*12+IF(J23="",0,J23)))&gt;AJ23*24,"")</x:f>
        <x:v>0</x:v>
      </x:c>
      <x:c r="BA23" s="549"/>
      <x:c r="BB23" s="664"/>
      <x:c r="BC23" s="1683"/>
      <x:c r="BD23" s="1540"/>
      <x:c r="BE23" s="1541"/>
      <x:c r="BF23" s="1542"/>
      <x:c r="BG23" s="664"/>
      <x:c r="BH23" s="1543"/>
      <x:c r="BI23" s="1544"/>
      <x:c r="BJ23" s="1624"/>
      <x:c r="BK23" s="1543"/>
      <x:c r="BL23" s="1544"/>
      <x:c r="BM23" s="1567"/>
      <x:c r="BN23" s="1568"/>
      <x:c r="BO23" s="1616" t="str">
        <x:f>IF(ISERROR(CU23),"",IF(CU23="","",IF(VLOOKUP(BG23,SectInfo!$B:$N,10,FALSE)="","","X")))</x:f>
        <x:v/>
      </x:c>
      <x:c r="BP23" s="1558"/>
      <x:c r="BQ23" s="1559" t="str">
        <x:f t="shared" ref="BQ23:BQ40" si="16">IF(ISERROR(CU23),"",IF(CW23="","",IF(CW23="C",CV23,IF(CW23="Q",2,""))))</x:f>
        <x:v/>
      </x:c>
      <x:c r="BR23" s="1560"/>
      <x:c r="BS23" s="664"/>
      <x:c r="BT23" s="1543"/>
      <x:c r="BU23" s="1544"/>
      <x:c r="BV23" s="1624"/>
      <x:c r="BW23" s="1543"/>
      <x:c r="BX23" s="1544"/>
      <x:c r="BY23" s="1567"/>
      <x:c r="BZ23" s="1568"/>
      <x:c r="CA23" s="1616" t="str">
        <x:f>IF(ISERROR(DE23),"",IF(DE23="","",IF(VLOOKUP(BS23,SectInfo!$B:$N,10,FALSE)="","","X")))</x:f>
        <x:v/>
      </x:c>
      <x:c r="CB23" s="1558"/>
      <x:c r="CC23" s="1559" t="str">
        <x:f t="shared" ref="CC23:CC40" si="17">IF(ISERROR(DE23),"",IF(DG23="","",IF(DG23="C",DF23,IF(DG23="Q",2,""))))</x:f>
        <x:v/>
      </x:c>
      <x:c r="CD23" s="1560"/>
      <x:c r="CE23" s="1573"/>
      <x:c r="CF23" s="1545"/>
      <x:c r="CG23" s="984"/>
      <x:c r="CH23" s="640" t="str">
        <x:f t="shared" ref="CH23:CH40" si="18">IF(EJ23=EK23,IF(EK23="ERR","ERR",""),CONCATENATE(IF(BM23&lt;0,"NS ","FS "),IF(EK23="ERR","Slot Only",CONCATENATE("Slot @ ",EJ23))))</x:f>
        <x:v/>
      </x:c>
      <x:c r="CI23" s="641" t="str">
        <x:f t="shared" ref="CI23:CI40" si="19">IF(EQ23=ER23,IF(ER23="ERR","ERR",""),CONCATENATE(IF(BY23&lt;0,"FS ","NS "),IF(ER23="ERR","Slot Only",CONCATENATE("Slot @ ",EQ23))))</x:f>
        <x:v/>
      </x:c>
      <x:c r="CJ23" s="642" t="str">
        <x:f t="shared" ref="CJ23:CJ40" si="20">IF(EV23="","",IF(AND(DB23&lt;&gt;EV23,OR(NOT(ISBLANK(BJ23)),CU23="C")),CONCATENATE("LE slots @ ",DB23," Ga."),IF(AND(DL23&lt;&gt;EV23,OR(NOT(ISBLANK(BV23)),DE23="C")),CONCATENATE("RE slots @ ",DL23," Ga."),"")))</x:f>
        <x:v/>
      </x:c>
      <x:c r="CK23" s="851" t="str">
        <x:f t="shared" ref="CK23:CK40" si="21">IF(AND(CP23&lt;&gt;"",BM23&lt;&gt;"",CQ23&lt;&gt;"",BY23&lt;&gt;""),"BE",IF(AND(CP23&lt;&gt;"",BM23&lt;&gt;""),"LE",IF(AND(CQ23&lt;&gt;"",BY23&lt;&gt;""),"RE","")))</x:f>
        <x:v/>
      </x:c>
      <x:c r="CL23" s="845" t="str">
        <x:f t="shared" ref="CL23:CL40" si="22">IF(BQ23="","",IF(CEILING(DV23,0.125)&lt;=DW23+VLOOKUP(AU23,$DF$2:$DI$9,4,FALSE),"",CEILING(DV23,0.125)))</x:f>
        <x:v/>
      </x:c>
      <x:c r="CM23" s="846" t="str">
        <x:f t="shared" ref="CM23:CM40" si="23">IF(CC23="","",IF(CEILING(EB23,0.125)&lt;=EC23+VLOOKUP(AU23,$DF$2:$DI$9,4,FALSE),"",CEILING(EB23,0.125)))</x:f>
        <x:v/>
      </x:c>
      <x:c r="CN23" s="609" t="str">
        <x:f t="shared" ref="CN23:CN40" si="24">IF(AND(CE23&lt;&gt;0,BM23&lt;&gt;0),CE23*COS(RADIANS(90-BM23))/(1/COS(RADIANS(90-BM23)))*-1,"")</x:f>
        <x:v/>
      </x:c>
      <x:c r="CO23" s="610" t="str">
        <x:f t="shared" ref="CO23:CO40" si="25">IF(AND(CE23&lt;&gt;0,BY23&lt;&gt;0),CE23*COS(RADIANS(90-BY23))/(1/COS(RADIANS(90-BY23))),"")</x:f>
        <x:v/>
      </x:c>
      <x:c r="CP23" s="613" t="str">
        <x:f t="shared" ref="CP23:CP40" si="26">IF(BG23="","",IF(AU23="JS","",IF(VLOOKUP(AU23,$DF$2:$DN$9,5,FALSE)&gt;FO23,IF(FO23&gt;=0.0625,CEILING(FO23-0.0625,0.125),FO23),"")))</x:f>
        <x:v/>
      </x:c>
      <x:c r="CQ23" s="614" t="str">
        <x:f t="shared" ref="CQ23:CQ40" si="27">IF(BS23="","",IF(AU23="JS","",IF(VLOOKUP(AU23,$DF$2:$DN$9,5,FALSE)&gt;FP23,IF(FP23&gt;=0.0625,CEILING(FP23-0.0625,0.125),FP23),"")))</x:f>
        <x:v/>
      </x:c>
      <x:c r="CR23" s="748">
        <x:f t="shared" ref="CR23:CR40" si="28">IF(AU23="","",IF(ABS(FF23)&lt;ABS($CX$2),VLOOKUP(AU23,$DF$2:$DN$9,3,FALSE),CEILING(VLOOKUP(AU23,$DF$2:$DN$9,3,FALSE)/COS(FE23)+0.375+IF(CU23="M",IF(FE23&gt;0,(DV23-DW23)/12,0),IF(FE23&gt;0,0,(DV23-CV23)/12))*ABS(FF23),0.125)))</x:f>
        <x:v>5</x:v>
      </x:c>
      <x:c r="CS23" s="749">
        <x:f t="shared" ref="CS23:CS40" si="29">IF(AU23="","",IF(ABS(FK23)&lt;ABS($CX$2),VLOOKUP(AU23,$DF$2:$DN$9,3,FALSE),CEILING(VLOOKUP(AU23,$DF$2:$DN$9,3,FALSE)/COS(FJ23)+0.375+IF(DE23="M",IF(FJ23&lt;0,(EB23-EC23)/12,0),IF(FJ23&lt;0,0,(EB23-DF23)/12))*ABS(FK23),0.125)))</x:f>
        <x:v>5</x:v>
      </x:c>
      <x:c r="CU23" s="114" t="str">
        <x:f>IF(BG23="","",VLOOKUP(BG23,SectInfo!$B:$N,12,FALSE))</x:f>
        <x:v/>
      </x:c>
      <x:c r="CV23" s="115" t="str">
        <x:f>IF(BG23="","",IF(ISBLANK(BP23),VLOOKUP(BG23,SectInfo!$B:$N,13,FALSE),BP23))</x:f>
        <x:v/>
      </x:c>
      <x:c r="CW23" s="1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1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ref="DD23:DD40" si="30">BN23*-1</x:f>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ref="DN23:DN40" si="31">BZ23*-1</x:f>
        <x:v>0</x:v>
      </x:c>
      <x:c r="DO23" s="818">
        <x:f t="shared" ref="DO23:DO40" si="32">IF(CE23="",0,ATAN(CE23/12))</x:f>
        <x:v>0</x:v>
      </x:c>
      <x:c r="DP23" s="819" t="str">
        <x:f t="shared" ref="DP23:DP40" si="33">IF(OR(CV23="",BE23="",DF23=""),"",CEILING(IF(AND(BE23="",BF23=""),"",((BE23*12+BF23)+CV23+DF23)/COS(FN23))-0.0625,0.125))</x:f>
        <x:v/>
      </x:c>
      <x:c r="DQ23" s="819" t="str">
        <x:f t="shared" ref="DQ23:DQ40" si="34">IF(AU23="","",IF(ABS(FF23)&lt;ABS($CX$2),CX23,IF(FF23=0,CX23,CEILING((CX23+((DW23-CV23)/12)*FF23)-0.0625,0.125))))</x:f>
        <x:v/>
      </x:c>
      <x:c r="DR23" s="819" t="str">
        <x:f t="shared" ref="DR23:DR40" si="35">IF(AU23="","",IF(ABS(FK23)&lt;ABS($CX$2),DH23,IF(FK23=0,DH23,CEILING((DH23+((EC23-DF23)/12)*FK23)-0.0625,0.125))))</x:f>
        <x:v/>
      </x:c>
      <x:c r="DS23" s="820">
        <x:f t="shared" ref="DS23:DS40" si="36">IF(BM23="",0,RADIANS(ABS(BM23)))</x:f>
        <x:v>0</x:v>
      </x:c>
      <x:c r="DT23" s="821">
        <x:f t="shared" ref="DT23:DT40" si="37">MIN(IF(BH23&gt;0,BH23/2,MAX(BI23/2,DC23)),IF(BI23&gt;0,BI23/2,MAX(BH23/2,DC23)),IF(DC23&gt;0,DC23,MAX(BI23/2,BH23/2)))/IF(OR(CU23="C",AND(CU23="M",$DD$1="N")),1,COS(DS23))</x:f>
        <x:v>0</x:v>
      </x:c>
      <x:c r="DU23" s="821" t="str">
        <x:f t="shared" ref="DU23:DU40" si="38">IF(CV23="","",IF(DC23&gt;=0,MAX(BH23/2,BI23/2,DC23),DC23)/IF(OR(CU23="C",AND(CU23="M",$DD$1="N")),1,COS(DS23)))</x:f>
        <x:v/>
      </x:c>
      <x:c r="DV23" s="819" t="str">
        <x:f t="shared" ref="DV23:DV40" si="39">IF(CV23="","",(CV23+DU23+(VLOOKUP(IF(AU23="HDR","K",AU23),$DF$2:$DN$9,2,FALSE))*TAN(DS23))/COS(FD23)-FH23)</x:f>
        <x:v/>
      </x:c>
      <x:c r="DW23" s="1127" t="str">
        <x:f t="shared" ref="DW23:DW40" si="40">IF(CV23="","",MAX(0,IF(NOT(BQ23=""),CV23-BQ23,DV23-VLOOKUP(IF(AU23="HDR","K",AU23),$DF$2:$DN$9,4,FALSE))))</x:f>
        <x:v/>
      </x:c>
      <x:c r="DX23" s="1005">
        <x:f>IF(CV23="",0,IF(DW23/COS(FN23-FD23)&lt;0.0625,0,CEILING(DW23/COS(FN23-FD23)-0.03125,0.125)))</x:f>
        <x:v>0</x:v>
      </x:c>
      <x:c r="DY23" s="819">
        <x:f t="shared" ref="DY23:DY40" si="41">RADIANS(ABS(BY23))</x:f>
        <x:v>0</x:v>
      </x:c>
      <x:c r="DZ23" s="821">
        <x:f t="shared" ref="DZ23:DZ40" si="42">MIN(IF(BT23&gt;0,BT23/2,MAX(BU23/2,DM23)),IF(BU23&gt;0,BU23/2,MAX(BT23/2,DM23)),IF(DM23&gt;0,DM23,MAX(BU23/2,BT23/2)))/IF(OR(DE23="C",AND(DE23="M",$DD$1="N")),1,COS(DY23))</x:f>
        <x:v>0</x:v>
      </x:c>
      <x:c r="EA23" s="821" t="str">
        <x:f t="shared" ref="EA23:EA40" si="43">IF(DF23="","",IF(DM23&gt;=0,MAX(BT23/2,BU23/2,DM23),DM23)/IF(OR(DE23="C",AND(DE23="M",$DD$1="N")),1,COS(DY23)))</x:f>
        <x:v/>
      </x:c>
      <x:c r="EB23" s="819" t="str">
        <x:f>IF(DF23="","",(DF23+EA23+(VLOOKUP(IF(AU23="HDR","K",AU23),$DF$2:$DN$9,2,FALSE))*TAN(DY23))/COS(FI23)-FM23)</x:f>
        <x:v/>
      </x:c>
      <x:c r="EC23" s="1127" t="str">
        <x:f t="shared" ref="EC23:EC40" si="44">IF(DF23="","",MAX(0,IF(NOT(CC23=""),DF23-CC23,EB23-VLOOKUP(IF(AU23="HDR","K",AU23),$DF$2:$DN$9,4,FALSE))))</x:f>
        <x:v/>
      </x:c>
      <x:c r="ED23" s="1005">
        <x:f>IF(DF23="",0,IF(EC23/COS(FN23+FI23)&lt;0.0625,0,CEILING(EC23/COS(FN23+FI23)-0.03125,0.125)))</x:f>
        <x:v>0</x:v>
      </x:c>
      <x:c r="EE23" s="1292" t="str">
        <x:f t="shared" ref="EE23:EE40" si="45">IF(AND(EZ23="",DA23=""),"",IF(EZ23="ERR","ERR",IF(CU23="C",DA23,IF(BJ23="","",IF(DA23="",(EZ23/2)*-1,DA23)))))</x:f>
        <x:v/>
      </x:c>
      <x:c r="EF23" s="819" t="str">
        <x:f>IF(EE23="ERR","ERR",IF(EE23="","",IF(DB23*TAN(DS23)&lt;=(VLOOKUP(AU23,$DF$2:$DN$9,8,FALSE)-(VLOOKUP(AU23,$DF$2:$DN$9,7,FALSE)-0.0625)),CV23-(EE23-FH23)/IF(OR(CU23="C",AND(CU23="M",$DD$1="N")),1,COS(DS23))-IF(MID(CW23,1,1)="R",0,DW23),(ABS(EE23-FH23)/IF(OR(CU23="C",AND(CU23="M",$DD$1="N")),1,COS(DS23))+CV23)-((DB23/2)*TAN(DS23))-IF(MID(CW23,1,1)="R",0,DW23))))</x:f>
        <x:v/>
      </x:c>
      <x:c r="EG23" s="819" t="str">
        <x:f>IF(EE23="ERR","ERR",IF(EE23="","",IF(DB23*TAN(DS23)&lt;=(VLOOKUP(AU23,$DF$2:$DN$9,8,FALSE)-(VLOOKUP(AU23,$DF$2:$DN$9,7,FALSE)-0.0625)),CV23-(EE23-FH23)/IF(OR(CU23="C",AND(CU23="M",$DD$1="N")),1,COS(DS23))-IF(MID(CW23,1,1)="R",0,DW23),(ABS(EE23-FH23)/IF(OR(CU23="C",AND(CU23="M",$DD$1="N")),1,COS(DS23))+CV23)+((DB23/2)*TAN(DS23))-IF(MID(CW23,1,1)="R",0,DW23))))</x:f>
        <x:v/>
      </x:c>
      <x:c r="EH23" s="856" t="str">
        <x: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x:f>
        <x:v>ERR</x:v>
      </x:c>
      <x:c r="EI23" s="856" t="str">
        <x: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x:f>
        <x:v>ERR</x:v>
      </x:c>
      <x:c r="EJ23" s="819" t="str">
        <x:f t="shared" ref="EJ23:EK38" si="48">IF(ISERROR(EF23),"ERR",IF(EF23="","",IF(EH23="ERR","ERR",CEILING(EH23-0.0625,0.125))))</x:f>
        <x:v/>
      </x:c>
      <x:c r="EK23" s="819" t="str">
        <x:f t="shared" si="48"/>
        <x:v/>
      </x:c>
      <x:c r="EL23" s="1292" t="str">
        <x:f t="shared" ref="EL23:EL40" si="49">IF(AND(FC23="",DK23=""),"",IF(FC23="ERR","ERR",IF(DE23="C",DK23,IF(BV23="","",IF(DK23="",(FC23/2)*-1,DK23)))))</x:f>
        <x:v/>
      </x:c>
      <x:c r="EM23" s="819" t="str">
        <x:f>IF(EL23="ERR","ERR",IF(EL23="","",IF(DL23*TAN(DY23)&lt;=(VLOOKUP(AU23,$DF$2:$DN$9,8,FALSE)-(VLOOKUP(AU23,$DF$2:$DN$9,7,FALSE)-0.0625)),DF23-(EL23-FM23)/IF(OR(DE23="C",AND(DE23="M",$DD$1="N")),1,COS(DY23))-IF(MID(DG23,1,1)="R",0,EC23),(ABS(EL23-FM23)/IF(OR(DE23="C",AND(DE23="M",$DD$1="N")),1,COS(DY23))+DF23)-((DL23/2)*TAN(DY23))-IF(MID(DG23,1,1)="R",0,EC23))))</x:f>
        <x:v/>
      </x:c>
      <x:c r="EN23" s="819" t="str">
        <x:f>IF(EL23="ERR","ERR",IF(EL23="","",IF(DL23*TAN(DY23)&lt;=(VLOOKUP(AU23,$DF$2:$DN$9,8,FALSE)-(VLOOKUP(AU23,$DF$2:$DN$9,7,FALSE)-0.0625)),DF23-(EL23-FM23)/IF(OR(DE23="C",AND(DE23="M",$DD$1="N")),1,COS(DY23))-IF(MID(DG23,1,1)="R",0,EC23),(ABS(EL23-FM23)/IF(OR(DE23="C",AND(DE23="M",$DD$1="N")),1,COS(DY23))+DF23)+((DL23/2)*TAN(DY23))-IF(MID(DG23,1,1)="R",0,EC23))))</x:f>
        <x:v/>
      </x:c>
      <x:c r="EO23" s="856" t="str">
        <x: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x:f>
        <x:v>ERR</x:v>
      </x:c>
      <x:c r="EP23" s="856" t="str">
        <x: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x:f>
        <x:v>ERR</x:v>
      </x:c>
      <x:c r="EQ23" s="819" t="str">
        <x:f t="shared" ref="EQ23:ER40" si="52">IF(ISERROR(EM23),"ERR",IF(EM23="","",IF(EO23="ERR","ERR",CEILING(EO23-0.0625,0.125))))</x:f>
        <x:v/>
      </x:c>
      <x:c r="ER23" s="819" t="str">
        <x:f t="shared" si="52"/>
        <x:v/>
      </x:c>
      <x:c r="ES23" s="822" t="str">
        <x:f t="shared" ref="ES23:ES40" si="53">IF(OR(CY23="",AU23="JS",AU23="HDR",BO23=""),"",IF((CV23-CY23)/COS(DO23)-FS23&lt;=-0.0625,CEILING((CV23-CY23)/COS(DO23)-FS23+0.0625,-0.125),IF((CV23-CY23)/COS(DO23)-FS23&gt;=0.0625,CEILING((CV23-CY23)/COS(DO23)-FS23-0.0625,0.125),0)))</x:f>
        <x:v/>
      </x:c>
      <x:c r="ET23" s="822" t="str">
        <x:f t="shared" ref="ET23:ET40" si="54">IF(OR(DI23="",AU23="JS",AU23="HDR",CA23=""),"",IF((DF23-DI23)/COS(DO23)-FT23&lt;=-0.0625,CEILING((DF23-DI23)/COS(DO23)-FT23+0.0625,-0.125),IF((DF23-DI23)/COS(DO23)-FT23&gt;=0.0625,CEILING((DF23-DI23)/COS(DO23)-FT23-0.0625,0.125),0)))</x:f>
        <x:v/>
      </x:c>
      <x:c r="EU23" s="823">
        <x:f t="shared" ref="EU23:EU40" si="55">IF(AU23="","",VLOOKUP(AU23,$DF$2:$DN$9,6,FALSE))</x:f>
        <x:v>4</x:v>
      </x:c>
      <x:c r="EV23" s="824" t="str">
        <x:f>IF(AND(EK23="",ER23=""),"",IF(EK23="",DL23,IF(EQ23="",DB23,IF(DB23&lt;&gt;DL23,EU23,DB23))))</x:f>
        <x:v/>
      </x:c>
      <x:c r="EW23" s="823"/>
      <x:c r="EX23" s="823" t="str">
        <x:f>IF(AND(CU23="G", ISBLANK(BK23), ISBLANK(BL23)),VLOOKUP(MIN(BH23:BI23),TblJoistSize!$M$3:$N$10,2),IF(OR(CU23="B",CU23="G"),MIN(BK23:BL23),""))</x:f>
        <x:v/>
      </x:c>
      <x:c r="EY23" s="823" t="str">
        <x:f>IF(AND(CU23="G", ISBLANK(BK23), ISBLANK(BL23)),VLOOKUP(MAX(BH23:BI23),TblJoistSize!$M$3:$N$10,2),IF(OR(CU23="B",CU23="G"),MAX(BK23:BL23),""))</x:f>
        <x:v/>
      </x:c>
      <x:c r="EZ23" s="823" t="str">
        <x:f t="shared" ref="EZ23:EZ40" si="56">IF(BJ23="X",IF(OR(CU23="M",CU23="C"),"",IF((EY23-EX23)/2&lt;=(VLOOKUP(AU23,$DF$2:$DN$9,8,FALSE)-(VLOOKUP(AU23,$DF$2:$DN$9,7,FALSE)-0.0625)),(EX23+EY23)/2,"ERR")),"")</x:f>
        <x:v/>
      </x:c>
      <x:c r="FA23" s="823" t="str">
        <x:f>IF(AND(DE23="G", ISBLANK(BW23), ISBLANK(BX23)),VLOOKUP(MIN(BT23:BU23),TblJoistSize!$M$3:$N$10,2),IF(OR(DE23="B", DE23="G"),MIN(BW23:BX23),""))</x:f>
        <x:v/>
      </x:c>
      <x:c r="FB23" s="823" t="str">
        <x:f>IF(AND(DE23="G", ISBLANK(BW23), ISBLANK(BX23)),VLOOKUP(MAX(BT23:BU23),TblJoistSize!$M$3:$N$10,2),IF(OR(DE23="B", DE23="G"),MAX(BW23:BX23),""))</x:f>
        <x:v/>
      </x:c>
      <x:c r="FC23" s="823" t="str">
        <x:f t="shared" ref="FC23:FC40" si="57">IF(BV23="X",IF(OR(DE23="M",DE23="C"),"",IF((FB23-FA23)/2&lt;=(VLOOKUP(AU23,$DF$2:$DN$9,8,FALSE)-(VLOOKUP(AU23,$DF$2:$DN$9,7,FALSE)-0.0625)),(FA23+FB23)/2,"ERR")),"")</x:f>
        <x:v/>
      </x:c>
      <x:c r="FD23" s="819">
        <x:f t="shared" ref="FD23:FD40" si="58">IF(DD23="",0,ATAN(DD23/12))</x:f>
        <x:v>0</x:v>
      </x:c>
      <x:c r="FE23" s="819">
        <x:f t="shared" ref="FE23:FE40" si="59">DO23-FD23</x:f>
        <x:v>0</x:v>
      </x:c>
      <x:c r="FF23" s="820">
        <x:f t="shared" ref="FF23:FF40" si="60">TAN(FE23)*12</x:f>
        <x:v>0</x:v>
      </x:c>
      <x:c r="FG23" s="820" t="str">
        <x:f t="shared" ref="FG23:FG40" si="61">IF(FF23=0,"",IF(ABS(FF23)&lt;$CX$2,IF(AND(ABS(MIN(DV23,FQ23)/12*FF23)&gt;$DD$2,FF23&gt;0),IF(FF23&gt;0,CEILING(FF23-0.0625,0.125),CEILING(FF23+0.0625,-0.125)),""),IF(FF23&gt;0,CEILING(FF23-0.0625,0.125),CEILING(FF23+0.0625,-0.125))))</x:f>
        <x:v/>
      </x:c>
      <x:c r="FH23" s="819" t="str">
        <x:f t="shared" ref="FH23:FH40" si="62">IF(CX23="","",CX23*TAN(FD23))</x:f>
        <x:v/>
      </x:c>
      <x:c r="FI23" s="819">
        <x:f t="shared" ref="FI23:FI40" si="63">IF(DN23="",0,ATAN(DN23/12))</x:f>
        <x:v>0</x:v>
      </x:c>
      <x:c r="FJ23" s="819">
        <x:f t="shared" ref="FJ23:FJ40" si="64">DO23+FI23</x:f>
        <x:v>0</x:v>
      </x:c>
      <x:c r="FK23" s="820">
        <x:f t="shared" ref="FK23:FK40" si="65">TAN(FJ23)*-12</x:f>
        <x:v>0</x:v>
      </x:c>
      <x:c r="FL23" s="820" t="str">
        <x:f t="shared" ref="FL23:FL40" si="66">IF(FK23=0,"",IF(ABS(FK23)&lt;$CX$2,IF(AND(ABS(MIN(EB23,FR23)/12*FK23)&gt;$DD$2,FK23&gt;0),IF(FK23&gt;0,CEILING(FK23-0.0625,0.125),CEILING(FK23+0.0625,-0.125)),""),IF(FK23&gt;0,CEILING(FK23-0.0625,0.125),CEILING(FK23+0.0625,-0.125))))</x:f>
        <x:v/>
      </x:c>
      <x:c r="FM23" s="819" t="str">
        <x:f t="shared" ref="FM23:FM40" si="67">IF(DH23="","",DH23*TAN(FI23))</x:f>
        <x:v/>
      </x:c>
      <x:c r="FN23" s="819" t="e">
        <x:f t="shared" ref="FN23:FN40" si="68">IF(((BE23*12+BF23)+CV23+DF23)/COS(DO23)-((BE23*12+BF23)+CV23+DF23)&lt;$DB$2,0,DO23)</x:f>
        <x:v>#VALUE!</x:v>
      </x:c>
      <x:c r="FO23" s="1386" t="e">
        <x:f t="shared" ref="FO23:FO40" si="69">MIN(IF(BH23&gt;0,BH23/2,MAX(BI23/2,DC23)),IF(BI23&gt;0,BI23/2,MAX(BH23/2,DC23)),IF(DC23&gt;0,DC23,MAX(BI23/2,BH23/2)))/COS(DS23)+CV23-DW23-FH23</x:f>
        <x:v>#VALUE!</x:v>
      </x:c>
      <x:c r="FP23" s="1386" t="e">
        <x:f t="shared" ref="FP23:FP40" si="70">MIN(IF(BT23&gt;0,BT23/2,MAX(BU23/2,DM23)),IF(BU23&gt;0,BU23/2,MAX(BT23/2,DM23)),IF(DM23&gt;0,DM23,MAX(BU23/2,BT23/2)))/COS(DY23)+DF23-EC23-FM23</x:f>
        <x:v>#VALUE!</x:v>
      </x:c>
      <x:c r="FQ23" s="825" t="e">
        <x:f t="shared" ref="FQ23:FQ40" si="71">IF(OR(CU23="B",CU23="G"),MAX(BH23,BI23),IF(CU23="M",12,DC23+CV23))</x:f>
        <x:v>#VALUE!</x:v>
      </x:c>
      <x:c r="FR23" s="826" t="e">
        <x:f t="shared" ref="FR23:FR40" si="72">IF(OR(DE23="B",DE23="G"),MAX(BT23,BU23),IF(DE23="M",12,DM23+DF23))</x:f>
        <x:v>#VALUE!</x:v>
      </x:c>
      <x:c r="FS23" s="827" t="str">
        <x:f t="shared" ref="FS23:FS40" si="73">IF(CY23="","",IF(ABS(CE23*((AJ23-IF(CE23&gt;0,VLOOKUP(AU23,$DF$2:$DN$9,9,FALSE),0))/12))&gt;$CZ$2,CE23*((AJ23-IF(CE23&gt;0,VLOOKUP(AU23,$DF$2:$DN$9,9,FALSE),0))/12),0))</x:f>
        <x:v/>
      </x:c>
      <x:c r="FT23" s="828" t="str">
        <x:f t="shared" ref="FT23:FT40" si="74">IF(DI23="","",IF(ABS(CE23*((AJ23-IF(CE23&lt;0,VLOOKUP(AU23,$DF$2:$DN$9,9,FALSE),0))/12))&gt;$CZ$2,CE23*((AJ23-IF(CE23&lt;0,VLOOKUP(AU23,$DF$2:$DN$9,9,FALSE),0))/12)*-1,0))</x:f>
        <x:v/>
      </x:c>
      <x:c r="FU23" s="1009">
        <x:f t="shared" ref="FU23:FU40" si="75">IF(CX23="",0,MAX(0,MIN(DV23-VLOOKUP(AU23,DF$2:DN$9,4,FALSE),(MAX(0,CX23-VLOOKUP(AU23,DF$2:DN$9,3,FALSE))+VLOOKUP(AU23,DF$2:DN$9,4,FALSE))*COS(DO23)+((MAX(0,CX23-VLOOKUP(AU23,DF$2:DN$9,3,FALSE))+VLOOKUP(AU23,DF$2:DN$9,4,FALSE))*COS(PI()/2-DO23))/TAN(PI()/2-(DO23+PI()/4))-VLOOKUP(AU23,DF$2:DN$9,4,FALSE))))</x:f>
        <x:v>0</x:v>
      </x:c>
      <x:c r="FV23" s="1010">
        <x:f t="shared" ref="FV23:FV40" si="76">IF(DH23="",0,MAX(0,MIN(EB23-VLOOKUP(AU23,DF$2:DN$9,4,FALSE),(MAX(0,DH23-VLOOKUP(AU23,DF$2:DN$9,3,FALSE))+VLOOKUP(AU23,DF$2:DN$9,4,FALSE))*COS(DO23)+((MAX(0,DH23-VLOOKUP(AU23,DF$2:DN$9,3,FALSE))+VLOOKUP(AU23,DF$2:DN$9,4,FALSE))*COS(PI()/2-DO23))/TAN(PI()/2-(DO23+PI()/4))-VLOOKUP(AU23,DF$2:DN$9,4,FALSE))))</x:f>
        <x:v>0</x:v>
      </x:c>
      <x:c r="GA23" s="1791">
        <x:v>40</x:v>
      </x:c>
      <x:c r="GB23" s="1792">
        <x:v>0.75</x:v>
      </x:c>
      <x:c r="GC23" s="1793">
        <x:v>-0.25</x:v>
      </x:c>
      <x:c r="GD23" s="1794">
        <x:v>-0.5</x:v>
      </x:c>
      <x:c r="GE23" s="1795">
        <x:f t="shared" ref="GE23:GE40" si="77">IF(GF23="","",IF(ISBLANK(CE23),IF(Y23=Z23,0,MAX(ABS(Y23),ABS(Z23))*IF(Y23&lt;0,-1,1)),CE23))</x:f>
        <x:v>0</x:v>
      </x:c>
      <x:c r="GF23" s="600" t="str">
        <x:f t="shared" ref="GF23:GF40" si="78">IF(A23=0,"",A23)</x:f>
        <x:v>J1</x:v>
      </x:c>
      <x:c r="GG23" s="1130">
        <x:v>0</x:v>
      </x:c>
      <x:c r="GH23" s="1131">
        <x:v>0</x:v>
      </x:c>
      <x:c r="GI23" s="1130"/>
      <x:c r="GJ23" s="1131"/>
      <x:c r="GK23" s="1636">
        <x:f t="shared" ref="GK23:GK40" si="79">IF(D23="",0,D23*12+E23)</x:f>
        <x:v>480</x:v>
      </x:c>
      <x:c r="GL23" s="1636">
        <x:f t="shared" ref="GL23:GL40" si="80">(GA23*12+GB23+GC23+GD23)/COS(ATAN(ABS(GE23/12)))</x:f>
        <x:v>480</x:v>
      </x:c>
      <x:c r="GM23" s="1637">
        <x:f>IF(ABS(GK23-GL23)&gt;='Job Info.'!$L$22,ABS(GK23-GL23),0)</x:f>
        <x:v>0</x:v>
      </x:c>
      <x:c r="GZ23" s="415"/>
      <x:c r="HA23" s="1269" t="s">
        <x:v>1431</x:v>
      </x:c>
      <x:c r="HB23" s="1270">
        <x:v>2</x:v>
      </x:c>
      <x:c r="HC23" s="1270" t="s">
        <x:v>1592</x:v>
      </x:c>
      <x:c r="HD23" s="1271">
        <x:v>40</x:v>
      </x:c>
      <x:c r="HE23" s="1272">
        <x:v>0</x:v>
      </x:c>
      <x:c r="HF23" s="1270" t="s">
        <x:v>116</x:v>
      </x:c>
      <x:c r="HG23" s="1270" t="s">
        <x:v>116</x:v>
      </x:c>
      <x:c r="HH23" s="1270" t="s">
        <x:v>116</x:v>
      </x:c>
      <x:c r="HI23" s="1273" t="s">
        <x:v>116</x:v>
      </x:c>
      <x:c r="HJ23" s="1270" t="s">
        <x:v>116</x:v>
      </x:c>
      <x:c r="HK23" s="1270" t="s">
        <x:v>116</x:v>
      </x:c>
      <x:c r="HL23" s="1270">
        <x:v>5</x:v>
      </x:c>
      <x:c r="HM23" s="1270">
        <x:v>5</x:v>
      </x:c>
      <x:c r="HN23" s="1270" t="s">
        <x:v>116</x:v>
      </x:c>
      <x:c r="HO23" s="1270" t="s">
        <x:v>116</x:v>
      </x:c>
      <x:c r="HP23" s="1270" t="s">
        <x:v>116</x:v>
      </x:c>
      <x:c r="HQ23" s="1273" t="s">
        <x:v>116</x:v>
      </x:c>
      <x:c r="HR23" s="1270" t="s">
        <x:v>116</x:v>
      </x:c>
      <x:c r="HS23" s="1270" t="s">
        <x:v>116</x:v>
      </x:c>
      <x:c r="HT23" s="1270">
        <x:v>0</x:v>
      </x:c>
      <x:c r="HU23" s="1270">
        <x:v>2.25</x:v>
      </x:c>
      <x:c r="HV23" s="1270">
        <x:v>0</x:v>
      </x:c>
      <x:c r="HW23" s="1272">
        <x:v>2</x:v>
      </x:c>
      <x:c r="HX23" s="1272">
        <x:v>4</x:v>
      </x:c>
      <x:c r="HY23" s="1272" t="s">
        <x:v>116</x:v>
      </x:c>
      <x:c r="HZ23" s="1272" t="s">
        <x:v>116</x:v>
      </x:c>
      <x:c r="IA23" s="1272" t="s">
        <x:v>1646</x:v>
      </x:c>
      <x:c r="IB23" s="1272"/>
      <x:c r="IC23" s="1272"/>
      <x:c r="ID23" s="1272"/>
      <x:c r="IE23" s="1272"/>
      <x:c r="IF23" s="1274"/>
    </x:row>
    <x:row r="24" spans="1:240" ht="12.6" customHeight="1" x14ac:dyDescent="0.25">
      <x:c r="A24" s="2764" t="s">
        <x:v>1432</x:v>
      </x:c>
      <x:c r="B24" s="2765">
        <x:v>2</x:v>
      </x:c>
      <x:c r="C24" s="2766" t="s">
        <x:v>1592</x:v>
      </x:c>
      <x:c r="D24" s="2767">
        <x:v>40</x:v>
      </x:c>
      <x:c r="E24" s="2841">
        <x:v>0</x:v>
      </x:c>
      <x:c r="F24" s="2770" t="str">
        <x:f>IF(DX24=0,"",TRUNC(DX24/12))</x:f>
        <x:v/>
      </x:c>
      <x:c r="G24" s="2771" t="str">
        <x:f>IF(DX24=0,"",DX24-(F24*12))</x:f>
        <x:v/>
      </x:c>
      <x:c r="H24" s="2842" t="str">
        <x:f>IF(DX24=0,"",CW24)</x:f>
        <x:v/>
      </x:c>
      <x:c r="I24" s="2767" t="str">
        <x:f>IF(ED24=0,"",TRUNC(ED24/12))</x:f>
        <x:v/>
      </x:c>
      <x:c r="J24" s="2771" t="str">
        <x:f>IF(ED24=0,"",ED24-(I24*12))</x:f>
        <x:v/>
      </x:c>
      <x:c r="K24" s="2843" t="str">
        <x:f>IF(ED24=0,"",DG24)</x:f>
        <x:v/>
      </x:c>
      <x:c r="L24" s="2774">
        <x:v>5</x:v>
      </x:c>
      <x:c r="M24" s="2775">
        <x:v>5</x:v>
      </x:c>
      <x:c r="N24" s="2770" t="str">
        <x:f>IF(ES24="","",IF(AND(ES24&lt;0,ES24&gt;-12),TRUNC(ES24/12)-0.0000001,TRUNC(ES24/12)))</x:f>
        <x:v/>
      </x:c>
      <x:c r="O24" s="2771" t="str">
        <x:f>IF(ES24="","",IF(AND(ES24-(N24*12)=0,ES24&lt;0),-0.000001,ES24-(N24*12)))</x:f>
        <x:v/>
      </x:c>
      <x:c r="P24" s="2772" t="str">
        <x:f>IF(ES24="","",IF(OR(CW24="Q",CW24="C"),3,CZ24))</x:f>
        <x:v/>
      </x:c>
      <x:c r="Q24" s="2767" t="str">
        <x:f>IF(ET24="","",IF(AND(ET24&lt;0,ET24&gt;-12),TRUNC(ET24/12)-0.0000001,TRUNC(ET24/12)))</x:f>
        <x:v/>
      </x:c>
      <x:c r="R24" s="2771" t="str">
        <x:f>IF(ET24="","",IF(AND(ET24-(Q24*12)=0,ET24&lt;0),-0.000001,ET24-(Q24*12)))</x:f>
        <x:v/>
      </x:c>
      <x:c r="S24" s="2819" t="str">
        <x:f>IF(ET24="","",IF(OR(DG24="Q",DG24="C"),3,DJ24))</x:f>
        <x:v/>
      </x:c>
      <x:c r="T24" s="2770">
        <x:v>0</x:v>
      </x:c>
      <x:c r="U24" s="2771">
        <x:v>2.25</x:v>
      </x:c>
      <x:c r="V24" s="2767">
        <x:v>0</x:v>
      </x:c>
      <x:c r="W24" s="2771">
        <x:v>2</x:v>
      </x:c>
      <x:c r="X24" s="2816">
        <x:v>4</x:v>
      </x:c>
      <x:c r="Y24" s="2844" t="str">
        <x:f>FG24</x:f>
        <x:v/>
      </x:c>
      <x:c r="Z24" s="2845" t="str">
        <x:f>FL24</x:f>
        <x:v/>
      </x:c>
      <x:c r="AA24" s="2846" t="s">
        <x:v>1647</x:v>
      </x:c>
      <x:c r="AB24" s="1413"/>
      <x:c r="AC24" s="964" t="b">
        <x:v>0</x:v>
      </x:c>
      <x:c r="AD24" s="441">
        <x:f t="shared" si="1"/>
        <x:v>0</x:v>
      </x:c>
      <x:c r="AE24" s="442">
        <x:f t="shared" si="2"/>
        <x:v>2</x:v>
      </x:c>
      <x:c r="AF24" s="442">
        <x:f t="shared" si="3"/>
        <x:v>0</x:v>
      </x:c>
      <x:c r="AG24" s="442">
        <x:f t="shared" si="4"/>
        <x:v>0</x:v>
      </x:c>
      <x:c r="AH24" s="443">
        <x:f t="shared" si="5"/>
        <x:v>0</x:v>
      </x:c>
      <x:c r="AI24" s="444" t="b">
        <x:v>0</x:v>
      </x:c>
      <x:c r="AJ24" s="238">
        <x:f>IF(OR(ISERROR(VALUE(LEFT(C24,SEARCH(AK24,C24)-1))),AK24=""),0,VALUE(LEFT(C24,SEARCH(AK24,C24)-1)))</x:f>
        <x:v>32</x:v>
      </x:c>
      <x:c r="AK24" s="238" t="str">
        <x:f t="shared" si="6"/>
        <x:v>LH</x:v>
      </x:c>
      <x:c r="AL24" s="1290" t="str">
        <x:f t="shared" si="7"/>
        <x:v/>
      </x:c>
      <x:c r="AM24" s="238">
        <x:f t="shared" si="8"/>
        <x:v>305</x:v>
      </x:c>
      <x:c r="AN24" s="238">
        <x:f t="shared" si="9"/>
        <x:v>180</x:v>
      </x:c>
      <x:c r="AO24" s="238" t="str">
        <x:f t="shared" si="10"/>
        <x:v/>
      </x:c>
      <x:c r="AP24" s="830" t="b">
        <x:f>IF(ISERROR(AJ24),FALSE,IF(OR(AJ24=0,ISERROR(AL24),ISERROR(AM24),ISERROR(AN24),ISERROR(AO24)),FALSE,IF(AL24&lt;&gt;"",IF(ISERROR(VLOOKUP(SUBSTITUTE(SUBSTITUTE(C24,"R",""),"A",""),TblJoistSize!$A:$A,1,FALSE)),FALSE,TRUE),TRUE)))</x:f>
        <x:v>1</x:v>
      </x:c>
      <x:c r="AQ24" s="1038">
        <x:f t="shared" si="11"/>
        <x:v>6</x:v>
      </x:c>
      <x:c r="AR24" s="945" t="b">
        <x:f>IF(IF(ISNUMBER(T24),T24*12,0)+IF(ISNUMBER(U24),U24,0)&gt;0,IF(AND(IF(ISNUMBER(T24),T24*12,0)+IF(ISNUMBER(U24),U24,0)&gt;=VLOOKUP(AU24,$DF$2:$DN$9,8,FALSE)/2+$DQ$2,IF(ISNUMBER(T24),T24*12,0)+IF(ISNUMBER(U24),U24,0)&lt;=(AQ24-(VLOOKUP(AU24,$DF$2:$DN$9,8,FALSE)/2+$DQ$2))+IF(H24="X",2,0)),TRUE,FALSE),FALSE)</x:f>
        <x:v>1</x:v>
      </x:c>
      <x:c r="AS24" s="1038">
        <x:f t="shared" si="12"/>
        <x:v>6</x:v>
      </x:c>
      <x:c r="AT24" s="945" t="b">
        <x:f>IF(IF(ISNUMBER(V24),V24*12,0)+IF(ISNUMBER(W24),W24,0)&gt;0,IF(AND((IF(ISNUMBER(V24),V24*12,0)+IF(ISNUMBER(W24),W24,0))&gt;=VLOOKUP(AU24,$DF$2:$DN$9,8,FALSE)/2+$DQ$2,(IF(ISNUMBER(V24),V24*12,0)+IF(ISNUMBER(W24),W24,0))&lt;=(AS24-(VLOOKUP(AU24,$DF$2:$DN$9,8,FALSE)/2+$DQ$2))+IF(K24="X",2,0)),TRUE,FALSE),FALSE)</x:f>
        <x:v>1</x:v>
      </x:c>
      <x:c r="AU24" s="1291" t="str">
        <x:f t="shared" si="13"/>
        <x:v>LH</x:v>
      </x:c>
      <x:c r="AV24" s="830" t="str">
        <x:f t="shared" si="14"/>
        <x:v/>
      </x:c>
      <x:c r="AW24" s="830" t="str">
        <x:f t="shared" ref="AW24:AW40" si="81">IF(NOT(ISERROR(SEARCH("HDR",C24))),"HDR",IF(NOT(ISERROR(SEARCH("JS",C24))),"JS",IF(NOT(ISERROR(SEARCH("SLH",C24))),"SLH",IF(NOT(ISERROR(SEARCH("DLH",C24))),"DLH",IF(NOT(ISERROR(SEARCH("LH",C24))),"LH","")))))</x:f>
        <x:v>LH</x:v>
      </x:c>
      <x:c r="AX24" s="830" t="str">
        <x:f>IF(AND(OR(ISBLANK(A24),A24=""),AA24&lt;&gt;""),AX23,IF(OR(ISBLANK(A24),A24=""),"",A24))</x:f>
        <x:v>J2</x:v>
      </x:c>
      <x:c r="AY24" s="464" t="b">
        <x:f t="shared" si="15"/>
        <x:v>0</x:v>
      </x:c>
      <x:c r="AZ24" s="856" t="b">
        <x:f t="shared" ref="AZ24:AZ40" si="82">IF(AND(NOT(ISERROR(AJ24)),AJ24&gt;0),((IF(D24="",0,D24)*12+IF(E24="",0,E24))-(IF(F24="",0,F24)*12+IF(G24="",0,G24))-(IF(I24="",0,I24)*12+IF(J24="",0,J24)))&gt;AJ24*24,"")</x:f>
        <x:v>0</x:v>
      </x:c>
      <x:c r="BA24" s="549"/>
      <x:c r="BB24" s="672"/>
      <x:c r="BC24" s="1684"/>
      <x:c r="BD24" s="733"/>
      <x:c r="BE24" s="734"/>
      <x:c r="BF24" s="735"/>
      <x:c r="BG24" s="672"/>
      <x:c r="BH24" s="982"/>
      <x:c r="BI24" s="983"/>
      <x:c r="BJ24" s="1625"/>
      <x:c r="BK24" s="982"/>
      <x:c r="BL24" s="983"/>
      <x:c r="BM24" s="1569"/>
      <x:c r="BN24" s="1570"/>
      <x:c r="BO24" s="1617" t="str">
        <x:f>IF(ISERROR(CU24),"",IF(CU24="","",IF(VLOOKUP(BG24,SectInfo!$B:$N,10,FALSE)="","","X")))</x:f>
        <x:v/>
      </x:c>
      <x:c r="BP24" s="1561"/>
      <x:c r="BQ24" s="1562" t="str">
        <x:f t="shared" si="16"/>
        <x:v/>
      </x:c>
      <x:c r="BR24" s="1563"/>
      <x:c r="BS24" s="672"/>
      <x:c r="BT24" s="982"/>
      <x:c r="BU24" s="983"/>
      <x:c r="BV24" s="1625"/>
      <x:c r="BW24" s="982"/>
      <x:c r="BX24" s="983"/>
      <x:c r="BY24" s="1569"/>
      <x:c r="BZ24" s="1570"/>
      <x:c r="CA24" s="1617" t="str">
        <x:f>IF(ISERROR(DE24),"",IF(DE24="","",IF(VLOOKUP(BS24,SectInfo!$B:$N,10,FALSE)="","","X")))</x:f>
        <x:v/>
      </x:c>
      <x:c r="CB24" s="1561"/>
      <x:c r="CC24" s="1562" t="str">
        <x:f t="shared" si="17"/>
        <x:v/>
      </x:c>
      <x:c r="CD24" s="1563"/>
      <x:c r="CE24" s="1574"/>
      <x:c r="CF24" s="736"/>
      <x:c r="CG24" s="737"/>
      <x:c r="CH24" s="643" t="str">
        <x:f t="shared" si="18"/>
        <x:v/>
      </x:c>
      <x:c r="CI24" s="644" t="str">
        <x:f t="shared" si="19"/>
        <x:v/>
      </x:c>
      <x:c r="CJ24" s="645" t="str">
        <x:f t="shared" si="20"/>
        <x:v/>
      </x:c>
      <x:c r="CK24" s="852" t="str">
        <x:f t="shared" si="21"/>
        <x:v/>
      </x:c>
      <x:c r="CL24" s="847" t="str">
        <x:f t="shared" si="22"/>
        <x:v/>
      </x:c>
      <x:c r="CM24" s="848" t="str">
        <x:f t="shared" si="23"/>
        <x:v/>
      </x:c>
      <x:c r="CN24" s="611" t="str">
        <x:f t="shared" si="24"/>
        <x:v/>
      </x:c>
      <x:c r="CO24" s="612" t="str">
        <x:f t="shared" si="25"/>
        <x:v/>
      </x:c>
      <x:c r="CP24" s="615" t="str">
        <x:f t="shared" si="26"/>
        <x:v/>
      </x:c>
      <x:c r="CQ24" s="616" t="str">
        <x:f t="shared" si="27"/>
        <x:v/>
      </x:c>
      <x:c r="CR24" s="750">
        <x:f t="shared" si="28"/>
        <x:v>5</x:v>
      </x:c>
      <x:c r="CS24" s="751">
        <x:f t="shared" si="29"/>
        <x:v>5</x:v>
      </x:c>
      <x:c r="CU24" s="114" t="str">
        <x:f>IF(BG24="","",VLOOKUP(BG24,SectInfo!$B:$N,12,FALSE))</x:f>
        <x:v/>
      </x:c>
      <x:c r="CV24" s="115" t="str">
        <x:f>IF(BG24="","",IF(ISBLANK(BP24),VLOOKUP(BG24,SectInfo!$B:$N,13,FALSE),BP24))</x:f>
        <x:v/>
      </x:c>
      <x:c r="CW24" s="1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1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30"/>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31"/>
        <x:v>0</x:v>
      </x:c>
      <x:c r="DO24" s="818">
        <x:f t="shared" si="32"/>
        <x:v>0</x:v>
      </x:c>
      <x:c r="DP24" s="822" t="str">
        <x:f t="shared" si="33"/>
        <x:v/>
      </x:c>
      <x:c r="DQ24" s="822" t="str">
        <x:f t="shared" si="34"/>
        <x:v/>
      </x:c>
      <x:c r="DR24" s="822" t="str">
        <x:f t="shared" si="35"/>
        <x:v/>
      </x:c>
      <x:c r="DS24" s="821">
        <x:f t="shared" si="36"/>
        <x:v>0</x:v>
      </x:c>
      <x:c r="DT24" s="821">
        <x:f t="shared" si="37"/>
        <x:v>0</x:v>
      </x:c>
      <x:c r="DU24" s="821" t="str">
        <x:f t="shared" si="38"/>
        <x:v/>
      </x:c>
      <x:c r="DV24" s="822" t="str">
        <x:f t="shared" si="39"/>
        <x:v/>
      </x:c>
      <x:c r="DW24" s="856" t="str">
        <x:f t="shared" si="40"/>
        <x:v/>
      </x:c>
      <x:c r="DX24" s="1006">
        <x:f>IF(CV24="",0,IF(DW24/COS(FN24-FD24)&lt;0.0625,0,CEILING(DW24/COS(FN24-FD24)-0.03125,0.125)))</x:f>
        <x:v>0</x:v>
      </x:c>
      <x:c r="DY24" s="822">
        <x:f t="shared" si="41"/>
        <x:v>0</x:v>
      </x:c>
      <x:c r="DZ24" s="821">
        <x:f t="shared" si="42"/>
        <x:v>0</x:v>
      </x:c>
      <x:c r="EA24" s="821" t="str">
        <x:f t="shared" si="43"/>
        <x:v/>
      </x:c>
      <x:c r="EB24" s="822" t="str">
        <x:f>IF(DF24="","",(DF24+EA24+(VLOOKUP(IF(AU24="HDR","K",AU24),$DF$2:$DN$9,2,FALSE))*TAN(DY24))/COS(FI24)-FM24)</x:f>
        <x:v/>
      </x:c>
      <x:c r="EC24" s="856" t="str">
        <x:f t="shared" si="44"/>
        <x:v/>
      </x:c>
      <x:c r="ED24" s="1006">
        <x:f>IF(DF24="",0,IF(EC24/COS(FN24+FI24)&lt;0.0625,0,CEILING(EC24/COS(FN24+FI24)-0.03125,0.125)))</x:f>
        <x:v>0</x:v>
      </x:c>
      <x:c r="EE24" s="1293" t="str">
        <x:f t="shared" si="45"/>
        <x:v/>
      </x:c>
      <x:c r="EF24" s="822" t="str">
        <x:f>IF(EE24="ERR","ERR",IF(EE24="","",IF(DB24*TAN(DS24)&lt;=(VLOOKUP(AU24,$DF$2:$DN$9,8,FALSE)-(VLOOKUP(AU24,$DF$2:$DN$9,7,FALSE)-0.0625)),CV24-(EE24-FH24)/IF(OR(CU24="C",AND(CU24="M",$DD$1="N")),1,COS(DS24))-IF(MID(CW24,1,1)="R",0,DW24),(ABS(EE24-FH24)/IF(OR(CU24="C",AND(CU24="M",$DD$1="N")),1,COS(DS24))+CV24)-((DB24/2)*TAN(DS24))-IF(MID(CW24,1,1)="R",0,DW24))))</x:f>
        <x:v/>
      </x:c>
      <x:c r="EG24" s="822" t="str">
        <x:f>IF(EE24="ERR","ERR",IF(EE24="","",IF(DB24*TAN(DS24)&lt;=(VLOOKUP(AU24,$DF$2:$DN$9,8,FALSE)-(VLOOKUP(AU24,$DF$2:$DN$9,7,FALSE)-0.0625)),CV24-(EE24-FH24)/IF(OR(CU24="C",AND(CU24="M",$DD$1="N")),1,COS(DS24))-IF(MID(CW24,1,1)="R",0,DW24),(ABS(EE24-FH24)/IF(OR(CU24="C",AND(CU24="M",$DD$1="N")),1,COS(DS24))+CV24)+((DB24/2)*TAN(DS24))-IF(MID(CW24,1,1)="R",0,DW24))))</x:f>
        <x:v/>
      </x:c>
      <x:c r="EH24" s="856" t="str">
        <x:f t="shared" si="46"/>
        <x:v>ERR</x:v>
      </x:c>
      <x:c r="EI24" s="856" t="str">
        <x:f t="shared" si="47"/>
        <x:v>ERR</x:v>
      </x:c>
      <x:c r="EJ24" s="822" t="str">
        <x:f t="shared" si="48"/>
        <x:v/>
      </x:c>
      <x:c r="EK24" s="822" t="str">
        <x:f t="shared" si="48"/>
        <x:v/>
      </x:c>
      <x:c r="EL24" s="1293" t="str">
        <x:f t="shared" si="49"/>
        <x:v/>
      </x:c>
      <x:c r="EM24" s="822" t="str">
        <x:f>IF(EL24="ERR","ERR",IF(EL24="","",IF(DL24*TAN(DY24)&lt;=(VLOOKUP(AU24,$DF$2:$DN$9,8,FALSE)-(VLOOKUP(AU24,$DF$2:$DN$9,7,FALSE)-0.0625)),DF24-(EL24-FM24)/IF(OR(DE24="C",AND(DE24="M",$DD$1="N")),1,COS(DY24))-IF(MID(DG24,1,1)="R",0,EC24),(ABS(EL24-FM24)/IF(OR(DE24="C",AND(DE24="M",$DD$1="N")),1,COS(DY24))+DF24)-((DL24/2)*TAN(DY24))-IF(MID(DG24,1,1)="R",0,EC24))))</x:f>
        <x:v/>
      </x:c>
      <x:c r="EN24" s="822" t="str">
        <x:f>IF(EL24="ERR","ERR",IF(EL24="","",IF(DL24*TAN(DY24)&lt;=(VLOOKUP(AU24,$DF$2:$DN$9,8,FALSE)-(VLOOKUP(AU24,$DF$2:$DN$9,7,FALSE)-0.0625)),DF24-(EL24-FM24)/IF(OR(DE24="C",AND(DE24="M",$DD$1="N")),1,COS(DY24))-IF(MID(DG24,1,1)="R",0,EC24),(ABS(EL24-FM24)/IF(OR(DE24="C",AND(DE24="M",$DD$1="N")),1,COS(DY24))+DF24)+((DL24/2)*TAN(DY24))-IF(MID(DG24,1,1)="R",0,EC24))))</x:f>
        <x:v/>
      </x:c>
      <x:c r="EO24" s="856" t="str">
        <x:f t="shared" si="50"/>
        <x:v>ERR</x:v>
      </x:c>
      <x:c r="EP24" s="856" t="str">
        <x:f t="shared" si="51"/>
        <x:v>ERR</x:v>
      </x:c>
      <x:c r="EQ24" s="822" t="str">
        <x:f t="shared" si="52"/>
        <x:v/>
      </x:c>
      <x:c r="ER24" s="822" t="str">
        <x:f t="shared" si="52"/>
        <x:v/>
      </x:c>
      <x:c r="ES24" s="822" t="str">
        <x:f t="shared" si="53"/>
        <x:v/>
      </x:c>
      <x:c r="ET24" s="822" t="str">
        <x:f t="shared" si="54"/>
        <x:v/>
      </x:c>
      <x:c r="EU24" s="829">
        <x:f t="shared" si="55"/>
        <x:v>4</x:v>
      </x:c>
      <x:c r="EV24" s="824" t="str">
        <x:f>IF(AND(EK24="",ER24=""),"",IF(EK24="",DL24,IF(EQ24="",DB24,IF(DB24&lt;&gt;DL24,EU24,DB24))))</x:f>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56"/>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57"/>
        <x:v/>
      </x:c>
      <x:c r="FD24" s="822">
        <x:f t="shared" si="58"/>
        <x:v>0</x:v>
      </x:c>
      <x:c r="FE24" s="822">
        <x:f t="shared" si="59"/>
        <x:v>0</x:v>
      </x:c>
      <x:c r="FF24" s="821">
        <x:f t="shared" si="60"/>
        <x:v>0</x:v>
      </x:c>
      <x:c r="FG24" s="821" t="str">
        <x:f t="shared" si="61"/>
        <x:v/>
      </x:c>
      <x:c r="FH24" s="822" t="str">
        <x:f t="shared" si="62"/>
        <x:v/>
      </x:c>
      <x:c r="FI24" s="822">
        <x:f t="shared" si="63"/>
        <x:v>0</x:v>
      </x:c>
      <x:c r="FJ24" s="822">
        <x:f t="shared" si="64"/>
        <x:v>0</x:v>
      </x:c>
      <x:c r="FK24" s="821">
        <x:f t="shared" si="65"/>
        <x:v>0</x:v>
      </x:c>
      <x:c r="FL24" s="821" t="str">
        <x:f t="shared" si="66"/>
        <x:v/>
      </x:c>
      <x:c r="FM24" s="822" t="str">
        <x:f t="shared" si="67"/>
        <x:v/>
      </x:c>
      <x:c r="FN24" s="822" t="e">
        <x:f t="shared" si="68"/>
        <x:v>#VALUE!</x:v>
      </x:c>
      <x:c r="FO24" s="940" t="e">
        <x:f t="shared" si="69"/>
        <x:v>#VALUE!</x:v>
      </x:c>
      <x:c r="FP24" s="940" t="e">
        <x:f t="shared" si="70"/>
        <x:v>#VALUE!</x:v>
      </x:c>
      <x:c r="FQ24" s="830" t="e">
        <x:f t="shared" si="71"/>
        <x:v>#VALUE!</x:v>
      </x:c>
      <x:c r="FR24" s="831" t="e">
        <x:f t="shared" si="72"/>
        <x:v>#VALUE!</x:v>
      </x:c>
      <x:c r="FS24" s="832" t="str">
        <x:f t="shared" si="73"/>
        <x:v/>
      </x:c>
      <x:c r="FT24" s="833" t="str">
        <x:f t="shared" si="74"/>
        <x:v/>
      </x:c>
      <x:c r="FU24" s="870">
        <x:f t="shared" si="75"/>
        <x:v>0</x:v>
      </x:c>
      <x:c r="FV24" s="871">
        <x:f t="shared" si="76"/>
        <x:v>0</x:v>
      </x:c>
      <x:c r="GA24" s="1791">
        <x:v>40</x:v>
      </x:c>
      <x:c r="GB24" s="1792">
        <x:v>0.75</x:v>
      </x:c>
      <x:c r="GC24" s="1793">
        <x:v>-0.25</x:v>
      </x:c>
      <x:c r="GD24" s="1794">
        <x:v>-0.5</x:v>
      </x:c>
      <x:c r="GE24" s="1795">
        <x:f t="shared" si="77"/>
        <x:v>0</x:v>
      </x:c>
      <x:c r="GF24" s="600" t="str">
        <x:f t="shared" si="78"/>
        <x:v>J2</x:v>
      </x:c>
      <x:c r="GG24" s="1130">
        <x:v>0</x:v>
      </x:c>
      <x:c r="GH24" s="1131">
        <x:v>0</x:v>
      </x:c>
      <x:c r="GI24" s="1130"/>
      <x:c r="GJ24" s="1131"/>
      <x:c r="GK24" s="1636">
        <x:f t="shared" si="79"/>
        <x:v>480</x:v>
      </x:c>
      <x:c r="GL24" s="1636">
        <x:f t="shared" si="80"/>
        <x:v>480</x:v>
      </x:c>
      <x:c r="GM24" s="1637">
        <x:f>IF(ABS(GK24-GL24)&gt;='Job Info.'!$L$22,ABS(GK24-GL24),0)</x:f>
        <x:v>0</x:v>
      </x:c>
      <x:c r="GZ24" s="415"/>
      <x:c r="HA24" s="1391" t="s">
        <x:v>1432</x:v>
      </x:c>
      <x:c r="HB24" s="1392">
        <x:v>2</x:v>
      </x:c>
      <x:c r="HC24" s="1392" t="s">
        <x:v>1592</x:v>
      </x:c>
      <x:c r="HD24" s="1393">
        <x:v>40</x:v>
      </x:c>
      <x:c r="HE24" s="1394">
        <x:v>0</x:v>
      </x:c>
      <x:c r="HF24" s="1392" t="s">
        <x:v>116</x:v>
      </x:c>
      <x:c r="HG24" s="1392" t="s">
        <x:v>116</x:v>
      </x:c>
      <x:c r="HH24" s="1392" t="s">
        <x:v>116</x:v>
      </x:c>
      <x:c r="HI24" s="1395" t="s">
        <x:v>116</x:v>
      </x:c>
      <x:c r="HJ24" s="1392" t="s">
        <x:v>116</x:v>
      </x:c>
      <x:c r="HK24" s="1392" t="s">
        <x:v>116</x:v>
      </x:c>
      <x:c r="HL24" s="1392">
        <x:v>5</x:v>
      </x:c>
      <x:c r="HM24" s="1392">
        <x:v>5</x:v>
      </x:c>
      <x:c r="HN24" s="1392" t="s">
        <x:v>116</x:v>
      </x:c>
      <x:c r="HO24" s="1392" t="s">
        <x:v>116</x:v>
      </x:c>
      <x:c r="HP24" s="1392" t="s">
        <x:v>116</x:v>
      </x:c>
      <x:c r="HQ24" s="1395" t="s">
        <x:v>116</x:v>
      </x:c>
      <x:c r="HR24" s="1392" t="s">
        <x:v>116</x:v>
      </x:c>
      <x:c r="HS24" s="1392" t="s">
        <x:v>116</x:v>
      </x:c>
      <x:c r="HT24" s="1392">
        <x:v>0</x:v>
      </x:c>
      <x:c r="HU24" s="1392">
        <x:v>2.25</x:v>
      </x:c>
      <x:c r="HV24" s="1392">
        <x:v>0</x:v>
      </x:c>
      <x:c r="HW24" s="1394">
        <x:v>2</x:v>
      </x:c>
      <x:c r="HX24" s="1394">
        <x:v>4</x:v>
      </x:c>
      <x:c r="HY24" s="1394" t="s">
        <x:v>116</x:v>
      </x:c>
      <x:c r="HZ24" s="1394" t="s">
        <x:v>116</x:v>
      </x:c>
      <x:c r="IA24" s="1394" t="s">
        <x:v>1647</x:v>
      </x:c>
      <x:c r="IB24" s="1394"/>
      <x:c r="IC24" s="1394"/>
      <x:c r="ID24" s="1394"/>
      <x:c r="IE24" s="1394"/>
      <x:c r="IF24" s="1396"/>
    </x:row>
    <x:row r="25" spans="1:240" ht="12.6" customHeight="1" x14ac:dyDescent="0.25">
      <x:c r="A25" s="2764" t="s">
        <x:v>1433</x:v>
      </x:c>
      <x:c r="B25" s="2765">
        <x:v>2</x:v>
      </x:c>
      <x:c r="C25" s="2766" t="s">
        <x:v>1592</x:v>
      </x:c>
      <x:c r="D25" s="2767">
        <x:v>40</x:v>
      </x:c>
      <x:c r="E25" s="2841">
        <x:v>0</x:v>
      </x:c>
      <x:c r="F25" s="2770" t="str">
        <x:f>IF(DX25=0,"",TRUNC(DX25/12))</x:f>
        <x:v/>
      </x:c>
      <x:c r="G25" s="2771" t="str">
        <x:f>IF(DX25=0,"",DX25-(F25*12))</x:f>
        <x:v/>
      </x:c>
      <x:c r="H25" s="2842" t="str">
        <x:f>IF(DX25=0,"",CW25)</x:f>
        <x:v/>
      </x:c>
      <x:c r="I25" s="2767" t="str">
        <x:f>IF(ED25=0,"",TRUNC(ED25/12))</x:f>
        <x:v/>
      </x:c>
      <x:c r="J25" s="2771" t="str">
        <x:f>IF(ED25=0,"",ED25-(I25*12))</x:f>
        <x:v/>
      </x:c>
      <x:c r="K25" s="2843" t="str">
        <x:f>IF(ED25=0,"",DG25)</x:f>
        <x:v/>
      </x:c>
      <x:c r="L25" s="2774">
        <x:v>5</x:v>
      </x:c>
      <x:c r="M25" s="2775">
        <x:v>5</x:v>
      </x:c>
      <x:c r="N25" s="2770" t="str">
        <x:f>IF(ES25="","",IF(AND(ES25&lt;0,ES25&gt;-12),TRUNC(ES25/12)-0.0000001,TRUNC(ES25/12)))</x:f>
        <x:v/>
      </x:c>
      <x:c r="O25" s="2771" t="str">
        <x:f>IF(ES25="","",IF(AND(ES25-(N25*12)=0,ES25&lt;0),-0.000001,ES25-(N25*12)))</x:f>
        <x:v/>
      </x:c>
      <x:c r="P25" s="2772" t="str">
        <x:f>IF(ES25="","",IF(OR(CW25="Q",CW25="C"),3,CZ25))</x:f>
        <x:v/>
      </x:c>
      <x:c r="Q25" s="2767" t="str">
        <x:f>IF(ET25="","",IF(AND(ET25&lt;0,ET25&gt;-12),TRUNC(ET25/12)-0.0000001,TRUNC(ET25/12)))</x:f>
        <x:v/>
      </x:c>
      <x:c r="R25" s="2771" t="str">
        <x:f>IF(ET25="","",IF(AND(ET25-(Q25*12)=0,ET25&lt;0),-0.000001,ET25-(Q25*12)))</x:f>
        <x:v/>
      </x:c>
      <x:c r="S25" s="2819" t="str">
        <x:f>IF(ET25="","",IF(OR(DG25="Q",DG25="C"),3,DJ25))</x:f>
        <x:v/>
      </x:c>
      <x:c r="T25" s="2770">
        <x:v>0</x:v>
      </x:c>
      <x:c r="U25" s="2771">
        <x:v>2.25</x:v>
      </x:c>
      <x:c r="V25" s="2767">
        <x:v>0</x:v>
      </x:c>
      <x:c r="W25" s="2771">
        <x:v>2</x:v>
      </x:c>
      <x:c r="X25" s="2816">
        <x:v>4</x:v>
      </x:c>
      <x:c r="Y25" s="2844" t="str">
        <x:f>FG25</x:f>
        <x:v/>
      </x:c>
      <x:c r="Z25" s="2845" t="str">
        <x:f>FL25</x:f>
        <x:v/>
      </x:c>
      <x:c r="AA25" s="2846" t="s">
        <x:v>1648</x:v>
      </x:c>
      <x:c r="AB25" s="1413"/>
      <x:c r="AC25" s="964" t="b">
        <x:v>0</x:v>
      </x:c>
      <x:c r="AD25" s="441">
        <x:f t="shared" si="1"/>
        <x:v>0</x:v>
      </x:c>
      <x:c r="AE25" s="442">
        <x:f t="shared" si="2"/>
        <x:v>2</x:v>
      </x:c>
      <x:c r="AF25" s="442">
        <x:f t="shared" si="3"/>
        <x:v>0</x:v>
      </x:c>
      <x:c r="AG25" s="442">
        <x:f t="shared" si="4"/>
        <x:v>0</x:v>
      </x:c>
      <x:c r="AH25" s="443">
        <x:f t="shared" si="5"/>
        <x:v>0</x:v>
      </x:c>
      <x:c r="AI25" s="444" t="b">
        <x:v>0</x:v>
      </x:c>
      <x:c r="AJ25" s="238">
        <x:f>IF(OR(ISERROR(VALUE(LEFT(C25,SEARCH(AK25,C25)-1))),AK25=""),0,VALUE(LEFT(C25,SEARCH(AK25,C25)-1)))</x:f>
        <x:v>32</x:v>
      </x:c>
      <x:c r="AK25" s="238" t="str">
        <x:f t="shared" si="6"/>
        <x:v>LH</x:v>
      </x:c>
      <x:c r="AL25" s="1290" t="str">
        <x:f t="shared" si="7"/>
        <x:v/>
      </x:c>
      <x:c r="AM25" s="238">
        <x:f t="shared" si="8"/>
        <x:v>305</x:v>
      </x:c>
      <x:c r="AN25" s="238">
        <x:f t="shared" si="9"/>
        <x:v>180</x:v>
      </x:c>
      <x:c r="AO25" s="238" t="str">
        <x:f t="shared" si="10"/>
        <x:v/>
      </x:c>
      <x:c r="AP25" s="830" t="b">
        <x:f>IF(ISERROR(AJ25),FALSE,IF(OR(AJ25=0,ISERROR(AL25),ISERROR(AM25),ISERROR(AN25),ISERROR(AO25)),FALSE,IF(AL25&lt;&gt;"",IF(ISERROR(VLOOKUP(SUBSTITUTE(SUBSTITUTE(C25,"R",""),"A",""),TblJoistSize!$A:$A,1,FALSE)),FALSE,TRUE),TRUE)))</x:f>
        <x:v>1</x:v>
      </x:c>
      <x:c r="AQ25" s="1038">
        <x:f t="shared" si="11"/>
        <x:v>6</x:v>
      </x:c>
      <x:c r="AR25" s="945" t="b">
        <x:f t="shared" ref="AR25:AR40" si="83">IF(IF(ISNUMBER(T25),T25*12,0)+IF(ISNUMBER(U25),U25,0)&gt;0,IF(AND(IF(ISNUMBER(T25),T25*12,0)+IF(ISNUMBER(U25),U25,0)&gt;=VLOOKUP(AU25,$DF$2:$DN$9,8,FALSE)/2+$DQ$2,IF(ISNUMBER(T25),T25*12,0)+IF(ISNUMBER(U25),U25,0)&lt;=(AQ25-(VLOOKUP(AU25,$DF$2:$DN$9,8,FALSE)/2+$DQ$2))+IF(H25="X",2,0)),TRUE,FALSE),FALSE)</x:f>
        <x:v>1</x:v>
      </x:c>
      <x:c r="AS25" s="1038">
        <x:f t="shared" si="12"/>
        <x:v>6</x:v>
      </x:c>
      <x:c r="AT25" s="945" t="b">
        <x:f t="shared" ref="AT25:AT40" si="84">IF(IF(ISNUMBER(V25),V25*12,0)+IF(ISNUMBER(W25),W25,0)&gt;0,IF(AND((IF(ISNUMBER(V25),V25*12,0)+IF(ISNUMBER(W25),W25,0))&gt;=VLOOKUP(AU25,$DF$2:$DN$9,8,FALSE)/2+$DQ$2,(IF(ISNUMBER(V25),V25*12,0)+IF(ISNUMBER(W25),W25,0))&lt;=(AS25-(VLOOKUP(AU25,$DF$2:$DN$9,8,FALSE)/2+$DQ$2))+IF(K25="X",2,0)),TRUE,FALSE),FALSE)</x:f>
        <x:v>1</x:v>
      </x:c>
      <x:c r="AU25" s="1291" t="str">
        <x:f t="shared" si="13"/>
        <x:v>LH</x:v>
      </x:c>
      <x:c r="AV25" s="830" t="str">
        <x:f t="shared" si="14"/>
        <x:v/>
      </x:c>
      <x:c r="AW25" s="830" t="str">
        <x:f t="shared" si="81"/>
        <x:v>LH</x:v>
      </x:c>
      <x:c r="AX25" s="830" t="str">
        <x:f t="shared" ref="AX25:AX40" si="85">IF(AND(OR(ISBLANK(A25),A25=""),AA25&lt;&gt;""),AX24,IF(OR(ISBLANK(A25),A25=""),"",A25))</x:f>
        <x:v>J3</x:v>
      </x:c>
      <x:c r="AY25" s="464" t="b">
        <x:f t="shared" si="15"/>
        <x:v>0</x:v>
      </x:c>
      <x:c r="AZ25" s="856" t="b">
        <x:f t="shared" si="82"/>
        <x:v>0</x:v>
      </x:c>
      <x:c r="BA25" s="549"/>
      <x:c r="BB25" s="672"/>
      <x:c r="BC25" s="1684"/>
      <x:c r="BD25" s="733"/>
      <x:c r="BE25" s="734"/>
      <x:c r="BF25" s="735"/>
      <x:c r="BG25" s="672"/>
      <x:c r="BH25" s="982"/>
      <x:c r="BI25" s="983"/>
      <x:c r="BJ25" s="1625"/>
      <x:c r="BK25" s="982"/>
      <x:c r="BL25" s="983"/>
      <x:c r="BM25" s="1569"/>
      <x:c r="BN25" s="1570"/>
      <x:c r="BO25" s="1617" t="str">
        <x:f>IF(ISERROR(CU25),"",IF(CU25="","",IF(VLOOKUP(BG25,SectInfo!$B:$N,10,FALSE)="","","X")))</x:f>
        <x:v/>
      </x:c>
      <x:c r="BP25" s="1561"/>
      <x:c r="BQ25" s="1562" t="str">
        <x:f t="shared" si="16"/>
        <x:v/>
      </x:c>
      <x:c r="BR25" s="1563"/>
      <x:c r="BS25" s="672"/>
      <x:c r="BT25" s="982"/>
      <x:c r="BU25" s="983"/>
      <x:c r="BV25" s="1625"/>
      <x:c r="BW25" s="982"/>
      <x:c r="BX25" s="983"/>
      <x:c r="BY25" s="1569"/>
      <x:c r="BZ25" s="1570"/>
      <x:c r="CA25" s="1617" t="str">
        <x:f>IF(ISERROR(DE25),"",IF(DE25="","",IF(VLOOKUP(BS25,SectInfo!$B:$N,10,FALSE)="","","X")))</x:f>
        <x:v/>
      </x:c>
      <x:c r="CB25" s="1561"/>
      <x:c r="CC25" s="1562" t="str">
        <x:f t="shared" si="17"/>
        <x:v/>
      </x:c>
      <x:c r="CD25" s="1563"/>
      <x:c r="CE25" s="1574"/>
      <x:c r="CF25" s="736"/>
      <x:c r="CG25" s="737"/>
      <x:c r="CH25" s="643" t="str">
        <x:f t="shared" si="18"/>
        <x:v/>
      </x:c>
      <x:c r="CI25" s="644" t="str">
        <x:f t="shared" si="19"/>
        <x:v/>
      </x:c>
      <x:c r="CJ25" s="645" t="str">
        <x:f t="shared" si="20"/>
        <x:v/>
      </x:c>
      <x:c r="CK25" s="852" t="str">
        <x:f t="shared" si="21"/>
        <x:v/>
      </x:c>
      <x:c r="CL25" s="847" t="str">
        <x:f t="shared" si="22"/>
        <x:v/>
      </x:c>
      <x:c r="CM25" s="848" t="str">
        <x:f t="shared" si="23"/>
        <x:v/>
      </x:c>
      <x:c r="CN25" s="611" t="str">
        <x:f t="shared" si="24"/>
        <x:v/>
      </x:c>
      <x:c r="CO25" s="612" t="str">
        <x:f t="shared" si="25"/>
        <x:v/>
      </x:c>
      <x:c r="CP25" s="615" t="str">
        <x:f t="shared" si="26"/>
        <x:v/>
      </x:c>
      <x:c r="CQ25" s="616" t="str">
        <x:f t="shared" si="27"/>
        <x:v/>
      </x:c>
      <x:c r="CR25" s="750">
        <x:f t="shared" si="28"/>
        <x:v>5</x:v>
      </x:c>
      <x:c r="CS25" s="751">
        <x:f t="shared" si="29"/>
        <x:v>5</x:v>
      </x:c>
      <x:c r="CU25" s="114" t="str">
        <x:f>IF(BG25="","",VLOOKUP(BG25,SectInfo!$B:$N,12,FALSE))</x:f>
        <x:v/>
      </x:c>
      <x:c r="CV25" s="115" t="str">
        <x:f>IF(BG25="","",IF(ISBLANK(BP25),VLOOKUP(BG25,SectInfo!$B:$N,13,FALSE),BP25))</x:f>
        <x:v/>
      </x:c>
      <x:c r="CW25" s="1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1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30"/>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31"/>
        <x:v>0</x:v>
      </x:c>
      <x:c r="DO25" s="818">
        <x:f t="shared" si="32"/>
        <x:v>0</x:v>
      </x:c>
      <x:c r="DP25" s="822" t="str">
        <x:f t="shared" si="33"/>
        <x:v/>
      </x:c>
      <x:c r="DQ25" s="822" t="str">
        <x:f t="shared" si="34"/>
        <x:v/>
      </x:c>
      <x:c r="DR25" s="822" t="str">
        <x:f t="shared" si="35"/>
        <x:v/>
      </x:c>
      <x:c r="DS25" s="821">
        <x:f t="shared" si="36"/>
        <x:v>0</x:v>
      </x:c>
      <x:c r="DT25" s="821">
        <x:f t="shared" si="37"/>
        <x:v>0</x:v>
      </x:c>
      <x:c r="DU25" s="821" t="str">
        <x:f t="shared" si="38"/>
        <x:v/>
      </x:c>
      <x:c r="DV25" s="822" t="str">
        <x:f t="shared" si="39"/>
        <x:v/>
      </x:c>
      <x:c r="DW25" s="856" t="str">
        <x:f t="shared" si="40"/>
        <x:v/>
      </x:c>
      <x:c r="DX25" s="1006">
        <x:f>IF(CV25="",0,IF(DW25/COS(FN25-FD25)&lt;0.0625,0,CEILING(DW25/COS(FN25-FD25)-0.03125,0.125)))</x:f>
        <x:v>0</x:v>
      </x:c>
      <x:c r="DY25" s="822">
        <x:f t="shared" si="41"/>
        <x:v>0</x:v>
      </x:c>
      <x:c r="DZ25" s="821">
        <x:f t="shared" si="42"/>
        <x:v>0</x:v>
      </x:c>
      <x:c r="EA25" s="821" t="str">
        <x:f t="shared" si="43"/>
        <x:v/>
      </x:c>
      <x:c r="EB25" s="822" t="str">
        <x:f>IF(DF25="","",(DF25+EA25+(VLOOKUP(IF(AU25="HDR","K",AU25),$DF$2:$DN$9,2,FALSE))*TAN(DY25))/COS(FI25)-FM25)</x:f>
        <x:v/>
      </x:c>
      <x:c r="EC25" s="856" t="str">
        <x:f t="shared" si="44"/>
        <x:v/>
      </x:c>
      <x:c r="ED25" s="1006">
        <x:f>IF(DF25="",0,IF(EC25/COS(FN25+FI25)&lt;0.0625,0,CEILING(EC25/COS(FN25+FI25)-0.03125,0.125)))</x:f>
        <x:v>0</x:v>
      </x:c>
      <x:c r="EE25" s="1293" t="str">
        <x:f t="shared" si="45"/>
        <x:v/>
      </x:c>
      <x:c r="EF25" s="1293" t="str">
        <x:f>IF(EE25="ERR","ERR",IF(EE25="","",IF(DB25*TAN(DS25)&lt;=(VLOOKUP(AU25,$DF$2:$DN$9,8,FALSE)-(VLOOKUP(AU25,$DF$2:$DN$9,7,FALSE)-0.0625)),CV25-(EE25-FH25)/IF(OR(CU25="C",AND(CU25="M",$DD$1="N")),1,COS(DS25))-IF(MID(CW25,1,1)="R",0,DW25),(ABS(EE25-FH25)/IF(OR(CU25="C",AND(CU25="M",$DD$1="N")),1,COS(DS25))+CV25)-((DB25/2)*TAN(DS25))-IF(MID(CW25,1,1)="R",0,DW25))))</x:f>
        <x:v/>
      </x:c>
      <x:c r="EG25" s="1293" t="str">
        <x:f>IF(EE25="ERR","ERR",IF(EE25="","",IF(DB25*TAN(DS25)&lt;=(VLOOKUP(AU25,$DF$2:$DN$9,8,FALSE)-(VLOOKUP(AU25,$DF$2:$DN$9,7,FALSE)-0.0625)),CV25-(EE25-FH25)/IF(OR(CU25="C",AND(CU25="M",$DD$1="N")),1,COS(DS25))-IF(MID(CW25,1,1)="R",0,DW25),(ABS(EE25-FH25)/IF(OR(CU25="C",AND(CU25="M",$DD$1="N")),1,COS(DS25))+CV25)+((DB25/2)*TAN(DS25))-IF(MID(CW25,1,1)="R",0,DW25))))</x:f>
        <x:v/>
      </x:c>
      <x:c r="EH25" s="856" t="str">
        <x:f t="shared" si="46"/>
        <x:v>ERR</x:v>
      </x:c>
      <x:c r="EI25" s="856" t="str">
        <x:f t="shared" si="47"/>
        <x:v>ERR</x:v>
      </x:c>
      <x:c r="EJ25" s="822" t="str">
        <x:f t="shared" si="48"/>
        <x:v/>
      </x:c>
      <x:c r="EK25" s="822" t="str">
        <x:f t="shared" si="48"/>
        <x:v/>
      </x:c>
      <x:c r="EL25" s="1293" t="str">
        <x:f t="shared" si="49"/>
        <x:v/>
      </x:c>
      <x:c r="EM25" s="822" t="str">
        <x:f>IF(EL25="ERR","ERR",IF(EL25="","",IF(DL25*TAN(DY25)&lt;=(VLOOKUP(AU25,$DF$2:$DN$9,8,FALSE)-(VLOOKUP(AU25,$DF$2:$DN$9,7,FALSE)-0.0625)),DF25-(EL25-FM25)/IF(OR(DE25="C",AND(DE25="M",$DD$1="N")),1,COS(DY25))-IF(MID(DG25,1,1)="R",0,EC25),(ABS(EL25-FM25)/IF(OR(DE25="C",AND(DE25="M",$DD$1="N")),1,COS(DY25))+DF25)-((DL25/2)*TAN(DY25))-IF(MID(DG25,1,1)="R",0,EC25))))</x:f>
        <x:v/>
      </x:c>
      <x:c r="EN25" s="822" t="str">
        <x:f>IF(EL25="ERR","ERR",IF(EL25="","",IF(DL25*TAN(DY25)&lt;=(VLOOKUP(AU25,$DF$2:$DN$9,8,FALSE)-(VLOOKUP(AU25,$DF$2:$DN$9,7,FALSE)-0.0625)),DF25-(EL25-FM25)/IF(OR(DE25="C",AND(DE25="M",$DD$1="N")),1,COS(DY25))-IF(MID(DG25,1,1)="R",0,EC25),(ABS(EL25-FM25)/IF(OR(DE25="C",AND(DE25="M",$DD$1="N")),1,COS(DY25))+DF25)+((DL25/2)*TAN(DY25))-IF(MID(DG25,1,1)="R",0,EC25))))</x:f>
        <x:v/>
      </x:c>
      <x:c r="EO25" s="856" t="str">
        <x:f t="shared" si="50"/>
        <x:v>ERR</x:v>
      </x:c>
      <x:c r="EP25" s="856" t="str">
        <x:f t="shared" si="51"/>
        <x:v>ERR</x:v>
      </x:c>
      <x:c r="EQ25" s="822" t="str">
        <x:f t="shared" si="52"/>
        <x:v/>
      </x:c>
      <x:c r="ER25" s="822" t="str">
        <x:f t="shared" si="52"/>
        <x:v/>
      </x:c>
      <x:c r="ES25" s="822" t="str">
        <x:f t="shared" si="53"/>
        <x:v/>
      </x:c>
      <x:c r="ET25" s="822" t="str">
        <x:f t="shared" si="54"/>
        <x:v/>
      </x:c>
      <x:c r="EU25" s="829">
        <x:f t="shared" si="55"/>
        <x:v>4</x:v>
      </x:c>
      <x:c r="EV25" s="824" t="str">
        <x:f>IF(AND(EK25="",ER25=""),"",IF(EK25="",DL25,IF(EQ25="",DB25,IF(DB25&lt;&gt;DL25,EU25,DB25))))</x:f>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56"/>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57"/>
        <x:v/>
      </x:c>
      <x:c r="FD25" s="822">
        <x:f t="shared" si="58"/>
        <x:v>0</x:v>
      </x:c>
      <x:c r="FE25" s="822">
        <x:f t="shared" si="59"/>
        <x:v>0</x:v>
      </x:c>
      <x:c r="FF25" s="821">
        <x:f t="shared" si="60"/>
        <x:v>0</x:v>
      </x:c>
      <x:c r="FG25" s="821" t="str">
        <x:f t="shared" si="61"/>
        <x:v/>
      </x:c>
      <x:c r="FH25" s="822" t="str">
        <x:f t="shared" si="62"/>
        <x:v/>
      </x:c>
      <x:c r="FI25" s="822">
        <x:f t="shared" si="63"/>
        <x:v>0</x:v>
      </x:c>
      <x:c r="FJ25" s="822">
        <x:f t="shared" si="64"/>
        <x:v>0</x:v>
      </x:c>
      <x:c r="FK25" s="821">
        <x:f t="shared" si="65"/>
        <x:v>0</x:v>
      </x:c>
      <x:c r="FL25" s="821" t="str">
        <x:f t="shared" si="66"/>
        <x:v/>
      </x:c>
      <x:c r="FM25" s="822" t="str">
        <x:f t="shared" si="67"/>
        <x:v/>
      </x:c>
      <x:c r="FN25" s="822" t="e">
        <x:f t="shared" si="68"/>
        <x:v>#VALUE!</x:v>
      </x:c>
      <x:c r="FO25" s="940" t="e">
        <x:f t="shared" si="69"/>
        <x:v>#VALUE!</x:v>
      </x:c>
      <x:c r="FP25" s="940" t="e">
        <x:f t="shared" si="70"/>
        <x:v>#VALUE!</x:v>
      </x:c>
      <x:c r="FQ25" s="830" t="e">
        <x:f t="shared" si="71"/>
        <x:v>#VALUE!</x:v>
      </x:c>
      <x:c r="FR25" s="831" t="e">
        <x:f t="shared" si="72"/>
        <x:v>#VALUE!</x:v>
      </x:c>
      <x:c r="FS25" s="832" t="str">
        <x:f t="shared" si="73"/>
        <x:v/>
      </x:c>
      <x:c r="FT25" s="833" t="str">
        <x:f t="shared" si="74"/>
        <x:v/>
      </x:c>
      <x:c r="FU25" s="870">
        <x:f t="shared" si="75"/>
        <x:v>0</x:v>
      </x:c>
      <x:c r="FV25" s="871">
        <x:f t="shared" si="76"/>
        <x:v>0</x:v>
      </x:c>
      <x:c r="GA25" s="1791">
        <x:v>40</x:v>
      </x:c>
      <x:c r="GB25" s="1792">
        <x:v>0.75</x:v>
      </x:c>
      <x:c r="GC25" s="1793">
        <x:v>-0.25</x:v>
      </x:c>
      <x:c r="GD25" s="1794">
        <x:v>-0.5</x:v>
      </x:c>
      <x:c r="GE25" s="1795">
        <x:f t="shared" si="77"/>
        <x:v>0</x:v>
      </x:c>
      <x:c r="GF25" s="600" t="str">
        <x:f t="shared" si="78"/>
        <x:v>J3</x:v>
      </x:c>
      <x:c r="GG25" s="1130">
        <x:v>0</x:v>
      </x:c>
      <x:c r="GH25" s="1131">
        <x:v>0</x:v>
      </x:c>
      <x:c r="GI25" s="1130"/>
      <x:c r="GJ25" s="1131"/>
      <x:c r="GK25" s="1636">
        <x:f t="shared" si="79"/>
        <x:v>480</x:v>
      </x:c>
      <x:c r="GL25" s="1636">
        <x:f t="shared" si="80"/>
        <x:v>480</x:v>
      </x:c>
      <x:c r="GM25" s="1637">
        <x:f>IF(ABS(GK25-GL25)&gt;='Job Info.'!$L$22,ABS(GK25-GL25),0)</x:f>
        <x:v>0</x:v>
      </x:c>
      <x:c r="GZ25" s="415"/>
      <x:c r="HA25" s="1391" t="s">
        <x:v>1433</x:v>
      </x:c>
      <x:c r="HB25" s="1392">
        <x:v>2</x:v>
      </x:c>
      <x:c r="HC25" s="1392" t="s">
        <x:v>1592</x:v>
      </x:c>
      <x:c r="HD25" s="1393">
        <x:v>40</x:v>
      </x:c>
      <x:c r="HE25" s="1394">
        <x:v>0</x:v>
      </x:c>
      <x:c r="HF25" s="1392" t="s">
        <x:v>116</x:v>
      </x:c>
      <x:c r="HG25" s="1392" t="s">
        <x:v>116</x:v>
      </x:c>
      <x:c r="HH25" s="1392" t="s">
        <x:v>116</x:v>
      </x:c>
      <x:c r="HI25" s="1395" t="s">
        <x:v>116</x:v>
      </x:c>
      <x:c r="HJ25" s="1392" t="s">
        <x:v>116</x:v>
      </x:c>
      <x:c r="HK25" s="1392" t="s">
        <x:v>116</x:v>
      </x:c>
      <x:c r="HL25" s="1392">
        <x:v>5</x:v>
      </x:c>
      <x:c r="HM25" s="1392">
        <x:v>5</x:v>
      </x:c>
      <x:c r="HN25" s="1392" t="s">
        <x:v>116</x:v>
      </x:c>
      <x:c r="HO25" s="1392" t="s">
        <x:v>116</x:v>
      </x:c>
      <x:c r="HP25" s="1392" t="s">
        <x:v>116</x:v>
      </x:c>
      <x:c r="HQ25" s="1395" t="s">
        <x:v>116</x:v>
      </x:c>
      <x:c r="HR25" s="1392" t="s">
        <x:v>116</x:v>
      </x:c>
      <x:c r="HS25" s="1392" t="s">
        <x:v>116</x:v>
      </x:c>
      <x:c r="HT25" s="1392">
        <x:v>0</x:v>
      </x:c>
      <x:c r="HU25" s="1392">
        <x:v>2.25</x:v>
      </x:c>
      <x:c r="HV25" s="1392">
        <x:v>0</x:v>
      </x:c>
      <x:c r="HW25" s="1394">
        <x:v>2</x:v>
      </x:c>
      <x:c r="HX25" s="1394">
        <x:v>4</x:v>
      </x:c>
      <x:c r="HY25" s="1394" t="s">
        <x:v>116</x:v>
      </x:c>
      <x:c r="HZ25" s="1394" t="s">
        <x:v>116</x:v>
      </x:c>
      <x:c r="IA25" s="1394" t="s">
        <x:v>1648</x:v>
      </x:c>
      <x:c r="IB25" s="1394"/>
      <x:c r="IC25" s="1394"/>
      <x:c r="ID25" s="1394"/>
      <x:c r="IE25" s="1394"/>
      <x:c r="IF25" s="1396"/>
    </x:row>
    <x:row r="26" spans="1:240" ht="12.6" customHeight="1" x14ac:dyDescent="0.25">
      <x:c r="A26" s="2764" t="s">
        <x:v>1434</x:v>
      </x:c>
      <x:c r="B26" s="2765">
        <x:v>2</x:v>
      </x:c>
      <x:c r="C26" s="2766" t="s">
        <x:v>1592</x:v>
      </x:c>
      <x:c r="D26" s="2767">
        <x:v>40</x:v>
      </x:c>
      <x:c r="E26" s="2841">
        <x:v>0</x:v>
      </x:c>
      <x:c r="F26" s="2770" t="str">
        <x:f t="shared" ref="F26:F40" si="86">IF(DX26=0,"",TRUNC(DX26/12))</x:f>
        <x:v/>
      </x:c>
      <x:c r="G26" s="2771" t="str">
        <x:f t="shared" ref="G26:G40" si="87">IF(DX26=0,"",DX26-(F26*12))</x:f>
        <x:v/>
      </x:c>
      <x:c r="H26" s="2842" t="str">
        <x:f t="shared" ref="H26:H40" si="88">IF(DX26=0,"",CW26)</x:f>
        <x:v/>
      </x:c>
      <x:c r="I26" s="2767" t="str">
        <x:f t="shared" ref="I26:I40" si="89">IF(ED26=0,"",TRUNC(ED26/12))</x:f>
        <x:v/>
      </x:c>
      <x:c r="J26" s="2771" t="str">
        <x:f t="shared" ref="J26:J40" si="90">IF(ED26=0,"",ED26-(I26*12))</x:f>
        <x:v/>
      </x:c>
      <x:c r="K26" s="2843" t="str">
        <x:f t="shared" ref="K26:K40" si="91">IF(ED26=0,"",DG26)</x:f>
        <x:v/>
      </x:c>
      <x:c r="L26" s="2774">
        <x:v>5</x:v>
      </x:c>
      <x:c r="M26" s="2775">
        <x:v>5</x:v>
      </x:c>
      <x:c r="N26" s="2770" t="str">
        <x:f t="shared" ref="N26:N40" si="92">IF(ES26="","",IF(AND(ES26&lt;0,ES26&gt;-12),TRUNC(ES26/12)-0.0000001,TRUNC(ES26/12)))</x:f>
        <x:v/>
      </x:c>
      <x:c r="O26" s="2771" t="str">
        <x:f t="shared" ref="O26:O40" si="93">IF(ES26="","",IF(AND(ES26-(N26*12)=0,ES26&lt;0),-0.000001,ES26-(N26*12)))</x:f>
        <x:v/>
      </x:c>
      <x:c r="P26" s="2772" t="str">
        <x:f t="shared" ref="P26:P40" si="94">IF(ES26="","",IF(OR(CW26="Q",CW26="C"),3,CZ26))</x:f>
        <x:v/>
      </x:c>
      <x:c r="Q26" s="2767" t="str">
        <x:f t="shared" ref="Q26:Q40" si="95">IF(ET26="","",IF(AND(ET26&lt;0,ET26&gt;-12),TRUNC(ET26/12)-0.0000001,TRUNC(ET26/12)))</x:f>
        <x:v/>
      </x:c>
      <x:c r="R26" s="2771" t="str">
        <x:f t="shared" ref="R26:R40" si="96">IF(ET26="","",IF(AND(ET26-(Q26*12)=0,ET26&lt;0),-0.000001,ET26-(Q26*12)))</x:f>
        <x:v/>
      </x:c>
      <x:c r="S26" s="2819" t="str">
        <x:f t="shared" ref="S26:S40" si="97">IF(ET26="","",IF(OR(DG26="Q",DG26="C"),3,DJ26))</x:f>
        <x:v/>
      </x:c>
      <x:c r="T26" s="2770">
        <x:v>0</x:v>
      </x:c>
      <x:c r="U26" s="2771">
        <x:v>2.25</x:v>
      </x:c>
      <x:c r="V26" s="2767">
        <x:v>0</x:v>
      </x:c>
      <x:c r="W26" s="2771">
        <x:v>2</x:v>
      </x:c>
      <x:c r="X26" s="2816">
        <x:v>4</x:v>
      </x:c>
      <x:c r="Y26" s="2844" t="str">
        <x:f t="shared" ref="Y26:Y40" si="98">FG26</x:f>
        <x:v/>
      </x:c>
      <x:c r="Z26" s="2845" t="str">
        <x:f t="shared" ref="Z26:Z40" si="99">FL26</x:f>
        <x:v/>
      </x:c>
      <x:c r="AA26" s="2846" t="s">
        <x:v>1649</x:v>
      </x:c>
      <x:c r="AB26" s="1413"/>
      <x:c r="AC26" s="964" t="b">
        <x:v>0</x:v>
      </x:c>
      <x:c r="AD26" s="441">
        <x:f t="shared" si="1"/>
        <x:v>0</x:v>
      </x:c>
      <x:c r="AE26" s="442">
        <x:f t="shared" si="2"/>
        <x:v>2</x:v>
      </x:c>
      <x:c r="AF26" s="442">
        <x:f t="shared" si="3"/>
        <x:v>0</x:v>
      </x:c>
      <x:c r="AG26" s="442">
        <x:f t="shared" si="4"/>
        <x:v>0</x:v>
      </x:c>
      <x:c r="AH26" s="443">
        <x:f t="shared" si="5"/>
        <x:v>0</x:v>
      </x:c>
      <x:c r="AI26" s="444" t="b">
        <x:v>0</x:v>
      </x:c>
      <x:c r="AJ26" s="238">
        <x:f>IF(OR(ISERROR(VALUE(LEFT(C26,SEARCH(AK26,C26)-1))),AK26=""),0,VALUE(LEFT(C26,SEARCH(AK26,C26)-1)))</x:f>
        <x:v>32</x:v>
      </x:c>
      <x:c r="AK26" s="238" t="str">
        <x:f t="shared" si="6"/>
        <x:v>LH</x:v>
      </x:c>
      <x:c r="AL26" s="1290" t="str">
        <x:f t="shared" si="7"/>
        <x:v/>
      </x:c>
      <x:c r="AM26" s="238">
        <x:f t="shared" si="8"/>
        <x:v>305</x:v>
      </x:c>
      <x:c r="AN26" s="238">
        <x:f t="shared" si="9"/>
        <x:v>180</x:v>
      </x:c>
      <x:c r="AO26" s="238" t="str">
        <x:f t="shared" si="10"/>
        <x:v/>
      </x:c>
      <x:c r="AP26" s="830" t="b">
        <x:f>IF(ISERROR(AJ26),FALSE,IF(OR(AJ26=0,ISERROR(AL26),ISERROR(AM26),ISERROR(AN26),ISERROR(AO26)),FALSE,IF(AL26&lt;&gt;"",IF(ISERROR(VLOOKUP(SUBSTITUTE(SUBSTITUTE(C26,"R",""),"A",""),TblJoistSize!$A:$A,1,FALSE)),FALSE,TRUE),TRUE)))</x:f>
        <x:v>1</x:v>
      </x:c>
      <x:c r="AQ26" s="1038">
        <x:f t="shared" si="11"/>
        <x:v>6</x:v>
      </x:c>
      <x:c r="AR26" s="945" t="b">
        <x:f t="shared" si="83"/>
        <x:v>1</x:v>
      </x:c>
      <x:c r="AS26" s="1038">
        <x:f t="shared" si="12"/>
        <x:v>6</x:v>
      </x:c>
      <x:c r="AT26" s="945" t="b">
        <x:f t="shared" si="84"/>
        <x:v>1</x:v>
      </x:c>
      <x:c r="AU26" s="1291" t="str">
        <x:f t="shared" si="13"/>
        <x:v>LH</x:v>
      </x:c>
      <x:c r="AV26" s="830" t="str">
        <x:f t="shared" si="14"/>
        <x:v/>
      </x:c>
      <x:c r="AW26" s="830" t="str">
        <x:f t="shared" si="81"/>
        <x:v>LH</x:v>
      </x:c>
      <x:c r="AX26" s="830" t="str">
        <x:f t="shared" si="85"/>
        <x:v>J4</x:v>
      </x:c>
      <x:c r="AY26" s="464" t="b">
        <x:f t="shared" si="15"/>
        <x:v>0</x:v>
      </x:c>
      <x:c r="AZ26" s="856" t="b">
        <x:f t="shared" si="82"/>
        <x:v>0</x:v>
      </x:c>
      <x:c r="BA26" s="549"/>
      <x:c r="BB26" s="672"/>
      <x:c r="BC26" s="1684"/>
      <x:c r="BD26" s="733"/>
      <x:c r="BE26" s="734"/>
      <x:c r="BF26" s="735"/>
      <x:c r="BG26" s="672"/>
      <x:c r="BH26" s="982"/>
      <x:c r="BI26" s="983"/>
      <x:c r="BJ26" s="1625"/>
      <x:c r="BK26" s="982"/>
      <x:c r="BL26" s="983"/>
      <x:c r="BM26" s="1569"/>
      <x:c r="BN26" s="1570"/>
      <x:c r="BO26" s="1617" t="str">
        <x:f>IF(ISERROR(CU26),"",IF(CU26="","",IF(VLOOKUP(BG26,SectInfo!$B:$N,10,FALSE)="","","X")))</x:f>
        <x:v/>
      </x:c>
      <x:c r="BP26" s="1561"/>
      <x:c r="BQ26" s="1562" t="str">
        <x:f t="shared" si="16"/>
        <x:v/>
      </x:c>
      <x:c r="BR26" s="1563"/>
      <x:c r="BS26" s="672"/>
      <x:c r="BT26" s="982"/>
      <x:c r="BU26" s="983"/>
      <x:c r="BV26" s="1625"/>
      <x:c r="BW26" s="982"/>
      <x:c r="BX26" s="983"/>
      <x:c r="BY26" s="1569"/>
      <x:c r="BZ26" s="1570"/>
      <x:c r="CA26" s="1617" t="str">
        <x:f>IF(ISERROR(DE26),"",IF(DE26="","",IF(VLOOKUP(BS26,SectInfo!$B:$N,10,FALSE)="","","X")))</x:f>
        <x:v/>
      </x:c>
      <x:c r="CB26" s="1561"/>
      <x:c r="CC26" s="1562" t="str">
        <x:f t="shared" si="17"/>
        <x:v/>
      </x:c>
      <x:c r="CD26" s="1563"/>
      <x:c r="CE26" s="1574"/>
      <x:c r="CF26" s="736"/>
      <x:c r="CG26" s="737"/>
      <x:c r="CH26" s="643" t="str">
        <x:f t="shared" si="18"/>
        <x:v/>
      </x:c>
      <x:c r="CI26" s="644" t="str">
        <x:f t="shared" si="19"/>
        <x:v/>
      </x:c>
      <x:c r="CJ26" s="645" t="str">
        <x:f t="shared" si="20"/>
        <x:v/>
      </x:c>
      <x:c r="CK26" s="852" t="str">
        <x:f t="shared" si="21"/>
        <x:v/>
      </x:c>
      <x:c r="CL26" s="847" t="str">
        <x:f t="shared" si="22"/>
        <x:v/>
      </x:c>
      <x:c r="CM26" s="848" t="str">
        <x:f t="shared" si="23"/>
        <x:v/>
      </x:c>
      <x:c r="CN26" s="611" t="str">
        <x:f t="shared" si="24"/>
        <x:v/>
      </x:c>
      <x:c r="CO26" s="612" t="str">
        <x:f t="shared" si="25"/>
        <x:v/>
      </x:c>
      <x:c r="CP26" s="615" t="str">
        <x:f t="shared" si="26"/>
        <x:v/>
      </x:c>
      <x:c r="CQ26" s="616" t="str">
        <x:f t="shared" si="27"/>
        <x:v/>
      </x:c>
      <x:c r="CR26" s="750">
        <x:f t="shared" si="28"/>
        <x:v>5</x:v>
      </x:c>
      <x:c r="CS26" s="751">
        <x:f t="shared" si="29"/>
        <x:v>5</x:v>
      </x:c>
      <x:c r="CU26" s="114" t="str">
        <x:f>IF(BG26="","",VLOOKUP(BG26,SectInfo!$B:$N,12,FALSE))</x:f>
        <x:v/>
      </x:c>
      <x:c r="CV26" s="115" t="str">
        <x:f>IF(BG26="","",IF(ISBLANK(BP26),VLOOKUP(BG26,SectInfo!$B:$N,13,FALSE),BP26))</x:f>
        <x:v/>
      </x:c>
      <x:c r="CW26" s="1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1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30"/>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31"/>
        <x:v>0</x:v>
      </x:c>
      <x:c r="DO26" s="818">
        <x:f t="shared" si="32"/>
        <x:v>0</x:v>
      </x:c>
      <x:c r="DP26" s="822" t="str">
        <x:f t="shared" si="33"/>
        <x:v/>
      </x:c>
      <x:c r="DQ26" s="822" t="str">
        <x:f t="shared" si="34"/>
        <x:v/>
      </x:c>
      <x:c r="DR26" s="822" t="str">
        <x:f t="shared" si="35"/>
        <x:v/>
      </x:c>
      <x:c r="DS26" s="821">
        <x:f t="shared" si="36"/>
        <x:v>0</x:v>
      </x:c>
      <x:c r="DT26" s="821">
        <x:f t="shared" si="37"/>
        <x:v>0</x:v>
      </x:c>
      <x:c r="DU26" s="821" t="str">
        <x:f t="shared" si="38"/>
        <x:v/>
      </x:c>
      <x:c r="DV26" s="822" t="str">
        <x:f t="shared" si="39"/>
        <x:v/>
      </x:c>
      <x:c r="DW26" s="856" t="str">
        <x:f t="shared" si="40"/>
        <x:v/>
      </x:c>
      <x:c r="DX26" s="1006">
        <x:f t="shared" ref="DX26:DX40" si="100">IF(CV26="",0,IF(DW26/COS(FN26-FD26)&lt;0.0625,0,CEILING(DW26/COS(FN26-FD26)-0.03125,0.125)))</x:f>
        <x:v>0</x:v>
      </x:c>
      <x:c r="DY26" s="822">
        <x:f t="shared" si="41"/>
        <x:v>0</x:v>
      </x:c>
      <x:c r="DZ26" s="821">
        <x:f t="shared" si="42"/>
        <x:v>0</x:v>
      </x:c>
      <x:c r="EA26" s="821" t="str">
        <x:f t="shared" si="43"/>
        <x:v/>
      </x:c>
      <x:c r="EB26" s="822" t="str">
        <x:f t="shared" ref="EB26:EB40" si="101">IF(DF26="","",(DF26+EA26+(VLOOKUP(IF(AU26="HDR","K",AU26),$DF$2:$DN$9,2,FALSE))*TAN(DY26))/COS(FI26)-FM26)</x:f>
        <x:v/>
      </x:c>
      <x:c r="EC26" s="856" t="str">
        <x:f t="shared" si="44"/>
        <x:v/>
      </x:c>
      <x:c r="ED26" s="1006">
        <x:f t="shared" ref="ED26:ED40" si="102">IF(DF26="",0,IF(EC26/COS(FN26+FI26)&lt;0.0625,0,CEILING(EC26/COS(FN26+FI26)-0.03125,0.125)))</x:f>
        <x:v>0</x:v>
      </x:c>
      <x:c r="EE26" s="1293" t="str">
        <x:f t="shared" si="45"/>
        <x:v/>
      </x:c>
      <x:c r="EF26" s="822" t="str">
        <x:f t="shared" ref="EF26:EF40" si="103">IF(EE26="ERR","ERR",IF(EE26="","",IF(DB26*TAN(DS26)&lt;=(VLOOKUP(AU26,$DF$2:$DN$9,8,FALSE)-(VLOOKUP(AU26,$DF$2:$DN$9,7,FALSE)-0.0625)),CV26-(EE26-FH26)/IF(OR(CU26="C",AND(CU26="M",$DD$1="N")),1,COS(DS26))-IF(MID(CW26,1,1)="R",0,DW26),(ABS(EE26-FH26)/IF(OR(CU26="C",AND(CU26="M",$DD$1="N")),1,COS(DS26))+CV26)-((DB26/2)*TAN(DS26))-IF(MID(CW26,1,1)="R",0,DW26))))</x:f>
        <x:v/>
      </x:c>
      <x:c r="EG26" s="822" t="str">
        <x:f t="shared" ref="EG26:EG40" si="104">IF(EE26="ERR","ERR",IF(EE26="","",IF(DB26*TAN(DS26)&lt;=(VLOOKUP(AU26,$DF$2:$DN$9,8,FALSE)-(VLOOKUP(AU26,$DF$2:$DN$9,7,FALSE)-0.0625)),CV26-(EE26-FH26)/IF(OR(CU26="C",AND(CU26="M",$DD$1="N")),1,COS(DS26))-IF(MID(CW26,1,1)="R",0,DW26),(ABS(EE26-FH26)/IF(OR(CU26="C",AND(CU26="M",$DD$1="N")),1,COS(DS26))+CV26)+((DB26/2)*TAN(DS26))-IF(MID(CW26,1,1)="R",0,DW26))))</x:f>
        <x:v/>
      </x:c>
      <x:c r="EH26" s="856" t="str">
        <x:f t="shared" si="46"/>
        <x:v>ERR</x:v>
      </x:c>
      <x:c r="EI26" s="856" t="str">
        <x:f t="shared" si="47"/>
        <x:v>ERR</x:v>
      </x:c>
      <x:c r="EJ26" s="822" t="str">
        <x:f t="shared" si="48"/>
        <x:v/>
      </x:c>
      <x:c r="EK26" s="822" t="str">
        <x:f t="shared" si="48"/>
        <x:v/>
      </x:c>
      <x:c r="EL26" s="1293" t="str">
        <x:f t="shared" si="49"/>
        <x:v/>
      </x:c>
      <x:c r="EM26" s="822" t="str">
        <x:f t="shared" ref="EM26:EM40" si="105">IF(EL26="ERR","ERR",IF(EL26="","",IF(DL26*TAN(DY26)&lt;=(VLOOKUP(AU26,$DF$2:$DN$9,8,FALSE)-(VLOOKUP(AU26,$DF$2:$DN$9,7,FALSE)-0.0625)),DF26-(EL26-FM26)/IF(OR(DE26="C",AND(DE26="M",$DD$1="N")),1,COS(DY26))-IF(MID(DG26,1,1)="R",0,EC26),(ABS(EL26-FM26)/IF(OR(DE26="C",AND(DE26="M",$DD$1="N")),1,COS(DY26))+DF26)-((DL26/2)*TAN(DY26))-IF(MID(DG26,1,1)="R",0,EC26))))</x:f>
        <x:v/>
      </x:c>
      <x:c r="EN26" s="822" t="str">
        <x:f t="shared" ref="EN26:EN40" si="106">IF(EL26="ERR","ERR",IF(EL26="","",IF(DL26*TAN(DY26)&lt;=(VLOOKUP(AU26,$DF$2:$DN$9,8,FALSE)-(VLOOKUP(AU26,$DF$2:$DN$9,7,FALSE)-0.0625)),DF26-(EL26-FM26)/IF(OR(DE26="C",AND(DE26="M",$DD$1="N")),1,COS(DY26))-IF(MID(DG26,1,1)="R",0,EC26),(ABS(EL26-FM26)/IF(OR(DE26="C",AND(DE26="M",$DD$1="N")),1,COS(DY26))+DF26)+((DL26/2)*TAN(DY26))-IF(MID(DG26,1,1)="R",0,EC26))))</x:f>
        <x:v/>
      </x:c>
      <x:c r="EO26" s="856" t="str">
        <x:f t="shared" si="50"/>
        <x:v>ERR</x:v>
      </x:c>
      <x:c r="EP26" s="856" t="str">
        <x:f t="shared" si="51"/>
        <x:v>ERR</x:v>
      </x:c>
      <x:c r="EQ26" s="822" t="str">
        <x:f t="shared" si="52"/>
        <x:v/>
      </x:c>
      <x:c r="ER26" s="822" t="str">
        <x:f t="shared" si="52"/>
        <x:v/>
      </x:c>
      <x:c r="ES26" s="822" t="str">
        <x:f t="shared" si="53"/>
        <x:v/>
      </x:c>
      <x:c r="ET26" s="822" t="str">
        <x:f t="shared" si="54"/>
        <x:v/>
      </x:c>
      <x:c r="EU26" s="829">
        <x:f t="shared" si="55"/>
        <x:v>4</x:v>
      </x:c>
      <x:c r="EV26" s="824" t="str">
        <x:f>IF(AND(EK26="",ER26=""),"",IF(EK26="",DL26,IF(EQ26="",DB26,IF(DB26&lt;&gt;DL26,EU26,DB26))))</x:f>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56"/>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57"/>
        <x:v/>
      </x:c>
      <x:c r="FD26" s="822">
        <x:f t="shared" si="58"/>
        <x:v>0</x:v>
      </x:c>
      <x:c r="FE26" s="822">
        <x:f t="shared" si="59"/>
        <x:v>0</x:v>
      </x:c>
      <x:c r="FF26" s="821">
        <x:f t="shared" si="60"/>
        <x:v>0</x:v>
      </x:c>
      <x:c r="FG26" s="821" t="str">
        <x:f t="shared" si="61"/>
        <x:v/>
      </x:c>
      <x:c r="FH26" s="822" t="str">
        <x:f t="shared" si="62"/>
        <x:v/>
      </x:c>
      <x:c r="FI26" s="822">
        <x:f t="shared" si="63"/>
        <x:v>0</x:v>
      </x:c>
      <x:c r="FJ26" s="822">
        <x:f t="shared" si="64"/>
        <x:v>0</x:v>
      </x:c>
      <x:c r="FK26" s="821">
        <x:f t="shared" si="65"/>
        <x:v>0</x:v>
      </x:c>
      <x:c r="FL26" s="821" t="str">
        <x:f t="shared" si="66"/>
        <x:v/>
      </x:c>
      <x:c r="FM26" s="822" t="str">
        <x:f t="shared" si="67"/>
        <x:v/>
      </x:c>
      <x:c r="FN26" s="822" t="e">
        <x:f t="shared" si="68"/>
        <x:v>#VALUE!</x:v>
      </x:c>
      <x:c r="FO26" s="940" t="e">
        <x:f t="shared" si="69"/>
        <x:v>#VALUE!</x:v>
      </x:c>
      <x:c r="FP26" s="940" t="e">
        <x:f t="shared" si="70"/>
        <x:v>#VALUE!</x:v>
      </x:c>
      <x:c r="FQ26" s="830" t="e">
        <x:f t="shared" si="71"/>
        <x:v>#VALUE!</x:v>
      </x:c>
      <x:c r="FR26" s="831" t="e">
        <x:f t="shared" si="72"/>
        <x:v>#VALUE!</x:v>
      </x:c>
      <x:c r="FS26" s="832" t="str">
        <x:f t="shared" si="73"/>
        <x:v/>
      </x:c>
      <x:c r="FT26" s="833" t="str">
        <x:f t="shared" si="74"/>
        <x:v/>
      </x:c>
      <x:c r="FU26" s="870">
        <x:f t="shared" si="75"/>
        <x:v>0</x:v>
      </x:c>
      <x:c r="FV26" s="871">
        <x:f t="shared" si="76"/>
        <x:v>0</x:v>
      </x:c>
      <x:c r="GA26" s="1791">
        <x:v>40</x:v>
      </x:c>
      <x:c r="GB26" s="1792">
        <x:v>0.75</x:v>
      </x:c>
      <x:c r="GC26" s="1793">
        <x:v>-0.25</x:v>
      </x:c>
      <x:c r="GD26" s="1794">
        <x:v>-0.5</x:v>
      </x:c>
      <x:c r="GE26" s="1795">
        <x:f t="shared" si="77"/>
        <x:v>0</x:v>
      </x:c>
      <x:c r="GF26" s="600" t="str">
        <x:f t="shared" si="78"/>
        <x:v>J4</x:v>
      </x:c>
      <x:c r="GG26" s="1130">
        <x:v>0</x:v>
      </x:c>
      <x:c r="GH26" s="1131">
        <x:v>0</x:v>
      </x:c>
      <x:c r="GI26" s="1130"/>
      <x:c r="GJ26" s="1131"/>
      <x:c r="GK26" s="1636">
        <x:f t="shared" si="79"/>
        <x:v>480</x:v>
      </x:c>
      <x:c r="GL26" s="1636">
        <x:f t="shared" si="80"/>
        <x:v>480</x:v>
      </x:c>
      <x:c r="GM26" s="1637">
        <x:f>IF(ABS(GK26-GL26)&gt;='Job Info.'!$L$22,ABS(GK26-GL26),0)</x:f>
        <x:v>0</x:v>
      </x:c>
      <x:c r="GZ26" s="415"/>
      <x:c r="HA26" s="1391" t="s">
        <x:v>1434</x:v>
      </x:c>
      <x:c r="HB26" s="1392">
        <x:v>2</x:v>
      </x:c>
      <x:c r="HC26" s="1392" t="s">
        <x:v>1592</x:v>
      </x:c>
      <x:c r="HD26" s="1393">
        <x:v>40</x:v>
      </x:c>
      <x:c r="HE26" s="1394">
        <x:v>0</x:v>
      </x:c>
      <x:c r="HF26" s="1392" t="s">
        <x:v>116</x:v>
      </x:c>
      <x:c r="HG26" s="1392" t="s">
        <x:v>116</x:v>
      </x:c>
      <x:c r="HH26" s="1392" t="s">
        <x:v>116</x:v>
      </x:c>
      <x:c r="HI26" s="1395" t="s">
        <x:v>116</x:v>
      </x:c>
      <x:c r="HJ26" s="1392" t="s">
        <x:v>116</x:v>
      </x:c>
      <x:c r="HK26" s="1392" t="s">
        <x:v>116</x:v>
      </x:c>
      <x:c r="HL26" s="1392">
        <x:v>5</x:v>
      </x:c>
      <x:c r="HM26" s="1392">
        <x:v>5</x:v>
      </x:c>
      <x:c r="HN26" s="1392" t="s">
        <x:v>116</x:v>
      </x:c>
      <x:c r="HO26" s="1392" t="s">
        <x:v>116</x:v>
      </x:c>
      <x:c r="HP26" s="1392" t="s">
        <x:v>116</x:v>
      </x:c>
      <x:c r="HQ26" s="1395" t="s">
        <x:v>116</x:v>
      </x:c>
      <x:c r="HR26" s="1392" t="s">
        <x:v>116</x:v>
      </x:c>
      <x:c r="HS26" s="1392" t="s">
        <x:v>116</x:v>
      </x:c>
      <x:c r="HT26" s="1392">
        <x:v>0</x:v>
      </x:c>
      <x:c r="HU26" s="1392">
        <x:v>2.25</x:v>
      </x:c>
      <x:c r="HV26" s="1392">
        <x:v>0</x:v>
      </x:c>
      <x:c r="HW26" s="1394">
        <x:v>2</x:v>
      </x:c>
      <x:c r="HX26" s="1394">
        <x:v>4</x:v>
      </x:c>
      <x:c r="HY26" s="1394" t="s">
        <x:v>116</x:v>
      </x:c>
      <x:c r="HZ26" s="1394" t="s">
        <x:v>116</x:v>
      </x:c>
      <x:c r="IA26" s="1394" t="s">
        <x:v>1649</x:v>
      </x:c>
      <x:c r="IB26" s="1394"/>
      <x:c r="IC26" s="1394"/>
      <x:c r="ID26" s="1394"/>
      <x:c r="IE26" s="1394"/>
      <x:c r="IF26" s="1396"/>
    </x:row>
    <x:row r="27" spans="1:240" ht="12.6" customHeight="1" x14ac:dyDescent="0.25">
      <x:c r="A27" s="2764" t="s">
        <x:v>1435</x:v>
      </x:c>
      <x:c r="B27" s="2765">
        <x:v>1</x:v>
      </x:c>
      <x:c r="C27" s="2766" t="s">
        <x:v>1592</x:v>
      </x:c>
      <x:c r="D27" s="2767">
        <x:v>40</x:v>
      </x:c>
      <x:c r="E27" s="2841">
        <x:v>0</x:v>
      </x:c>
      <x:c r="F27" s="2770" t="str">
        <x:f t="shared" si="86"/>
        <x:v/>
      </x:c>
      <x:c r="G27" s="2771" t="str">
        <x:f t="shared" si="87"/>
        <x:v/>
      </x:c>
      <x:c r="H27" s="2842" t="str">
        <x:f t="shared" si="88"/>
        <x:v/>
      </x:c>
      <x:c r="I27" s="2767" t="str">
        <x:f t="shared" si="89"/>
        <x:v/>
      </x:c>
      <x:c r="J27" s="2771" t="str">
        <x:f t="shared" si="90"/>
        <x:v/>
      </x:c>
      <x:c r="K27" s="2843" t="str">
        <x:f t="shared" si="91"/>
        <x:v/>
      </x:c>
      <x:c r="L27" s="2774">
        <x:v>5</x:v>
      </x:c>
      <x:c r="M27" s="2775">
        <x:v>5</x:v>
      </x:c>
      <x:c r="N27" s="2770" t="str">
        <x:f t="shared" si="92"/>
        <x:v/>
      </x:c>
      <x:c r="O27" s="2771" t="str">
        <x:f t="shared" si="93"/>
        <x:v/>
      </x:c>
      <x:c r="P27" s="2772" t="str">
        <x:f t="shared" si="94"/>
        <x:v/>
      </x:c>
      <x:c r="Q27" s="2767" t="str">
        <x:f t="shared" si="95"/>
        <x:v/>
      </x:c>
      <x:c r="R27" s="2771" t="str">
        <x:f t="shared" si="96"/>
        <x:v/>
      </x:c>
      <x:c r="S27" s="2819" t="str">
        <x:f t="shared" si="97"/>
        <x:v/>
      </x:c>
      <x:c r="T27" s="2770">
        <x:v>0</x:v>
      </x:c>
      <x:c r="U27" s="2771">
        <x:v>2.25</x:v>
      </x:c>
      <x:c r="V27" s="2767">
        <x:v>0</x:v>
      </x:c>
      <x:c r="W27" s="2771">
        <x:v>2</x:v>
      </x:c>
      <x:c r="X27" s="2816">
        <x:v>4</x:v>
      </x:c>
      <x:c r="Y27" s="2844" t="str">
        <x:f t="shared" si="98"/>
        <x:v/>
      </x:c>
      <x:c r="Z27" s="2845" t="str">
        <x:f t="shared" si="99"/>
        <x:v/>
      </x:c>
      <x:c r="AA27" s="2846" t="s">
        <x:v>1650</x:v>
      </x:c>
      <x:c r="AB27" s="1413"/>
      <x:c r="AC27" s="964" t="b">
        <x:v>0</x:v>
      </x:c>
      <x:c r="AD27" s="441">
        <x:f t="shared" si="1"/>
        <x:v>0</x:v>
      </x:c>
      <x:c r="AE27" s="442">
        <x:f t="shared" si="2"/>
        <x:v>1</x:v>
      </x:c>
      <x:c r="AF27" s="442">
        <x:f t="shared" si="3"/>
        <x:v>0</x:v>
      </x:c>
      <x:c r="AG27" s="442">
        <x:f t="shared" si="4"/>
        <x:v>0</x:v>
      </x:c>
      <x:c r="AH27" s="443">
        <x:f t="shared" si="5"/>
        <x:v>0</x:v>
      </x:c>
      <x:c r="AI27" s="444" t="b">
        <x:v>0</x:v>
      </x:c>
      <x:c r="AJ27" s="238">
        <x:f>IF(OR(ISERROR(VALUE(LEFT(C27,SEARCH(AK27,C27)-1))),AK27=""),0,VALUE(LEFT(C27,SEARCH(AK27,C27)-1)))</x:f>
        <x:v>32</x:v>
      </x:c>
      <x:c r="AK27" s="238" t="str">
        <x:f t="shared" si="6"/>
        <x:v>LH</x:v>
      </x:c>
      <x:c r="AL27" s="1290" t="str">
        <x:f t="shared" si="7"/>
        <x:v/>
      </x:c>
      <x:c r="AM27" s="238">
        <x:f t="shared" si="8"/>
        <x:v>305</x:v>
      </x:c>
      <x:c r="AN27" s="238">
        <x:f t="shared" si="9"/>
        <x:v>180</x:v>
      </x:c>
      <x:c r="AO27" s="238" t="str">
        <x:f t="shared" si="10"/>
        <x:v/>
      </x:c>
      <x:c r="AP27" s="830" t="b">
        <x:f>IF(ISERROR(AJ27),FALSE,IF(OR(AJ27=0,ISERROR(AL27),ISERROR(AM27),ISERROR(AN27),ISERROR(AO27)),FALSE,IF(AL27&lt;&gt;"",IF(ISERROR(VLOOKUP(SUBSTITUTE(SUBSTITUTE(C27,"R",""),"A",""),TblJoistSize!$A:$A,1,FALSE)),FALSE,TRUE),TRUE)))</x:f>
        <x:v>1</x:v>
      </x:c>
      <x:c r="AQ27" s="1038">
        <x:f t="shared" si="11"/>
        <x:v>6</x:v>
      </x:c>
      <x:c r="AR27" s="945" t="b">
        <x:f t="shared" si="83"/>
        <x:v>1</x:v>
      </x:c>
      <x:c r="AS27" s="1038">
        <x:f t="shared" si="12"/>
        <x:v>6</x:v>
      </x:c>
      <x:c r="AT27" s="945" t="b">
        <x:f t="shared" si="84"/>
        <x:v>1</x:v>
      </x:c>
      <x:c r="AU27" s="1291" t="str">
        <x:f t="shared" si="13"/>
        <x:v>LH</x:v>
      </x:c>
      <x:c r="AV27" s="830" t="str">
        <x:f t="shared" si="14"/>
        <x:v/>
      </x:c>
      <x:c r="AW27" s="830" t="str">
        <x:f t="shared" si="81"/>
        <x:v>LH</x:v>
      </x:c>
      <x:c r="AX27" s="830" t="str">
        <x:f t="shared" si="85"/>
        <x:v>J5</x:v>
      </x:c>
      <x:c r="AY27" s="464" t="b">
        <x:f t="shared" si="15"/>
        <x:v>0</x:v>
      </x:c>
      <x:c r="AZ27" s="856" t="b">
        <x:f t="shared" si="82"/>
        <x:v>0</x:v>
      </x:c>
      <x:c r="BA27" s="549"/>
      <x:c r="BB27" s="672"/>
      <x:c r="BC27" s="1684"/>
      <x:c r="BD27" s="733"/>
      <x:c r="BE27" s="734"/>
      <x:c r="BF27" s="735"/>
      <x:c r="BG27" s="672"/>
      <x:c r="BH27" s="982"/>
      <x:c r="BI27" s="983"/>
      <x:c r="BJ27" s="1625"/>
      <x:c r="BK27" s="982"/>
      <x:c r="BL27" s="983"/>
      <x:c r="BM27" s="1569"/>
      <x:c r="BN27" s="1570"/>
      <x:c r="BO27" s="1617" t="str">
        <x:f>IF(ISERROR(CU27),"",IF(CU27="","",IF(VLOOKUP(BG27,SectInfo!$B:$N,10,FALSE)="","","X")))</x:f>
        <x:v/>
      </x:c>
      <x:c r="BP27" s="1561"/>
      <x:c r="BQ27" s="1562" t="str">
        <x:f t="shared" si="16"/>
        <x:v/>
      </x:c>
      <x:c r="BR27" s="1563"/>
      <x:c r="BS27" s="672"/>
      <x:c r="BT27" s="982"/>
      <x:c r="BU27" s="983"/>
      <x:c r="BV27" s="1625"/>
      <x:c r="BW27" s="982"/>
      <x:c r="BX27" s="983"/>
      <x:c r="BY27" s="1569"/>
      <x:c r="BZ27" s="1570"/>
      <x:c r="CA27" s="1617" t="str">
        <x:f>IF(ISERROR(DE27),"",IF(DE27="","",IF(VLOOKUP(BS27,SectInfo!$B:$N,10,FALSE)="","","X")))</x:f>
        <x:v/>
      </x:c>
      <x:c r="CB27" s="1561"/>
      <x:c r="CC27" s="1562" t="str">
        <x:f t="shared" si="17"/>
        <x:v/>
      </x:c>
      <x:c r="CD27" s="1563"/>
      <x:c r="CE27" s="1574"/>
      <x:c r="CF27" s="736"/>
      <x:c r="CG27" s="737"/>
      <x:c r="CH27" s="643" t="str">
        <x:f t="shared" si="18"/>
        <x:v/>
      </x:c>
      <x:c r="CI27" s="644" t="str">
        <x:f t="shared" si="19"/>
        <x:v/>
      </x:c>
      <x:c r="CJ27" s="645" t="str">
        <x:f t="shared" si="20"/>
        <x:v/>
      </x:c>
      <x:c r="CK27" s="852" t="str">
        <x:f t="shared" si="21"/>
        <x:v/>
      </x:c>
      <x:c r="CL27" s="847" t="str">
        <x:f t="shared" si="22"/>
        <x:v/>
      </x:c>
      <x:c r="CM27" s="848" t="str">
        <x:f t="shared" si="23"/>
        <x:v/>
      </x:c>
      <x:c r="CN27" s="611" t="str">
        <x:f t="shared" si="24"/>
        <x:v/>
      </x:c>
      <x:c r="CO27" s="612" t="str">
        <x:f t="shared" si="25"/>
        <x:v/>
      </x:c>
      <x:c r="CP27" s="615" t="str">
        <x:f t="shared" si="26"/>
        <x:v/>
      </x:c>
      <x:c r="CQ27" s="616" t="str">
        <x:f t="shared" si="27"/>
        <x:v/>
      </x:c>
      <x:c r="CR27" s="750">
        <x:f t="shared" si="28"/>
        <x:v>5</x:v>
      </x:c>
      <x:c r="CS27" s="751">
        <x:f t="shared" si="29"/>
        <x:v>5</x:v>
      </x:c>
      <x:c r="CU27" s="114" t="str">
        <x:f>IF(BG27="","",VLOOKUP(BG27,SectInfo!$B:$N,12,FALSE))</x:f>
        <x:v/>
      </x:c>
      <x:c r="CV27" s="115" t="str">
        <x:f>IF(BG27="","",IF(ISBLANK(BP27),VLOOKUP(BG27,SectInfo!$B:$N,13,FALSE),BP27))</x:f>
        <x:v/>
      </x:c>
      <x:c r="CW27" s="1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1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30"/>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31"/>
        <x:v>0</x:v>
      </x:c>
      <x:c r="DO27" s="818">
        <x:f t="shared" si="32"/>
        <x:v>0</x:v>
      </x:c>
      <x:c r="DP27" s="822" t="str">
        <x:f t="shared" si="33"/>
        <x:v/>
      </x:c>
      <x:c r="DQ27" s="822" t="str">
        <x:f t="shared" si="34"/>
        <x:v/>
      </x:c>
      <x:c r="DR27" s="822" t="str">
        <x:f t="shared" si="35"/>
        <x:v/>
      </x:c>
      <x:c r="DS27" s="821">
        <x:f t="shared" si="36"/>
        <x:v>0</x:v>
      </x:c>
      <x:c r="DT27" s="821">
        <x:f t="shared" si="37"/>
        <x:v>0</x:v>
      </x:c>
      <x:c r="DU27" s="821" t="str">
        <x:f t="shared" si="38"/>
        <x:v/>
      </x:c>
      <x:c r="DV27" s="822" t="str">
        <x:f t="shared" si="39"/>
        <x:v/>
      </x:c>
      <x:c r="DW27" s="856" t="str">
        <x:f t="shared" si="40"/>
        <x:v/>
      </x:c>
      <x:c r="DX27" s="1006">
        <x:f t="shared" si="100"/>
        <x:v>0</x:v>
      </x:c>
      <x:c r="DY27" s="822">
        <x:f t="shared" si="41"/>
        <x:v>0</x:v>
      </x:c>
      <x:c r="DZ27" s="821">
        <x:f t="shared" si="42"/>
        <x:v>0</x:v>
      </x:c>
      <x:c r="EA27" s="821" t="str">
        <x:f t="shared" si="43"/>
        <x:v/>
      </x:c>
      <x:c r="EB27" s="822" t="str">
        <x:f t="shared" si="101"/>
        <x:v/>
      </x:c>
      <x:c r="EC27" s="856" t="str">
        <x:f t="shared" si="44"/>
        <x:v/>
      </x:c>
      <x:c r="ED27" s="1006">
        <x:f t="shared" si="102"/>
        <x:v>0</x:v>
      </x:c>
      <x:c r="EE27" s="1293" t="str">
        <x:f t="shared" si="45"/>
        <x:v/>
      </x:c>
      <x:c r="EF27" s="822" t="str">
        <x:f t="shared" si="103"/>
        <x:v/>
      </x:c>
      <x:c r="EG27" s="822" t="str">
        <x:f t="shared" si="104"/>
        <x:v/>
      </x:c>
      <x:c r="EH27" s="856" t="str">
        <x:f t="shared" si="46"/>
        <x:v>ERR</x:v>
      </x:c>
      <x:c r="EI27" s="856" t="str">
        <x:f t="shared" si="47"/>
        <x:v>ERR</x:v>
      </x:c>
      <x:c r="EJ27" s="822" t="str">
        <x:f t="shared" si="48"/>
        <x:v/>
      </x:c>
      <x:c r="EK27" s="822" t="str">
        <x:f t="shared" si="48"/>
        <x:v/>
      </x:c>
      <x:c r="EL27" s="1293" t="str">
        <x:f t="shared" si="49"/>
        <x:v/>
      </x:c>
      <x:c r="EM27" s="822" t="str">
        <x:f t="shared" si="105"/>
        <x:v/>
      </x:c>
      <x:c r="EN27" s="822" t="str">
        <x:f t="shared" si="106"/>
        <x:v/>
      </x:c>
      <x:c r="EO27" s="856" t="str">
        <x:f t="shared" si="50"/>
        <x:v>ERR</x:v>
      </x:c>
      <x:c r="EP27" s="856" t="str">
        <x:f t="shared" si="51"/>
        <x:v>ERR</x:v>
      </x:c>
      <x:c r="EQ27" s="822" t="str">
        <x:f t="shared" si="52"/>
        <x:v/>
      </x:c>
      <x:c r="ER27" s="822" t="str">
        <x:f t="shared" si="52"/>
        <x:v/>
      </x:c>
      <x:c r="ES27" s="822" t="str">
        <x:f t="shared" si="53"/>
        <x:v/>
      </x:c>
      <x:c r="ET27" s="822" t="str">
        <x:f t="shared" si="54"/>
        <x:v/>
      </x:c>
      <x:c r="EU27" s="829">
        <x:f t="shared" si="55"/>
        <x:v>4</x:v>
      </x:c>
      <x:c r="EV27" s="824" t="str">
        <x:f t="shared" ref="EV27:EV40" si="107">IF(AND(EK27="",ER27=""),"",IF(EK27="",DL27,IF(EQ27="",DB27,IF(DB27&lt;&gt;DL27,EU27,DB27))))</x:f>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56"/>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57"/>
        <x:v/>
      </x:c>
      <x:c r="FD27" s="822">
        <x:f t="shared" si="58"/>
        <x:v>0</x:v>
      </x:c>
      <x:c r="FE27" s="822">
        <x:f t="shared" si="59"/>
        <x:v>0</x:v>
      </x:c>
      <x:c r="FF27" s="821">
        <x:f t="shared" si="60"/>
        <x:v>0</x:v>
      </x:c>
      <x:c r="FG27" s="821" t="str">
        <x:f t="shared" si="61"/>
        <x:v/>
      </x:c>
      <x:c r="FH27" s="822" t="str">
        <x:f t="shared" si="62"/>
        <x:v/>
      </x:c>
      <x:c r="FI27" s="822">
        <x:f t="shared" si="63"/>
        <x:v>0</x:v>
      </x:c>
      <x:c r="FJ27" s="822">
        <x:f t="shared" si="64"/>
        <x:v>0</x:v>
      </x:c>
      <x:c r="FK27" s="821">
        <x:f t="shared" si="65"/>
        <x:v>0</x:v>
      </x:c>
      <x:c r="FL27" s="821" t="str">
        <x:f t="shared" si="66"/>
        <x:v/>
      </x:c>
      <x:c r="FM27" s="822" t="str">
        <x:f t="shared" si="67"/>
        <x:v/>
      </x:c>
      <x:c r="FN27" s="822" t="e">
        <x:f t="shared" si="68"/>
        <x:v>#VALUE!</x:v>
      </x:c>
      <x:c r="FO27" s="940" t="e">
        <x:f t="shared" si="69"/>
        <x:v>#VALUE!</x:v>
      </x:c>
      <x:c r="FP27" s="940" t="e">
        <x:f t="shared" si="70"/>
        <x:v>#VALUE!</x:v>
      </x:c>
      <x:c r="FQ27" s="830" t="e">
        <x:f t="shared" si="71"/>
        <x:v>#VALUE!</x:v>
      </x:c>
      <x:c r="FR27" s="831" t="e">
        <x:f t="shared" si="72"/>
        <x:v>#VALUE!</x:v>
      </x:c>
      <x:c r="FS27" s="832" t="str">
        <x:f t="shared" si="73"/>
        <x:v/>
      </x:c>
      <x:c r="FT27" s="833" t="str">
        <x:f t="shared" si="74"/>
        <x:v/>
      </x:c>
      <x:c r="FU27" s="870">
        <x:f t="shared" si="75"/>
        <x:v>0</x:v>
      </x:c>
      <x:c r="FV27" s="871">
        <x:f t="shared" si="76"/>
        <x:v>0</x:v>
      </x:c>
      <x:c r="GA27" s="1791">
        <x:v>40</x:v>
      </x:c>
      <x:c r="GB27" s="1792">
        <x:v>0.75</x:v>
      </x:c>
      <x:c r="GC27" s="1793">
        <x:v>-0.25</x:v>
      </x:c>
      <x:c r="GD27" s="1794">
        <x:v>-0.5</x:v>
      </x:c>
      <x:c r="GE27" s="1795">
        <x:f t="shared" si="77"/>
        <x:v>0</x:v>
      </x:c>
      <x:c r="GF27" s="600" t="str">
        <x:f t="shared" si="78"/>
        <x:v>J5</x:v>
      </x:c>
      <x:c r="GG27" s="1130">
        <x:v>0</x:v>
      </x:c>
      <x:c r="GH27" s="1131">
        <x:v>0</x:v>
      </x:c>
      <x:c r="GI27" s="1130"/>
      <x:c r="GJ27" s="1131"/>
      <x:c r="GK27" s="1636">
        <x:f t="shared" si="79"/>
        <x:v>480</x:v>
      </x:c>
      <x:c r="GL27" s="1636">
        <x:f t="shared" si="80"/>
        <x:v>480</x:v>
      </x:c>
      <x:c r="GM27" s="1637">
        <x:f>IF(ABS(GK27-GL27)&gt;='Job Info.'!$L$22,ABS(GK27-GL27),0)</x:f>
        <x:v>0</x:v>
      </x:c>
      <x:c r="GZ27" s="415"/>
      <x:c r="HA27" s="1391" t="s">
        <x:v>1435</x:v>
      </x:c>
      <x:c r="HB27" s="1392">
        <x:v>1</x:v>
      </x:c>
      <x:c r="HC27" s="1392" t="s">
        <x:v>1592</x:v>
      </x:c>
      <x:c r="HD27" s="1393">
        <x:v>40</x:v>
      </x:c>
      <x:c r="HE27" s="1394">
        <x:v>0</x:v>
      </x:c>
      <x:c r="HF27" s="1392" t="s">
        <x:v>116</x:v>
      </x:c>
      <x:c r="HG27" s="1392" t="s">
        <x:v>116</x:v>
      </x:c>
      <x:c r="HH27" s="1392" t="s">
        <x:v>116</x:v>
      </x:c>
      <x:c r="HI27" s="1395" t="s">
        <x:v>116</x:v>
      </x:c>
      <x:c r="HJ27" s="1392" t="s">
        <x:v>116</x:v>
      </x:c>
      <x:c r="HK27" s="1392" t="s">
        <x:v>116</x:v>
      </x:c>
      <x:c r="HL27" s="1392">
        <x:v>5</x:v>
      </x:c>
      <x:c r="HM27" s="1392">
        <x:v>5</x:v>
      </x:c>
      <x:c r="HN27" s="1392" t="s">
        <x:v>116</x:v>
      </x:c>
      <x:c r="HO27" s="1392" t="s">
        <x:v>116</x:v>
      </x:c>
      <x:c r="HP27" s="1392" t="s">
        <x:v>116</x:v>
      </x:c>
      <x:c r="HQ27" s="1395" t="s">
        <x:v>116</x:v>
      </x:c>
      <x:c r="HR27" s="1392" t="s">
        <x:v>116</x:v>
      </x:c>
      <x:c r="HS27" s="1392" t="s">
        <x:v>116</x:v>
      </x:c>
      <x:c r="HT27" s="1392">
        <x:v>0</x:v>
      </x:c>
      <x:c r="HU27" s="1392">
        <x:v>2.25</x:v>
      </x:c>
      <x:c r="HV27" s="1392">
        <x:v>0</x:v>
      </x:c>
      <x:c r="HW27" s="1394">
        <x:v>2</x:v>
      </x:c>
      <x:c r="HX27" s="1394">
        <x:v>4</x:v>
      </x:c>
      <x:c r="HY27" s="1394" t="s">
        <x:v>116</x:v>
      </x:c>
      <x:c r="HZ27" s="1394" t="s">
        <x:v>116</x:v>
      </x:c>
      <x:c r="IA27" s="1394" t="s">
        <x:v>1650</x:v>
      </x:c>
      <x:c r="IB27" s="1394"/>
      <x:c r="IC27" s="1394"/>
      <x:c r="ID27" s="1394"/>
      <x:c r="IE27" s="1394"/>
      <x:c r="IF27" s="1396"/>
    </x:row>
    <x:row r="28" spans="1:240" ht="12.6" customHeight="1" x14ac:dyDescent="0.25">
      <x:c r="A28" s="2764" t="s">
        <x:v>1436</x:v>
      </x:c>
      <x:c r="B28" s="2765">
        <x:v>11</x:v>
      </x:c>
      <x:c r="C28" s="2766" t="s">
        <x:v>1592</x:v>
      </x:c>
      <x:c r="D28" s="2767">
        <x:v>40</x:v>
      </x:c>
      <x:c r="E28" s="2841">
        <x:v>0</x:v>
      </x:c>
      <x:c r="F28" s="2770" t="str">
        <x:f t="shared" si="86"/>
        <x:v/>
      </x:c>
      <x:c r="G28" s="2771" t="str">
        <x:f t="shared" si="87"/>
        <x:v/>
      </x:c>
      <x:c r="H28" s="2842" t="str">
        <x:f t="shared" si="88"/>
        <x:v/>
      </x:c>
      <x:c r="I28" s="2767" t="str">
        <x:f t="shared" si="89"/>
        <x:v/>
      </x:c>
      <x:c r="J28" s="2771" t="str">
        <x:f t="shared" si="90"/>
        <x:v/>
      </x:c>
      <x:c r="K28" s="2843" t="str">
        <x:f t="shared" si="91"/>
        <x:v/>
      </x:c>
      <x:c r="L28" s="2774">
        <x:v>5</x:v>
      </x:c>
      <x:c r="M28" s="2775">
        <x:v>5</x:v>
      </x:c>
      <x:c r="N28" s="2770" t="str">
        <x:f t="shared" si="92"/>
        <x:v/>
      </x:c>
      <x:c r="O28" s="2771" t="str">
        <x:f t="shared" si="93"/>
        <x:v/>
      </x:c>
      <x:c r="P28" s="2772" t="str">
        <x:f t="shared" si="94"/>
        <x:v/>
      </x:c>
      <x:c r="Q28" s="2767" t="str">
        <x:f t="shared" si="95"/>
        <x:v/>
      </x:c>
      <x:c r="R28" s="2771" t="str">
        <x:f t="shared" si="96"/>
        <x:v/>
      </x:c>
      <x:c r="S28" s="2819" t="str">
        <x:f t="shared" si="97"/>
        <x:v/>
      </x:c>
      <x:c r="T28" s="2770">
        <x:v>0</x:v>
      </x:c>
      <x:c r="U28" s="2771">
        <x:v>2.25</x:v>
      </x:c>
      <x:c r="V28" s="2767">
        <x:v>0</x:v>
      </x:c>
      <x:c r="W28" s="2771">
        <x:v>2</x:v>
      </x:c>
      <x:c r="X28" s="2816">
        <x:v>4</x:v>
      </x:c>
      <x:c r="Y28" s="2844" t="str">
        <x:f t="shared" si="98"/>
        <x:v/>
      </x:c>
      <x:c r="Z28" s="2845" t="str">
        <x:f t="shared" si="99"/>
        <x:v/>
      </x:c>
      <x:c r="AA28" s="2846" t="s">
        <x:v>1651</x:v>
      </x:c>
      <x:c r="AB28" s="1413"/>
      <x:c r="AC28" s="964" t="b">
        <x:v>0</x:v>
      </x:c>
      <x:c r="AD28" s="441">
        <x:f t="shared" si="1"/>
        <x:v>0</x:v>
      </x:c>
      <x:c r="AE28" s="442">
        <x:f t="shared" si="2"/>
        <x:v>11</x:v>
      </x:c>
      <x:c r="AF28" s="442">
        <x:f t="shared" si="3"/>
        <x:v>0</x:v>
      </x:c>
      <x:c r="AG28" s="442">
        <x:f t="shared" si="4"/>
        <x:v>0</x:v>
      </x:c>
      <x:c r="AH28" s="443">
        <x:f t="shared" si="5"/>
        <x:v>0</x:v>
      </x:c>
      <x:c r="AI28" s="444" t="b">
        <x:v>0</x:v>
      </x:c>
      <x:c r="AJ28" s="238">
        <x:f t="shared" ref="AJ28:AJ40" si="108">IF(OR(ISERROR(VALUE(LEFT(C28,SEARCH(AK28,C28)-1))),AK28=""),0,VALUE(LEFT(C28,SEARCH(AK28,C28)-1)))</x:f>
        <x:v>32</x:v>
      </x:c>
      <x:c r="AK28" s="238" t="str">
        <x:f t="shared" si="6"/>
        <x:v>LH</x:v>
      </x:c>
      <x:c r="AL28" s="1290" t="str">
        <x:f t="shared" si="7"/>
        <x:v/>
      </x:c>
      <x:c r="AM28" s="238">
        <x:f t="shared" si="8"/>
        <x:v>305</x:v>
      </x:c>
      <x:c r="AN28" s="238">
        <x:f t="shared" si="9"/>
        <x:v>180</x:v>
      </x:c>
      <x:c r="AO28" s="238" t="str">
        <x:f t="shared" si="10"/>
        <x:v/>
      </x:c>
      <x:c r="AP28" s="830" t="b">
        <x:f>IF(ISERROR(AJ28),FALSE,IF(OR(AJ28=0,ISERROR(AL28),ISERROR(AM28),ISERROR(AN28),ISERROR(AO28)),FALSE,IF(AL28&lt;&gt;"",IF(ISERROR(VLOOKUP(SUBSTITUTE(SUBSTITUTE(C28,"R",""),"A",""),TblJoistSize!$A:$A,1,FALSE)),FALSE,TRUE),TRUE)))</x:f>
        <x:v>1</x:v>
      </x:c>
      <x:c r="AQ28" s="1038">
        <x:f t="shared" si="11"/>
        <x:v>6</x:v>
      </x:c>
      <x:c r="AR28" s="945" t="b">
        <x:f t="shared" si="83"/>
        <x:v>1</x:v>
      </x:c>
      <x:c r="AS28" s="1038">
        <x:f t="shared" si="12"/>
        <x:v>6</x:v>
      </x:c>
      <x:c r="AT28" s="945" t="b">
        <x:f t="shared" si="84"/>
        <x:v>1</x:v>
      </x:c>
      <x:c r="AU28" s="1291" t="str">
        <x:f t="shared" si="13"/>
        <x:v>LH</x:v>
      </x:c>
      <x:c r="AV28" s="830" t="str">
        <x:f t="shared" si="14"/>
        <x:v/>
      </x:c>
      <x:c r="AW28" s="830" t="str">
        <x:f t="shared" si="81"/>
        <x:v>LH</x:v>
      </x:c>
      <x:c r="AX28" s="830" t="str">
        <x:f t="shared" si="85"/>
        <x:v>J6</x:v>
      </x:c>
      <x:c r="AY28" s="464" t="b">
        <x:f t="shared" si="15"/>
        <x:v>0</x:v>
      </x:c>
      <x:c r="AZ28" s="856" t="b">
        <x:f t="shared" si="82"/>
        <x:v>0</x:v>
      </x:c>
      <x:c r="BA28" s="549"/>
      <x:c r="BB28" s="672"/>
      <x:c r="BC28" s="1684"/>
      <x:c r="BD28" s="733"/>
      <x:c r="BE28" s="734"/>
      <x:c r="BF28" s="735"/>
      <x:c r="BG28" s="672"/>
      <x:c r="BH28" s="982"/>
      <x:c r="BI28" s="983"/>
      <x:c r="BJ28" s="1625"/>
      <x:c r="BK28" s="982"/>
      <x:c r="BL28" s="983"/>
      <x:c r="BM28" s="1569"/>
      <x:c r="BN28" s="1570"/>
      <x:c r="BO28" s="1617" t="str">
        <x:f>IF(ISERROR(CU28),"",IF(CU28="","",IF(VLOOKUP(BG28,SectInfo!$B:$N,10,FALSE)="","","X")))</x:f>
        <x:v/>
      </x:c>
      <x:c r="BP28" s="1561"/>
      <x:c r="BQ28" s="1562" t="str">
        <x:f t="shared" si="16"/>
        <x:v/>
      </x:c>
      <x:c r="BR28" s="1563"/>
      <x:c r="BS28" s="672"/>
      <x:c r="BT28" s="982"/>
      <x:c r="BU28" s="983"/>
      <x:c r="BV28" s="1625"/>
      <x:c r="BW28" s="982"/>
      <x:c r="BX28" s="983"/>
      <x:c r="BY28" s="1569"/>
      <x:c r="BZ28" s="1570"/>
      <x:c r="CA28" s="1617" t="str">
        <x:f>IF(ISERROR(DE28),"",IF(DE28="","",IF(VLOOKUP(BS28,SectInfo!$B:$N,10,FALSE)="","","X")))</x:f>
        <x:v/>
      </x:c>
      <x:c r="CB28" s="1561"/>
      <x:c r="CC28" s="1562" t="str">
        <x:f t="shared" si="17"/>
        <x:v/>
      </x:c>
      <x:c r="CD28" s="1563"/>
      <x:c r="CE28" s="1574"/>
      <x:c r="CF28" s="736"/>
      <x:c r="CG28" s="737"/>
      <x:c r="CH28" s="643" t="str">
        <x:f t="shared" si="18"/>
        <x:v/>
      </x:c>
      <x:c r="CI28" s="644" t="str">
        <x:f t="shared" si="19"/>
        <x:v/>
      </x:c>
      <x:c r="CJ28" s="645" t="str">
        <x:f t="shared" si="20"/>
        <x:v/>
      </x:c>
      <x:c r="CK28" s="852" t="str">
        <x:f t="shared" si="21"/>
        <x:v/>
      </x:c>
      <x:c r="CL28" s="847" t="str">
        <x:f t="shared" si="22"/>
        <x:v/>
      </x:c>
      <x:c r="CM28" s="848" t="str">
        <x:f t="shared" si="23"/>
        <x:v/>
      </x:c>
      <x:c r="CN28" s="611" t="str">
        <x:f t="shared" si="24"/>
        <x:v/>
      </x:c>
      <x:c r="CO28" s="612" t="str">
        <x:f t="shared" si="25"/>
        <x:v/>
      </x:c>
      <x:c r="CP28" s="615" t="str">
        <x:f t="shared" si="26"/>
        <x:v/>
      </x:c>
      <x:c r="CQ28" s="616" t="str">
        <x:f t="shared" si="27"/>
        <x:v/>
      </x:c>
      <x:c r="CR28" s="750">
        <x:f t="shared" si="28"/>
        <x:v>5</x:v>
      </x:c>
      <x:c r="CS28" s="751">
        <x:f t="shared" si="29"/>
        <x:v>5</x:v>
      </x:c>
      <x:c r="CU28" s="114" t="str">
        <x:f>IF(BG28="","",VLOOKUP(BG28,SectInfo!$B:$N,12,FALSE))</x:f>
        <x:v/>
      </x:c>
      <x:c r="CV28" s="115" t="str">
        <x:f>IF(BG28="","",IF(ISBLANK(BP28),VLOOKUP(BG28,SectInfo!$B:$N,13,FALSE),BP28))</x:f>
        <x:v/>
      </x:c>
      <x:c r="CW28" s="1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1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30"/>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31"/>
        <x:v>0</x:v>
      </x:c>
      <x:c r="DO28" s="818">
        <x:f t="shared" si="32"/>
        <x:v>0</x:v>
      </x:c>
      <x:c r="DP28" s="822" t="str">
        <x:f t="shared" si="33"/>
        <x:v/>
      </x:c>
      <x:c r="DQ28" s="822" t="str">
        <x:f t="shared" si="34"/>
        <x:v/>
      </x:c>
      <x:c r="DR28" s="822" t="str">
        <x:f t="shared" si="35"/>
        <x:v/>
      </x:c>
      <x:c r="DS28" s="821">
        <x:f t="shared" si="36"/>
        <x:v>0</x:v>
      </x:c>
      <x:c r="DT28" s="821">
        <x:f t="shared" si="37"/>
        <x:v>0</x:v>
      </x:c>
      <x:c r="DU28" s="821" t="str">
        <x:f t="shared" si="38"/>
        <x:v/>
      </x:c>
      <x:c r="DV28" s="822" t="str">
        <x:f t="shared" si="39"/>
        <x:v/>
      </x:c>
      <x:c r="DW28" s="856" t="str">
        <x:f t="shared" si="40"/>
        <x:v/>
      </x:c>
      <x:c r="DX28" s="1006">
        <x:f t="shared" si="100"/>
        <x:v>0</x:v>
      </x:c>
      <x:c r="DY28" s="822">
        <x:f t="shared" si="41"/>
        <x:v>0</x:v>
      </x:c>
      <x:c r="DZ28" s="821">
        <x:f t="shared" si="42"/>
        <x:v>0</x:v>
      </x:c>
      <x:c r="EA28" s="821" t="str">
        <x:f t="shared" si="43"/>
        <x:v/>
      </x:c>
      <x:c r="EB28" s="822" t="str">
        <x:f t="shared" si="101"/>
        <x:v/>
      </x:c>
      <x:c r="EC28" s="856" t="str">
        <x:f t="shared" si="44"/>
        <x:v/>
      </x:c>
      <x:c r="ED28" s="1006">
        <x:f t="shared" si="102"/>
        <x:v>0</x:v>
      </x:c>
      <x:c r="EE28" s="1293" t="str">
        <x:f t="shared" si="45"/>
        <x:v/>
      </x:c>
      <x:c r="EF28" s="822" t="str">
        <x:f t="shared" si="103"/>
        <x:v/>
      </x:c>
      <x:c r="EG28" s="822" t="str">
        <x:f t="shared" si="104"/>
        <x:v/>
      </x:c>
      <x:c r="EH28" s="856" t="str">
        <x:f t="shared" si="46"/>
        <x:v>ERR</x:v>
      </x:c>
      <x:c r="EI28" s="856" t="str">
        <x:f t="shared" si="47"/>
        <x:v>ERR</x:v>
      </x:c>
      <x:c r="EJ28" s="822" t="str">
        <x:f t="shared" si="48"/>
        <x:v/>
      </x:c>
      <x:c r="EK28" s="822" t="str">
        <x:f t="shared" si="48"/>
        <x:v/>
      </x:c>
      <x:c r="EL28" s="1293" t="str">
        <x:f t="shared" si="49"/>
        <x:v/>
      </x:c>
      <x:c r="EM28" s="822" t="str">
        <x:f t="shared" si="105"/>
        <x:v/>
      </x:c>
      <x:c r="EN28" s="822" t="str">
        <x:f t="shared" si="106"/>
        <x:v/>
      </x:c>
      <x:c r="EO28" s="856" t="str">
        <x:f t="shared" si="50"/>
        <x:v>ERR</x:v>
      </x:c>
      <x:c r="EP28" s="856" t="str">
        <x:f t="shared" si="51"/>
        <x:v>ERR</x:v>
      </x:c>
      <x:c r="EQ28" s="822" t="str">
        <x:f t="shared" si="52"/>
        <x:v/>
      </x:c>
      <x:c r="ER28" s="822" t="str">
        <x:f t="shared" si="52"/>
        <x:v/>
      </x:c>
      <x:c r="ES28" s="822" t="str">
        <x:f t="shared" si="53"/>
        <x:v/>
      </x:c>
      <x:c r="ET28" s="822" t="str">
        <x:f t="shared" si="54"/>
        <x:v/>
      </x:c>
      <x:c r="EU28" s="829">
        <x:f t="shared" si="55"/>
        <x:v>4</x:v>
      </x:c>
      <x:c r="EV28" s="824" t="str">
        <x:f t="shared" si="107"/>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56"/>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57"/>
        <x:v/>
      </x:c>
      <x:c r="FD28" s="822">
        <x:f t="shared" si="58"/>
        <x:v>0</x:v>
      </x:c>
      <x:c r="FE28" s="822">
        <x:f t="shared" si="59"/>
        <x:v>0</x:v>
      </x:c>
      <x:c r="FF28" s="821">
        <x:f t="shared" si="60"/>
        <x:v>0</x:v>
      </x:c>
      <x:c r="FG28" s="821" t="str">
        <x:f t="shared" si="61"/>
        <x:v/>
      </x:c>
      <x:c r="FH28" s="822" t="str">
        <x:f t="shared" si="62"/>
        <x:v/>
      </x:c>
      <x:c r="FI28" s="822">
        <x:f t="shared" si="63"/>
        <x:v>0</x:v>
      </x:c>
      <x:c r="FJ28" s="822">
        <x:f t="shared" si="64"/>
        <x:v>0</x:v>
      </x:c>
      <x:c r="FK28" s="821">
        <x:f t="shared" si="65"/>
        <x:v>0</x:v>
      </x:c>
      <x:c r="FL28" s="821" t="str">
        <x:f t="shared" si="66"/>
        <x:v/>
      </x:c>
      <x:c r="FM28" s="822" t="str">
        <x:f t="shared" si="67"/>
        <x:v/>
      </x:c>
      <x:c r="FN28" s="822" t="e">
        <x:f t="shared" si="68"/>
        <x:v>#VALUE!</x:v>
      </x:c>
      <x:c r="FO28" s="940" t="e">
        <x:f t="shared" si="69"/>
        <x:v>#VALUE!</x:v>
      </x:c>
      <x:c r="FP28" s="940" t="e">
        <x:f t="shared" si="70"/>
        <x:v>#VALUE!</x:v>
      </x:c>
      <x:c r="FQ28" s="830" t="e">
        <x:f t="shared" si="71"/>
        <x:v>#VALUE!</x:v>
      </x:c>
      <x:c r="FR28" s="831" t="e">
        <x:f t="shared" si="72"/>
        <x:v>#VALUE!</x:v>
      </x:c>
      <x:c r="FS28" s="832" t="str">
        <x:f t="shared" si="73"/>
        <x:v/>
      </x:c>
      <x:c r="FT28" s="833" t="str">
        <x:f t="shared" si="74"/>
        <x:v/>
      </x:c>
      <x:c r="FU28" s="870">
        <x:f t="shared" si="75"/>
        <x:v>0</x:v>
      </x:c>
      <x:c r="FV28" s="871">
        <x:f t="shared" si="76"/>
        <x:v>0</x:v>
      </x:c>
      <x:c r="GA28" s="1791">
        <x:v>40</x:v>
      </x:c>
      <x:c r="GB28" s="1792">
        <x:v>0.75</x:v>
      </x:c>
      <x:c r="GC28" s="1793">
        <x:v>-0.25</x:v>
      </x:c>
      <x:c r="GD28" s="1794">
        <x:v>-0.5</x:v>
      </x:c>
      <x:c r="GE28" s="1795">
        <x:f t="shared" si="77"/>
        <x:v>0</x:v>
      </x:c>
      <x:c r="GF28" s="600" t="str">
        <x:f t="shared" si="78"/>
        <x:v>J6</x:v>
      </x:c>
      <x:c r="GG28" s="1130">
        <x:v>0</x:v>
      </x:c>
      <x:c r="GH28" s="1131">
        <x:v>0</x:v>
      </x:c>
      <x:c r="GI28" s="1130"/>
      <x:c r="GJ28" s="1131"/>
      <x:c r="GK28" s="1636">
        <x:f t="shared" si="79"/>
        <x:v>480</x:v>
      </x:c>
      <x:c r="GL28" s="1636">
        <x:f t="shared" si="80"/>
        <x:v>480</x:v>
      </x:c>
      <x:c r="GM28" s="1637">
        <x:f>IF(ABS(GK28-GL28)&gt;='Job Info.'!$L$22,ABS(GK28-GL28),0)</x:f>
        <x:v>0</x:v>
      </x:c>
      <x:c r="GZ28" s="415"/>
      <x:c r="HA28" s="1391" t="s">
        <x:v>1436</x:v>
      </x:c>
      <x:c r="HB28" s="1392">
        <x:v>11</x:v>
      </x:c>
      <x:c r="HC28" s="1392" t="s">
        <x:v>1592</x:v>
      </x:c>
      <x:c r="HD28" s="1393">
        <x:v>40</x:v>
      </x:c>
      <x:c r="HE28" s="1394">
        <x:v>0</x:v>
      </x:c>
      <x:c r="HF28" s="1392" t="s">
        <x:v>116</x:v>
      </x:c>
      <x:c r="HG28" s="1392" t="s">
        <x:v>116</x:v>
      </x:c>
      <x:c r="HH28" s="1392" t="s">
        <x:v>116</x:v>
      </x:c>
      <x:c r="HI28" s="1395" t="s">
        <x:v>116</x:v>
      </x:c>
      <x:c r="HJ28" s="1392" t="s">
        <x:v>116</x:v>
      </x:c>
      <x:c r="HK28" s="1392" t="s">
        <x:v>116</x:v>
      </x:c>
      <x:c r="HL28" s="1392">
        <x:v>5</x:v>
      </x:c>
      <x:c r="HM28" s="1392">
        <x:v>5</x:v>
      </x:c>
      <x:c r="HN28" s="1392" t="s">
        <x:v>116</x:v>
      </x:c>
      <x:c r="HO28" s="1392" t="s">
        <x:v>116</x:v>
      </x:c>
      <x:c r="HP28" s="1392" t="s">
        <x:v>116</x:v>
      </x:c>
      <x:c r="HQ28" s="1395" t="s">
        <x:v>116</x:v>
      </x:c>
      <x:c r="HR28" s="1392" t="s">
        <x:v>116</x:v>
      </x:c>
      <x:c r="HS28" s="1392" t="s">
        <x:v>116</x:v>
      </x:c>
      <x:c r="HT28" s="1392">
        <x:v>0</x:v>
      </x:c>
      <x:c r="HU28" s="1392">
        <x:v>2.25</x:v>
      </x:c>
      <x:c r="HV28" s="1392">
        <x:v>0</x:v>
      </x:c>
      <x:c r="HW28" s="1394">
        <x:v>2</x:v>
      </x:c>
      <x:c r="HX28" s="1394">
        <x:v>4</x:v>
      </x:c>
      <x:c r="HY28" s="1394" t="s">
        <x:v>116</x:v>
      </x:c>
      <x:c r="HZ28" s="1394" t="s">
        <x:v>116</x:v>
      </x:c>
      <x:c r="IA28" s="1394" t="s">
        <x:v>1651</x:v>
      </x:c>
      <x:c r="IB28" s="1394"/>
      <x:c r="IC28" s="1394"/>
      <x:c r="ID28" s="1394"/>
      <x:c r="IE28" s="1394"/>
      <x:c r="IF28" s="1396"/>
    </x:row>
    <x:row r="29" spans="1:240" ht="12.6" customHeight="1" x14ac:dyDescent="0.25">
      <x:c r="A29" s="2764" t="s">
        <x:v>1437</x:v>
      </x:c>
      <x:c r="B29" s="2765">
        <x:v>14</x:v>
      </x:c>
      <x:c r="C29" s="2766" t="s">
        <x:v>1592</x:v>
      </x:c>
      <x:c r="D29" s="2767">
        <x:v>40</x:v>
      </x:c>
      <x:c r="E29" s="2841">
        <x:v>0</x:v>
      </x:c>
      <x:c r="F29" s="2770" t="str">
        <x:f t="shared" si="86"/>
        <x:v/>
      </x:c>
      <x:c r="G29" s="2771" t="str">
        <x:f t="shared" si="87"/>
        <x:v/>
      </x:c>
      <x:c r="H29" s="2842" t="str">
        <x:f t="shared" si="88"/>
        <x:v/>
      </x:c>
      <x:c r="I29" s="2767" t="str">
        <x:f t="shared" si="89"/>
        <x:v/>
      </x:c>
      <x:c r="J29" s="2771" t="str">
        <x:f t="shared" si="90"/>
        <x:v/>
      </x:c>
      <x:c r="K29" s="2843" t="str">
        <x:f t="shared" si="91"/>
        <x:v/>
      </x:c>
      <x:c r="L29" s="2774">
        <x:v>5</x:v>
      </x:c>
      <x:c r="M29" s="2775">
        <x:v>5</x:v>
      </x:c>
      <x:c r="N29" s="2770" t="str">
        <x:f t="shared" si="92"/>
        <x:v/>
      </x:c>
      <x:c r="O29" s="2771" t="str">
        <x:f t="shared" si="93"/>
        <x:v/>
      </x:c>
      <x:c r="P29" s="2772" t="str">
        <x:f t="shared" si="94"/>
        <x:v/>
      </x:c>
      <x:c r="Q29" s="2767" t="str">
        <x:f t="shared" si="95"/>
        <x:v/>
      </x:c>
      <x:c r="R29" s="2771" t="str">
        <x:f t="shared" si="96"/>
        <x:v/>
      </x:c>
      <x:c r="S29" s="2819" t="str">
        <x:f t="shared" si="97"/>
        <x:v/>
      </x:c>
      <x:c r="T29" s="2770">
        <x:v>0</x:v>
      </x:c>
      <x:c r="U29" s="2771">
        <x:v>2.25</x:v>
      </x:c>
      <x:c r="V29" s="2767">
        <x:v>0</x:v>
      </x:c>
      <x:c r="W29" s="2771">
        <x:v>2</x:v>
      </x:c>
      <x:c r="X29" s="2816">
        <x:v>4</x:v>
      </x:c>
      <x:c r="Y29" s="2844" t="str">
        <x:f t="shared" si="98"/>
        <x:v/>
      </x:c>
      <x:c r="Z29" s="2845" t="str">
        <x:f t="shared" si="99"/>
        <x:v/>
      </x:c>
      <x:c r="AA29" s="2846" t="s">
        <x:v>1652</x:v>
      </x:c>
      <x:c r="AB29" s="1413"/>
      <x:c r="AC29" s="964" t="b">
        <x:v>0</x:v>
      </x:c>
      <x:c r="AD29" s="441">
        <x:f t="shared" si="1"/>
        <x:v>0</x:v>
      </x:c>
      <x:c r="AE29" s="442">
        <x:f t="shared" si="2"/>
        <x:v>14</x:v>
      </x:c>
      <x:c r="AF29" s="442">
        <x:f t="shared" si="3"/>
        <x:v>0</x:v>
      </x:c>
      <x:c r="AG29" s="442">
        <x:f t="shared" si="4"/>
        <x:v>0</x:v>
      </x:c>
      <x:c r="AH29" s="443">
        <x:f t="shared" si="5"/>
        <x:v>0</x:v>
      </x:c>
      <x:c r="AI29" s="444" t="b">
        <x:v>0</x:v>
      </x:c>
      <x:c r="AJ29" s="238">
        <x:f t="shared" si="108"/>
        <x:v>32</x:v>
      </x:c>
      <x:c r="AK29" s="238" t="str">
        <x:f t="shared" si="6"/>
        <x:v>LH</x:v>
      </x:c>
      <x:c r="AL29" s="1290" t="str">
        <x:f t="shared" si="7"/>
        <x:v/>
      </x:c>
      <x:c r="AM29" s="238">
        <x:f t="shared" si="8"/>
        <x:v>305</x:v>
      </x:c>
      <x:c r="AN29" s="238">
        <x:f t="shared" si="9"/>
        <x:v>180</x:v>
      </x:c>
      <x:c r="AO29" s="238" t="str">
        <x:f t="shared" si="10"/>
        <x:v/>
      </x:c>
      <x:c r="AP29" s="830" t="b">
        <x:f>IF(ISERROR(AJ29),FALSE,IF(OR(AJ29=0,ISERROR(AL29),ISERROR(AM29),ISERROR(AN29),ISERROR(AO29)),FALSE,IF(AL29&lt;&gt;"",IF(ISERROR(VLOOKUP(SUBSTITUTE(SUBSTITUTE(C29,"R",""),"A",""),TblJoistSize!$A:$A,1,FALSE)),FALSE,TRUE),TRUE)))</x:f>
        <x:v>1</x:v>
      </x:c>
      <x:c r="AQ29" s="1038">
        <x:f t="shared" si="11"/>
        <x:v>6</x:v>
      </x:c>
      <x:c r="AR29" s="945" t="b">
        <x:f t="shared" si="83"/>
        <x:v>1</x:v>
      </x:c>
      <x:c r="AS29" s="1038">
        <x:f t="shared" si="12"/>
        <x:v>6</x:v>
      </x:c>
      <x:c r="AT29" s="945" t="b">
        <x:f t="shared" si="84"/>
        <x:v>1</x:v>
      </x:c>
      <x:c r="AU29" s="1291" t="str">
        <x:f t="shared" si="13"/>
        <x:v>LH</x:v>
      </x:c>
      <x:c r="AV29" s="830" t="str">
        <x:f t="shared" si="14"/>
        <x:v/>
      </x:c>
      <x:c r="AW29" s="830" t="str">
        <x:f t="shared" si="81"/>
        <x:v>LH</x:v>
      </x:c>
      <x:c r="AX29" s="830" t="str">
        <x:f t="shared" si="85"/>
        <x:v>J7</x:v>
      </x:c>
      <x:c r="AY29" s="464" t="b">
        <x:f t="shared" si="15"/>
        <x:v>0</x:v>
      </x:c>
      <x:c r="AZ29" s="856" t="b">
        <x:f t="shared" si="82"/>
        <x:v>0</x:v>
      </x:c>
      <x:c r="BA29" s="549"/>
      <x:c r="BB29" s="672"/>
      <x:c r="BC29" s="1684"/>
      <x:c r="BD29" s="733"/>
      <x:c r="BE29" s="734"/>
      <x:c r="BF29" s="735"/>
      <x:c r="BG29" s="672"/>
      <x:c r="BH29" s="982"/>
      <x:c r="BI29" s="983"/>
      <x:c r="BJ29" s="1625"/>
      <x:c r="BK29" s="982"/>
      <x:c r="BL29" s="983"/>
      <x:c r="BM29" s="1569"/>
      <x:c r="BN29" s="1570"/>
      <x:c r="BO29" s="1617" t="str">
        <x:f>IF(ISERROR(CU29),"",IF(CU29="","",IF(VLOOKUP(BG29,SectInfo!$B:$N,10,FALSE)="","","X")))</x:f>
        <x:v/>
      </x:c>
      <x:c r="BP29" s="1561"/>
      <x:c r="BQ29" s="1562" t="str">
        <x:f t="shared" si="16"/>
        <x:v/>
      </x:c>
      <x:c r="BR29" s="1563"/>
      <x:c r="BS29" s="672"/>
      <x:c r="BT29" s="982"/>
      <x:c r="BU29" s="983"/>
      <x:c r="BV29" s="1625"/>
      <x:c r="BW29" s="982"/>
      <x:c r="BX29" s="983"/>
      <x:c r="BY29" s="1569"/>
      <x:c r="BZ29" s="1570"/>
      <x:c r="CA29" s="1617" t="str">
        <x:f>IF(ISERROR(DE29),"",IF(DE29="","",IF(VLOOKUP(BS29,SectInfo!$B:$N,10,FALSE)="","","X")))</x:f>
        <x:v/>
      </x:c>
      <x:c r="CB29" s="1561"/>
      <x:c r="CC29" s="1562" t="str">
        <x:f t="shared" si="17"/>
        <x:v/>
      </x:c>
      <x:c r="CD29" s="1563"/>
      <x:c r="CE29" s="1574"/>
      <x:c r="CF29" s="736"/>
      <x:c r="CG29" s="737"/>
      <x:c r="CH29" s="643" t="str">
        <x:f t="shared" si="18"/>
        <x:v/>
      </x:c>
      <x:c r="CI29" s="644" t="str">
        <x:f t="shared" si="19"/>
        <x:v/>
      </x:c>
      <x:c r="CJ29" s="645" t="str">
        <x:f t="shared" si="20"/>
        <x:v/>
      </x:c>
      <x:c r="CK29" s="852" t="str">
        <x:f t="shared" si="21"/>
        <x:v/>
      </x:c>
      <x:c r="CL29" s="847" t="str">
        <x:f t="shared" si="22"/>
        <x:v/>
      </x:c>
      <x:c r="CM29" s="848" t="str">
        <x:f t="shared" si="23"/>
        <x:v/>
      </x:c>
      <x:c r="CN29" s="611" t="str">
        <x:f t="shared" si="24"/>
        <x:v/>
      </x:c>
      <x:c r="CO29" s="612" t="str">
        <x:f t="shared" si="25"/>
        <x:v/>
      </x:c>
      <x:c r="CP29" s="615" t="str">
        <x:f t="shared" si="26"/>
        <x:v/>
      </x:c>
      <x:c r="CQ29" s="616" t="str">
        <x:f t="shared" si="27"/>
        <x:v/>
      </x:c>
      <x:c r="CR29" s="750">
        <x:f t="shared" si="28"/>
        <x:v>5</x:v>
      </x:c>
      <x:c r="CS29" s="751">
        <x:f t="shared" si="29"/>
        <x:v>5</x:v>
      </x:c>
      <x:c r="CU29" s="114" t="str">
        <x:f>IF(BG29="","",VLOOKUP(BG29,SectInfo!$B:$N,12,FALSE))</x:f>
        <x:v/>
      </x:c>
      <x:c r="CV29" s="115" t="str">
        <x:f>IF(BG29="","",IF(ISBLANK(BP29),VLOOKUP(BG29,SectInfo!$B:$N,13,FALSE),BP29))</x:f>
        <x:v/>
      </x:c>
      <x:c r="CW29" s="1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1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30"/>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31"/>
        <x:v>0</x:v>
      </x:c>
      <x:c r="DO29" s="818">
        <x:f t="shared" si="32"/>
        <x:v>0</x:v>
      </x:c>
      <x:c r="DP29" s="822" t="str">
        <x:f t="shared" si="33"/>
        <x:v/>
      </x:c>
      <x:c r="DQ29" s="822" t="str">
        <x:f t="shared" si="34"/>
        <x:v/>
      </x:c>
      <x:c r="DR29" s="822" t="str">
        <x:f t="shared" si="35"/>
        <x:v/>
      </x:c>
      <x:c r="DS29" s="821">
        <x:f t="shared" si="36"/>
        <x:v>0</x:v>
      </x:c>
      <x:c r="DT29" s="821">
        <x:f t="shared" si="37"/>
        <x:v>0</x:v>
      </x:c>
      <x:c r="DU29" s="821" t="str">
        <x:f t="shared" si="38"/>
        <x:v/>
      </x:c>
      <x:c r="DV29" s="822" t="str">
        <x:f t="shared" si="39"/>
        <x:v/>
      </x:c>
      <x:c r="DW29" s="856" t="str">
        <x:f t="shared" si="40"/>
        <x:v/>
      </x:c>
      <x:c r="DX29" s="1006">
        <x:f t="shared" si="100"/>
        <x:v>0</x:v>
      </x:c>
      <x:c r="DY29" s="822">
        <x:f t="shared" si="41"/>
        <x:v>0</x:v>
      </x:c>
      <x:c r="DZ29" s="821">
        <x:f t="shared" si="42"/>
        <x:v>0</x:v>
      </x:c>
      <x:c r="EA29" s="821" t="str">
        <x:f t="shared" si="43"/>
        <x:v/>
      </x:c>
      <x:c r="EB29" s="822" t="str">
        <x:f t="shared" si="101"/>
        <x:v/>
      </x:c>
      <x:c r="EC29" s="856" t="str">
        <x:f t="shared" si="44"/>
        <x:v/>
      </x:c>
      <x:c r="ED29" s="1006">
        <x:f t="shared" si="102"/>
        <x:v>0</x:v>
      </x:c>
      <x:c r="EE29" s="1293" t="str">
        <x:f t="shared" si="45"/>
        <x:v/>
      </x:c>
      <x:c r="EF29" s="822" t="str">
        <x:f t="shared" si="103"/>
        <x:v/>
      </x:c>
      <x:c r="EG29" s="822" t="str">
        <x:f t="shared" si="104"/>
        <x:v/>
      </x:c>
      <x:c r="EH29" s="856" t="str">
        <x:f t="shared" si="46"/>
        <x:v>ERR</x:v>
      </x:c>
      <x:c r="EI29" s="856" t="str">
        <x:f t="shared" si="47"/>
        <x:v>ERR</x:v>
      </x:c>
      <x:c r="EJ29" s="822" t="str">
        <x:f t="shared" si="48"/>
        <x:v/>
      </x:c>
      <x:c r="EK29" s="822" t="str">
        <x:f t="shared" si="48"/>
        <x:v/>
      </x:c>
      <x:c r="EL29" s="1293" t="str">
        <x:f t="shared" si="49"/>
        <x:v/>
      </x:c>
      <x:c r="EM29" s="822" t="str">
        <x:f t="shared" si="105"/>
        <x:v/>
      </x:c>
      <x:c r="EN29" s="822" t="str">
        <x:f t="shared" si="106"/>
        <x:v/>
      </x:c>
      <x:c r="EO29" s="856" t="str">
        <x:f t="shared" si="50"/>
        <x:v>ERR</x:v>
      </x:c>
      <x:c r="EP29" s="856" t="str">
        <x:f t="shared" si="51"/>
        <x:v>ERR</x:v>
      </x:c>
      <x:c r="EQ29" s="822" t="str">
        <x:f t="shared" si="52"/>
        <x:v/>
      </x:c>
      <x:c r="ER29" s="822" t="str">
        <x:f t="shared" si="52"/>
        <x:v/>
      </x:c>
      <x:c r="ES29" s="822" t="str">
        <x:f t="shared" si="53"/>
        <x:v/>
      </x:c>
      <x:c r="ET29" s="822" t="str">
        <x:f t="shared" si="54"/>
        <x:v/>
      </x:c>
      <x:c r="EU29" s="829">
        <x:f t="shared" si="55"/>
        <x:v>4</x:v>
      </x:c>
      <x:c r="EV29" s="824" t="str">
        <x:f t="shared" si="107"/>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56"/>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57"/>
        <x:v/>
      </x:c>
      <x:c r="FD29" s="822">
        <x:f t="shared" si="58"/>
        <x:v>0</x:v>
      </x:c>
      <x:c r="FE29" s="822">
        <x:f t="shared" si="59"/>
        <x:v>0</x:v>
      </x:c>
      <x:c r="FF29" s="821">
        <x:f t="shared" si="60"/>
        <x:v>0</x:v>
      </x:c>
      <x:c r="FG29" s="821" t="str">
        <x:f t="shared" si="61"/>
        <x:v/>
      </x:c>
      <x:c r="FH29" s="822" t="str">
        <x:f t="shared" si="62"/>
        <x:v/>
      </x:c>
      <x:c r="FI29" s="822">
        <x:f t="shared" si="63"/>
        <x:v>0</x:v>
      </x:c>
      <x:c r="FJ29" s="822">
        <x:f t="shared" si="64"/>
        <x:v>0</x:v>
      </x:c>
      <x:c r="FK29" s="821">
        <x:f t="shared" si="65"/>
        <x:v>0</x:v>
      </x:c>
      <x:c r="FL29" s="821" t="str">
        <x:f t="shared" si="66"/>
        <x:v/>
      </x:c>
      <x:c r="FM29" s="822" t="str">
        <x:f t="shared" si="67"/>
        <x:v/>
      </x:c>
      <x:c r="FN29" s="822" t="e">
        <x:f t="shared" si="68"/>
        <x:v>#VALUE!</x:v>
      </x:c>
      <x:c r="FO29" s="940" t="e">
        <x:f t="shared" si="69"/>
        <x:v>#VALUE!</x:v>
      </x:c>
      <x:c r="FP29" s="940" t="e">
        <x:f t="shared" si="70"/>
        <x:v>#VALUE!</x:v>
      </x:c>
      <x:c r="FQ29" s="830" t="e">
        <x:f t="shared" si="71"/>
        <x:v>#VALUE!</x:v>
      </x:c>
      <x:c r="FR29" s="831" t="e">
        <x:f t="shared" si="72"/>
        <x:v>#VALUE!</x:v>
      </x:c>
      <x:c r="FS29" s="832" t="str">
        <x:f t="shared" si="73"/>
        <x:v/>
      </x:c>
      <x:c r="FT29" s="833" t="str">
        <x:f t="shared" si="74"/>
        <x:v/>
      </x:c>
      <x:c r="FU29" s="870">
        <x:f t="shared" si="75"/>
        <x:v>0</x:v>
      </x:c>
      <x:c r="FV29" s="871">
        <x:f t="shared" si="76"/>
        <x:v>0</x:v>
      </x:c>
      <x:c r="GA29" s="1791">
        <x:v>40</x:v>
      </x:c>
      <x:c r="GB29" s="1792">
        <x:v>0.75</x:v>
      </x:c>
      <x:c r="GC29" s="1793">
        <x:v>-0.25</x:v>
      </x:c>
      <x:c r="GD29" s="1794">
        <x:v>-0.5</x:v>
      </x:c>
      <x:c r="GE29" s="1795">
        <x:f t="shared" si="77"/>
        <x:v>0</x:v>
      </x:c>
      <x:c r="GF29" s="600" t="str">
        <x:f t="shared" si="78"/>
        <x:v>J7</x:v>
      </x:c>
      <x:c r="GG29" s="1130">
        <x:v>0</x:v>
      </x:c>
      <x:c r="GH29" s="1131">
        <x:v>0</x:v>
      </x:c>
      <x:c r="GI29" s="1130"/>
      <x:c r="GJ29" s="1131"/>
      <x:c r="GK29" s="1636">
        <x:f t="shared" si="79"/>
        <x:v>480</x:v>
      </x:c>
      <x:c r="GL29" s="1636">
        <x:f t="shared" si="80"/>
        <x:v>480</x:v>
      </x:c>
      <x:c r="GM29" s="1637">
        <x:f>IF(ABS(GK29-GL29)&gt;='Job Info.'!$L$22,ABS(GK29-GL29),0)</x:f>
        <x:v>0</x:v>
      </x:c>
      <x:c r="GZ29" s="415"/>
      <x:c r="HA29" s="1391" t="s">
        <x:v>1437</x:v>
      </x:c>
      <x:c r="HB29" s="1392">
        <x:v>14</x:v>
      </x:c>
      <x:c r="HC29" s="1392" t="s">
        <x:v>1592</x:v>
      </x:c>
      <x:c r="HD29" s="1393">
        <x:v>40</x:v>
      </x:c>
      <x:c r="HE29" s="1394">
        <x:v>0</x:v>
      </x:c>
      <x:c r="HF29" s="1392" t="s">
        <x:v>116</x:v>
      </x:c>
      <x:c r="HG29" s="1392" t="s">
        <x:v>116</x:v>
      </x:c>
      <x:c r="HH29" s="1392" t="s">
        <x:v>116</x:v>
      </x:c>
      <x:c r="HI29" s="1395" t="s">
        <x:v>116</x:v>
      </x:c>
      <x:c r="HJ29" s="1392" t="s">
        <x:v>116</x:v>
      </x:c>
      <x:c r="HK29" s="1392" t="s">
        <x:v>116</x:v>
      </x:c>
      <x:c r="HL29" s="1392">
        <x:v>5</x:v>
      </x:c>
      <x:c r="HM29" s="1392">
        <x:v>5</x:v>
      </x:c>
      <x:c r="HN29" s="1392" t="s">
        <x:v>116</x:v>
      </x:c>
      <x:c r="HO29" s="1392" t="s">
        <x:v>116</x:v>
      </x:c>
      <x:c r="HP29" s="1392" t="s">
        <x:v>116</x:v>
      </x:c>
      <x:c r="HQ29" s="1395" t="s">
        <x:v>116</x:v>
      </x:c>
      <x:c r="HR29" s="1392" t="s">
        <x:v>116</x:v>
      </x:c>
      <x:c r="HS29" s="1392" t="s">
        <x:v>116</x:v>
      </x:c>
      <x:c r="HT29" s="1392">
        <x:v>0</x:v>
      </x:c>
      <x:c r="HU29" s="1392">
        <x:v>2.25</x:v>
      </x:c>
      <x:c r="HV29" s="1392">
        <x:v>0</x:v>
      </x:c>
      <x:c r="HW29" s="1394">
        <x:v>2</x:v>
      </x:c>
      <x:c r="HX29" s="1394">
        <x:v>4</x:v>
      </x:c>
      <x:c r="HY29" s="1394" t="s">
        <x:v>116</x:v>
      </x:c>
      <x:c r="HZ29" s="1394" t="s">
        <x:v>116</x:v>
      </x:c>
      <x:c r="IA29" s="1394" t="s">
        <x:v>1652</x:v>
      </x:c>
      <x:c r="IB29" s="1394"/>
      <x:c r="IC29" s="1394"/>
      <x:c r="ID29" s="1394"/>
      <x:c r="IE29" s="1394"/>
      <x:c r="IF29" s="1396"/>
    </x:row>
    <x:row r="30" spans="1:240" ht="12.6" customHeight="1" x14ac:dyDescent="0.25">
      <x:c r="A30" s="2764" t="s">
        <x:v>1438</x:v>
      </x:c>
      <x:c r="B30" s="2765">
        <x:v>2</x:v>
      </x:c>
      <x:c r="C30" s="2766" t="s">
        <x:v>1592</x:v>
      </x:c>
      <x:c r="D30" s="2767">
        <x:v>39</x:v>
      </x:c>
      <x:c r="E30" s="2841">
        <x:v>2.25</x:v>
      </x:c>
      <x:c r="F30" s="2770" t="str">
        <x:f t="shared" si="86"/>
        <x:v/>
      </x:c>
      <x:c r="G30" s="2771" t="str">
        <x:f t="shared" si="87"/>
        <x:v/>
      </x:c>
      <x:c r="H30" s="2842" t="str">
        <x:f t="shared" si="88"/>
        <x:v/>
      </x:c>
      <x:c r="I30" s="2767" t="str">
        <x:f t="shared" si="89"/>
        <x:v/>
      </x:c>
      <x:c r="J30" s="2771" t="str">
        <x:f t="shared" si="90"/>
        <x:v/>
      </x:c>
      <x:c r="K30" s="2843" t="str">
        <x:f t="shared" si="91"/>
        <x:v/>
      </x:c>
      <x:c r="L30" s="2774">
        <x:v>5</x:v>
      </x:c>
      <x:c r="M30" s="2775">
        <x:v>5</x:v>
      </x:c>
      <x:c r="N30" s="2770">
        <x:v>0</x:v>
      </x:c>
      <x:c r="O30" s="2771">
        <x:v>6.75</x:v>
      </x:c>
      <x:c r="P30" s="2772">
        <x:v>2</x:v>
      </x:c>
      <x:c r="Q30" s="2767" t="str">
        <x:f t="shared" si="95"/>
        <x:v/>
      </x:c>
      <x:c r="R30" s="2771" t="str">
        <x:f t="shared" si="96"/>
        <x:v/>
      </x:c>
      <x:c r="S30" s="2819" t="str">
        <x:f t="shared" si="97"/>
        <x:v/>
      </x:c>
      <x:c r="T30" s="2770">
        <x:v>0</x:v>
      </x:c>
      <x:c r="U30" s="2771">
        <x:v>2.25</x:v>
      </x:c>
      <x:c r="V30" s="2767">
        <x:v>0</x:v>
      </x:c>
      <x:c r="W30" s="2771">
        <x:v>2</x:v>
      </x:c>
      <x:c r="X30" s="2816">
        <x:v>4</x:v>
      </x:c>
      <x:c r="Y30" s="2844" t="str">
        <x:f t="shared" si="98"/>
        <x:v/>
      </x:c>
      <x:c r="Z30" s="2845" t="str">
        <x:f t="shared" si="99"/>
        <x:v/>
      </x:c>
      <x:c r="AA30" s="2846" t="s">
        <x:v>1652</x:v>
      </x:c>
      <x:c r="AB30" s="1413"/>
      <x:c r="AC30" s="964" t="b">
        <x:v>0</x:v>
      </x:c>
      <x:c r="AD30" s="441">
        <x:f t="shared" si="1"/>
        <x:v>0</x:v>
      </x:c>
      <x:c r="AE30" s="442">
        <x:f t="shared" si="2"/>
        <x:v>2</x:v>
      </x:c>
      <x:c r="AF30" s="442">
        <x:f t="shared" si="3"/>
        <x:v>0</x:v>
      </x:c>
      <x:c r="AG30" s="442">
        <x:f t="shared" si="4"/>
        <x:v>0</x:v>
      </x:c>
      <x:c r="AH30" s="443">
        <x:f t="shared" si="5"/>
        <x:v>0</x:v>
      </x:c>
      <x:c r="AI30" s="444" t="b">
        <x:v>0</x:v>
      </x:c>
      <x:c r="AJ30" s="238">
        <x:f t="shared" si="108"/>
        <x:v>32</x:v>
      </x:c>
      <x:c r="AK30" s="238" t="str">
        <x:f t="shared" si="6"/>
        <x:v>LH</x:v>
      </x:c>
      <x:c r="AL30" s="1290" t="str">
        <x:f t="shared" si="7"/>
        <x:v/>
      </x:c>
      <x:c r="AM30" s="238">
        <x:f t="shared" si="8"/>
        <x:v>305</x:v>
      </x:c>
      <x:c r="AN30" s="238">
        <x:f t="shared" si="9"/>
        <x:v>180</x:v>
      </x:c>
      <x:c r="AO30" s="238" t="str">
        <x:f t="shared" si="10"/>
        <x:v/>
      </x:c>
      <x:c r="AP30" s="830" t="b">
        <x:f>IF(ISERROR(AJ30),FALSE,IF(OR(AJ30=0,ISERROR(AL30),ISERROR(AM30),ISERROR(AN30),ISERROR(AO30)),FALSE,IF(AL30&lt;&gt;"",IF(ISERROR(VLOOKUP(SUBSTITUTE(SUBSTITUTE(C30,"R",""),"A",""),TblJoistSize!$A:$A,1,FALSE)),FALSE,TRUE),TRUE)))</x:f>
        <x:v>1</x:v>
      </x:c>
      <x:c r="AQ30" s="1038">
        <x:f t="shared" si="11"/>
        <x:v>6</x:v>
      </x:c>
      <x:c r="AR30" s="945" t="b">
        <x:f t="shared" si="83"/>
        <x:v>1</x:v>
      </x:c>
      <x:c r="AS30" s="1038">
        <x:f t="shared" si="12"/>
        <x:v>6</x:v>
      </x:c>
      <x:c r="AT30" s="945" t="b">
        <x:f t="shared" si="84"/>
        <x:v>1</x:v>
      </x:c>
      <x:c r="AU30" s="1291" t="str">
        <x:f t="shared" si="13"/>
        <x:v>LH</x:v>
      </x:c>
      <x:c r="AV30" s="830" t="str">
        <x:f t="shared" si="14"/>
        <x:v/>
      </x:c>
      <x:c r="AW30" s="830" t="str">
        <x:f t="shared" si="81"/>
        <x:v>LH</x:v>
      </x:c>
      <x:c r="AX30" s="830" t="str">
        <x:f t="shared" si="85"/>
        <x:v>TJ8</x:v>
      </x:c>
      <x:c r="AY30" s="464" t="b">
        <x:f t="shared" si="15"/>
        <x:v>0</x:v>
      </x:c>
      <x:c r="AZ30" s="856" t="b">
        <x:f t="shared" si="82"/>
        <x:v>0</x:v>
      </x:c>
      <x:c r="BA30" s="549"/>
      <x:c r="BB30" s="672"/>
      <x:c r="BC30" s="1684"/>
      <x:c r="BD30" s="733"/>
      <x:c r="BE30" s="734"/>
      <x:c r="BF30" s="735"/>
      <x:c r="BG30" s="672"/>
      <x:c r="BH30" s="982"/>
      <x:c r="BI30" s="983"/>
      <x:c r="BJ30" s="1625"/>
      <x:c r="BK30" s="982"/>
      <x:c r="BL30" s="983"/>
      <x:c r="BM30" s="1569"/>
      <x:c r="BN30" s="1570"/>
      <x:c r="BO30" s="1617" t="str">
        <x:f>IF(ISERROR(CU30),"",IF(CU30="","",IF(VLOOKUP(BG30,SectInfo!$B:$N,10,FALSE)="","","X")))</x:f>
        <x:v/>
      </x:c>
      <x:c r="BP30" s="1561"/>
      <x:c r="BQ30" s="1562" t="str">
        <x:f t="shared" si="16"/>
        <x:v/>
      </x:c>
      <x:c r="BR30" s="1563"/>
      <x:c r="BS30" s="672"/>
      <x:c r="BT30" s="982"/>
      <x:c r="BU30" s="983"/>
      <x:c r="BV30" s="1625"/>
      <x:c r="BW30" s="982"/>
      <x:c r="BX30" s="983"/>
      <x:c r="BY30" s="1569"/>
      <x:c r="BZ30" s="1570"/>
      <x:c r="CA30" s="1617" t="str">
        <x:f>IF(ISERROR(DE30),"",IF(DE30="","",IF(VLOOKUP(BS30,SectInfo!$B:$N,10,FALSE)="","","X")))</x:f>
        <x:v/>
      </x:c>
      <x:c r="CB30" s="1561"/>
      <x:c r="CC30" s="1562" t="str">
        <x:f t="shared" si="17"/>
        <x:v/>
      </x:c>
      <x:c r="CD30" s="1563"/>
      <x:c r="CE30" s="1574"/>
      <x:c r="CF30" s="736"/>
      <x:c r="CG30" s="737"/>
      <x:c r="CH30" s="643" t="str">
        <x:f t="shared" si="18"/>
        <x:v/>
      </x:c>
      <x:c r="CI30" s="644" t="str">
        <x:f t="shared" si="19"/>
        <x:v/>
      </x:c>
      <x:c r="CJ30" s="645" t="str">
        <x:f t="shared" si="20"/>
        <x:v/>
      </x:c>
      <x:c r="CK30" s="852" t="str">
        <x:f t="shared" si="21"/>
        <x:v/>
      </x:c>
      <x:c r="CL30" s="847" t="str">
        <x:f t="shared" si="22"/>
        <x:v/>
      </x:c>
      <x:c r="CM30" s="848" t="str">
        <x:f t="shared" si="23"/>
        <x:v/>
      </x:c>
      <x:c r="CN30" s="611" t="str">
        <x:f t="shared" si="24"/>
        <x:v/>
      </x:c>
      <x:c r="CO30" s="612" t="str">
        <x:f t="shared" si="25"/>
        <x:v/>
      </x:c>
      <x:c r="CP30" s="615" t="str">
        <x:f t="shared" si="26"/>
        <x:v/>
      </x:c>
      <x:c r="CQ30" s="616" t="str">
        <x:f t="shared" si="27"/>
        <x:v/>
      </x:c>
      <x:c r="CR30" s="750">
        <x:f t="shared" si="28"/>
        <x:v>5</x:v>
      </x:c>
      <x:c r="CS30" s="751">
        <x:f t="shared" si="29"/>
        <x:v>5</x:v>
      </x:c>
      <x:c r="CU30" s="114" t="str">
        <x:f>IF(BG30="","",VLOOKUP(BG30,SectInfo!$B:$N,12,FALSE))</x:f>
        <x:v/>
      </x:c>
      <x:c r="CV30" s="115" t="str">
        <x:f>IF(BG30="","",IF(ISBLANK(BP30),VLOOKUP(BG30,SectInfo!$B:$N,13,FALSE),BP30))</x:f>
        <x:v/>
      </x:c>
      <x:c r="CW30" s="1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1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30"/>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31"/>
        <x:v>0</x:v>
      </x:c>
      <x:c r="DO30" s="818">
        <x:f t="shared" si="32"/>
        <x:v>0</x:v>
      </x:c>
      <x:c r="DP30" s="822" t="str">
        <x:f t="shared" si="33"/>
        <x:v/>
      </x:c>
      <x:c r="DQ30" s="822" t="str">
        <x:f t="shared" si="34"/>
        <x:v/>
      </x:c>
      <x:c r="DR30" s="822" t="str">
        <x:f t="shared" si="35"/>
        <x:v/>
      </x:c>
      <x:c r="DS30" s="821">
        <x:f t="shared" si="36"/>
        <x:v>0</x:v>
      </x:c>
      <x:c r="DT30" s="821">
        <x:f t="shared" si="37"/>
        <x:v>0</x:v>
      </x:c>
      <x:c r="DU30" s="821" t="str">
        <x:f t="shared" si="38"/>
        <x:v/>
      </x:c>
      <x:c r="DV30" s="822" t="str">
        <x:f t="shared" si="39"/>
        <x:v/>
      </x:c>
      <x:c r="DW30" s="856" t="str">
        <x:f t="shared" si="40"/>
        <x:v/>
      </x:c>
      <x:c r="DX30" s="1006">
        <x:f t="shared" si="100"/>
        <x:v>0</x:v>
      </x:c>
      <x:c r="DY30" s="822">
        <x:f t="shared" si="41"/>
        <x:v>0</x:v>
      </x:c>
      <x:c r="DZ30" s="821">
        <x:f t="shared" si="42"/>
        <x:v>0</x:v>
      </x:c>
      <x:c r="EA30" s="821" t="str">
        <x:f t="shared" si="43"/>
        <x:v/>
      </x:c>
      <x:c r="EB30" s="822" t="str">
        <x:f t="shared" si="101"/>
        <x:v/>
      </x:c>
      <x:c r="EC30" s="856" t="str">
        <x:f t="shared" si="44"/>
        <x:v/>
      </x:c>
      <x:c r="ED30" s="1006">
        <x:f t="shared" si="102"/>
        <x:v>0</x:v>
      </x:c>
      <x:c r="EE30" s="1293" t="str">
        <x:f t="shared" si="45"/>
        <x:v/>
      </x:c>
      <x:c r="EF30" s="822" t="str">
        <x:f t="shared" si="103"/>
        <x:v/>
      </x:c>
      <x:c r="EG30" s="822" t="str">
        <x:f t="shared" si="104"/>
        <x:v/>
      </x:c>
      <x:c r="EH30" s="856" t="str">
        <x:f t="shared" si="46"/>
        <x:v>ERR</x:v>
      </x:c>
      <x:c r="EI30" s="856" t="str">
        <x:f t="shared" si="47"/>
        <x:v>ERR</x:v>
      </x:c>
      <x:c r="EJ30" s="822" t="str">
        <x:f t="shared" si="48"/>
        <x:v/>
      </x:c>
      <x:c r="EK30" s="822" t="str">
        <x:f t="shared" si="48"/>
        <x:v/>
      </x:c>
      <x:c r="EL30" s="1293" t="str">
        <x:f t="shared" si="49"/>
        <x:v/>
      </x:c>
      <x:c r="EM30" s="822" t="str">
        <x:f t="shared" si="105"/>
        <x:v/>
      </x:c>
      <x:c r="EN30" s="822" t="str">
        <x:f t="shared" si="106"/>
        <x:v/>
      </x:c>
      <x:c r="EO30" s="856" t="str">
        <x:f t="shared" si="50"/>
        <x:v>ERR</x:v>
      </x:c>
      <x:c r="EP30" s="856" t="str">
        <x:f t="shared" si="51"/>
        <x:v>ERR</x:v>
      </x:c>
      <x:c r="EQ30" s="822" t="str">
        <x:f t="shared" si="52"/>
        <x:v/>
      </x:c>
      <x:c r="ER30" s="822" t="str">
        <x:f t="shared" si="52"/>
        <x:v/>
      </x:c>
      <x:c r="ES30" s="822" t="str">
        <x:f t="shared" si="53"/>
        <x:v/>
      </x:c>
      <x:c r="ET30" s="822" t="str">
        <x:f t="shared" si="54"/>
        <x:v/>
      </x:c>
      <x:c r="EU30" s="829">
        <x:f t="shared" si="55"/>
        <x:v>4</x:v>
      </x:c>
      <x:c r="EV30" s="824" t="str">
        <x:f t="shared" si="107"/>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56"/>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57"/>
        <x:v/>
      </x:c>
      <x:c r="FD30" s="822">
        <x:f t="shared" si="58"/>
        <x:v>0</x:v>
      </x:c>
      <x:c r="FE30" s="822">
        <x:f t="shared" si="59"/>
        <x:v>0</x:v>
      </x:c>
      <x:c r="FF30" s="821">
        <x:f t="shared" si="60"/>
        <x:v>0</x:v>
      </x:c>
      <x:c r="FG30" s="821" t="str">
        <x:f t="shared" si="61"/>
        <x:v/>
      </x:c>
      <x:c r="FH30" s="822" t="str">
        <x:f t="shared" si="62"/>
        <x:v/>
      </x:c>
      <x:c r="FI30" s="822">
        <x:f t="shared" si="63"/>
        <x:v>0</x:v>
      </x:c>
      <x:c r="FJ30" s="822">
        <x:f t="shared" si="64"/>
        <x:v>0</x:v>
      </x:c>
      <x:c r="FK30" s="821">
        <x:f t="shared" si="65"/>
        <x:v>0</x:v>
      </x:c>
      <x:c r="FL30" s="821" t="str">
        <x:f t="shared" si="66"/>
        <x:v/>
      </x:c>
      <x:c r="FM30" s="822" t="str">
        <x:f t="shared" si="67"/>
        <x:v/>
      </x:c>
      <x:c r="FN30" s="822" t="e">
        <x:f t="shared" si="68"/>
        <x:v>#VALUE!</x:v>
      </x:c>
      <x:c r="FO30" s="940" t="e">
        <x:f t="shared" si="69"/>
        <x:v>#VALUE!</x:v>
      </x:c>
      <x:c r="FP30" s="940" t="e">
        <x:f t="shared" si="70"/>
        <x:v>#VALUE!</x:v>
      </x:c>
      <x:c r="FQ30" s="830" t="e">
        <x:f t="shared" si="71"/>
        <x:v>#VALUE!</x:v>
      </x:c>
      <x:c r="FR30" s="831" t="e">
        <x:f t="shared" si="72"/>
        <x:v>#VALUE!</x:v>
      </x:c>
      <x:c r="FS30" s="832" t="str">
        <x:f t="shared" si="73"/>
        <x:v/>
      </x:c>
      <x:c r="FT30" s="833" t="str">
        <x:f t="shared" si="74"/>
        <x:v/>
      </x:c>
      <x:c r="FU30" s="870">
        <x:f t="shared" si="75"/>
        <x:v>0</x:v>
      </x:c>
      <x:c r="FV30" s="871">
        <x:f t="shared" si="76"/>
        <x:v>0</x:v>
      </x:c>
      <x:c r="GA30" s="1791">
        <x:v>39</x:v>
      </x:c>
      <x:c r="GB30" s="1792">
        <x:v>3</x:v>
      </x:c>
      <x:c r="GC30" s="1793">
        <x:v>-0.25</x:v>
      </x:c>
      <x:c r="GD30" s="1794">
        <x:v>-0.5</x:v>
      </x:c>
      <x:c r="GE30" s="1795">
        <x:f t="shared" si="77"/>
        <x:v>0</x:v>
      </x:c>
      <x:c r="GF30" s="600" t="str">
        <x:f t="shared" si="78"/>
        <x:v>TJ8</x:v>
      </x:c>
      <x:c r="GG30" s="1130">
        <x:v>0</x:v>
      </x:c>
      <x:c r="GH30" s="1131">
        <x:v>0</x:v>
      </x:c>
      <x:c r="GI30" s="1130"/>
      <x:c r="GJ30" s="1131"/>
      <x:c r="GK30" s="1636">
        <x:f t="shared" si="79"/>
        <x:v>470.25</x:v>
      </x:c>
      <x:c r="GL30" s="1636">
        <x:f t="shared" si="80"/>
        <x:v>470.25</x:v>
      </x:c>
      <x:c r="GM30" s="1637">
        <x:f>IF(ABS(GK30-GL30)&gt;='Job Info.'!$L$22,ABS(GK30-GL30),0)</x:f>
        <x:v>0</x:v>
      </x:c>
      <x:c r="GZ30" s="415"/>
      <x:c r="HA30" s="1391" t="s">
        <x:v>1438</x:v>
      </x:c>
      <x:c r="HB30" s="1392">
        <x:v>2</x:v>
      </x:c>
      <x:c r="HC30" s="1392" t="s">
        <x:v>1592</x:v>
      </x:c>
      <x:c r="HD30" s="1393">
        <x:v>39</x:v>
      </x:c>
      <x:c r="HE30" s="1394">
        <x:v>2.25</x:v>
      </x:c>
      <x:c r="HF30" s="1392" t="s">
        <x:v>116</x:v>
      </x:c>
      <x:c r="HG30" s="1392" t="s">
        <x:v>116</x:v>
      </x:c>
      <x:c r="HH30" s="1392" t="s">
        <x:v>116</x:v>
      </x:c>
      <x:c r="HI30" s="1395" t="s">
        <x:v>116</x:v>
      </x:c>
      <x:c r="HJ30" s="1392" t="s">
        <x:v>116</x:v>
      </x:c>
      <x:c r="HK30" s="1392" t="s">
        <x:v>116</x:v>
      </x:c>
      <x:c r="HL30" s="1392">
        <x:v>5</x:v>
      </x:c>
      <x:c r="HM30" s="1392">
        <x:v>5</x:v>
      </x:c>
      <x:c r="HN30" s="1392">
        <x:v>0</x:v>
      </x:c>
      <x:c r="HO30" s="1392">
        <x:v>6.75</x:v>
      </x:c>
      <x:c r="HP30" s="1392">
        <x:v>2</x:v>
      </x:c>
      <x:c r="HQ30" s="1395" t="s">
        <x:v>116</x:v>
      </x:c>
      <x:c r="HR30" s="1392" t="s">
        <x:v>116</x:v>
      </x:c>
      <x:c r="HS30" s="1392" t="s">
        <x:v>116</x:v>
      </x:c>
      <x:c r="HT30" s="1392">
        <x:v>0</x:v>
      </x:c>
      <x:c r="HU30" s="1392">
        <x:v>2.25</x:v>
      </x:c>
      <x:c r="HV30" s="1392">
        <x:v>0</x:v>
      </x:c>
      <x:c r="HW30" s="1394">
        <x:v>2</x:v>
      </x:c>
      <x:c r="HX30" s="1394">
        <x:v>4</x:v>
      </x:c>
      <x:c r="HY30" s="1394" t="s">
        <x:v>116</x:v>
      </x:c>
      <x:c r="HZ30" s="1394" t="s">
        <x:v>116</x:v>
      </x:c>
      <x:c r="IA30" s="1394" t="s">
        <x:v>1652</x:v>
      </x:c>
      <x:c r="IB30" s="1394"/>
      <x:c r="IC30" s="1394"/>
      <x:c r="ID30" s="1394"/>
      <x:c r="IE30" s="1394"/>
      <x:c r="IF30" s="1396"/>
    </x:row>
    <x:row r="31" spans="1:240" ht="12.6" customHeight="1" x14ac:dyDescent="0.25">
      <x:c r="A31" s="2764" t="s">
        <x:v>1439</x:v>
      </x:c>
      <x:c r="B31" s="2765">
        <x:v>35</x:v>
      </x:c>
      <x:c r="C31" s="2766" t="s">
        <x:v>1592</x:v>
      </x:c>
      <x:c r="D31" s="2767">
        <x:v>39</x:v>
      </x:c>
      <x:c r="E31" s="2841">
        <x:v>2.25</x:v>
      </x:c>
      <x:c r="F31" s="2770" t="str">
        <x:f t="shared" si="86"/>
        <x:v/>
      </x:c>
      <x:c r="G31" s="2771" t="str">
        <x:f t="shared" si="87"/>
        <x:v/>
      </x:c>
      <x:c r="H31" s="2842" t="str">
        <x:f t="shared" si="88"/>
        <x:v/>
      </x:c>
      <x:c r="I31" s="2767" t="str">
        <x:f t="shared" si="89"/>
        <x:v/>
      </x:c>
      <x:c r="J31" s="2771" t="str">
        <x:f t="shared" si="90"/>
        <x:v/>
      </x:c>
      <x:c r="K31" s="2843" t="str">
        <x:f t="shared" si="91"/>
        <x:v/>
      </x:c>
      <x:c r="L31" s="2774">
        <x:v>5</x:v>
      </x:c>
      <x:c r="M31" s="2775">
        <x:v>5</x:v>
      </x:c>
      <x:c r="N31" s="2770" t="str">
        <x:f t="shared" si="92"/>
        <x:v/>
      </x:c>
      <x:c r="O31" s="2771" t="str">
        <x:f t="shared" si="93"/>
        <x:v/>
      </x:c>
      <x:c r="P31" s="2772" t="str">
        <x:f t="shared" si="94"/>
        <x:v/>
      </x:c>
      <x:c r="Q31" s="2767" t="str">
        <x:f t="shared" si="95"/>
        <x:v/>
      </x:c>
      <x:c r="R31" s="2771" t="str">
        <x:f t="shared" si="96"/>
        <x:v/>
      </x:c>
      <x:c r="S31" s="2819" t="str">
        <x:f t="shared" si="97"/>
        <x:v/>
      </x:c>
      <x:c r="T31" s="2770">
        <x:v>0</x:v>
      </x:c>
      <x:c r="U31" s="2771">
        <x:v>2.25</x:v>
      </x:c>
      <x:c r="V31" s="2767">
        <x:v>0</x:v>
      </x:c>
      <x:c r="W31" s="2771">
        <x:v>2</x:v>
      </x:c>
      <x:c r="X31" s="2816">
        <x:v>4</x:v>
      </x:c>
      <x:c r="Y31" s="2844" t="str">
        <x:f t="shared" si="98"/>
        <x:v/>
      </x:c>
      <x:c r="Z31" s="2845" t="str">
        <x:f t="shared" si="99"/>
        <x:v/>
      </x:c>
      <x:c r="AA31" s="2846" t="s">
        <x:v>1653</x:v>
      </x:c>
      <x:c r="AB31" s="1413"/>
      <x:c r="AC31" s="964" t="b">
        <x:v>0</x:v>
      </x:c>
      <x:c r="AD31" s="441">
        <x:f t="shared" si="1"/>
        <x:v>0</x:v>
      </x:c>
      <x:c r="AE31" s="442">
        <x:f t="shared" si="2"/>
        <x:v>35</x:v>
      </x:c>
      <x:c r="AF31" s="442">
        <x:f t="shared" si="3"/>
        <x:v>0</x:v>
      </x:c>
      <x:c r="AG31" s="442">
        <x:f t="shared" si="4"/>
        <x:v>0</x:v>
      </x:c>
      <x:c r="AH31" s="443">
        <x:f t="shared" si="5"/>
        <x:v>0</x:v>
      </x:c>
      <x:c r="AI31" s="444" t="b">
        <x:v>0</x:v>
      </x:c>
      <x:c r="AJ31" s="238">
        <x:f t="shared" si="108"/>
        <x:v>32</x:v>
      </x:c>
      <x:c r="AK31" s="238" t="str">
        <x:f t="shared" si="6"/>
        <x:v>LH</x:v>
      </x:c>
      <x:c r="AL31" s="1290" t="str">
        <x:f t="shared" si="7"/>
        <x:v/>
      </x:c>
      <x:c r="AM31" s="238">
        <x:f t="shared" si="8"/>
        <x:v>305</x:v>
      </x:c>
      <x:c r="AN31" s="238">
        <x:f t="shared" si="9"/>
        <x:v>180</x:v>
      </x:c>
      <x:c r="AO31" s="238" t="str">
        <x:f t="shared" si="10"/>
        <x:v/>
      </x:c>
      <x:c r="AP31" s="830" t="b">
        <x:f>IF(ISERROR(AJ31),FALSE,IF(OR(AJ31=0,ISERROR(AL31),ISERROR(AM31),ISERROR(AN31),ISERROR(AO31)),FALSE,IF(AL31&lt;&gt;"",IF(ISERROR(VLOOKUP(SUBSTITUTE(SUBSTITUTE(C31,"R",""),"A",""),TblJoistSize!$A:$A,1,FALSE)),FALSE,TRUE),TRUE)))</x:f>
        <x:v>1</x:v>
      </x:c>
      <x:c r="AQ31" s="1038">
        <x:f t="shared" si="11"/>
        <x:v>6</x:v>
      </x:c>
      <x:c r="AR31" s="945" t="b">
        <x:f t="shared" si="83"/>
        <x:v>1</x:v>
      </x:c>
      <x:c r="AS31" s="1038">
        <x:f t="shared" si="12"/>
        <x:v>6</x:v>
      </x:c>
      <x:c r="AT31" s="945" t="b">
        <x:f t="shared" si="84"/>
        <x:v>1</x:v>
      </x:c>
      <x:c r="AU31" s="1291" t="str">
        <x:f t="shared" si="13"/>
        <x:v>LH</x:v>
      </x:c>
      <x:c r="AV31" s="830" t="str">
        <x:f t="shared" si="14"/>
        <x:v/>
      </x:c>
      <x:c r="AW31" s="830" t="str">
        <x:f t="shared" si="81"/>
        <x:v>LH</x:v>
      </x:c>
      <x:c r="AX31" s="830" t="str">
        <x:f t="shared" si="85"/>
        <x:v>J9</x:v>
      </x:c>
      <x:c r="AY31" s="464" t="b">
        <x:f t="shared" si="15"/>
        <x:v>0</x:v>
      </x:c>
      <x:c r="AZ31" s="856" t="b">
        <x:f t="shared" si="82"/>
        <x:v>0</x:v>
      </x:c>
      <x:c r="BA31" s="549"/>
      <x:c r="BB31" s="672"/>
      <x:c r="BC31" s="1684"/>
      <x:c r="BD31" s="733"/>
      <x:c r="BE31" s="734"/>
      <x:c r="BF31" s="735"/>
      <x:c r="BG31" s="672"/>
      <x:c r="BH31" s="982"/>
      <x:c r="BI31" s="983"/>
      <x:c r="BJ31" s="1625"/>
      <x:c r="BK31" s="982"/>
      <x:c r="BL31" s="983"/>
      <x:c r="BM31" s="1569"/>
      <x:c r="BN31" s="1570"/>
      <x:c r="BO31" s="1617" t="str">
        <x:f>IF(ISERROR(CU31),"",IF(CU31="","",IF(VLOOKUP(BG31,SectInfo!$B:$N,10,FALSE)="","","X")))</x:f>
        <x:v/>
      </x:c>
      <x:c r="BP31" s="1561"/>
      <x:c r="BQ31" s="1562" t="str">
        <x:f t="shared" si="16"/>
        <x:v/>
      </x:c>
      <x:c r="BR31" s="1563"/>
      <x:c r="BS31" s="672"/>
      <x:c r="BT31" s="982"/>
      <x:c r="BU31" s="983"/>
      <x:c r="BV31" s="1625"/>
      <x:c r="BW31" s="982"/>
      <x:c r="BX31" s="983"/>
      <x:c r="BY31" s="1569"/>
      <x:c r="BZ31" s="1570"/>
      <x:c r="CA31" s="1617" t="str">
        <x:f>IF(ISERROR(DE31),"",IF(DE31="","",IF(VLOOKUP(BS31,SectInfo!$B:$N,10,FALSE)="","","X")))</x:f>
        <x:v/>
      </x:c>
      <x:c r="CB31" s="1561"/>
      <x:c r="CC31" s="1562" t="str">
        <x:f t="shared" si="17"/>
        <x:v/>
      </x:c>
      <x:c r="CD31" s="1563"/>
      <x:c r="CE31" s="1574"/>
      <x:c r="CF31" s="736"/>
      <x:c r="CG31" s="737"/>
      <x:c r="CH31" s="643" t="str">
        <x:f t="shared" si="18"/>
        <x:v/>
      </x:c>
      <x:c r="CI31" s="644" t="str">
        <x:f t="shared" si="19"/>
        <x:v/>
      </x:c>
      <x:c r="CJ31" s="645" t="str">
        <x:f t="shared" si="20"/>
        <x:v/>
      </x:c>
      <x:c r="CK31" s="852" t="str">
        <x:f t="shared" si="21"/>
        <x:v/>
      </x:c>
      <x:c r="CL31" s="847" t="str">
        <x:f t="shared" si="22"/>
        <x:v/>
      </x:c>
      <x:c r="CM31" s="848" t="str">
        <x:f t="shared" si="23"/>
        <x:v/>
      </x:c>
      <x:c r="CN31" s="611" t="str">
        <x:f t="shared" si="24"/>
        <x:v/>
      </x:c>
      <x:c r="CO31" s="612" t="str">
        <x:f t="shared" si="25"/>
        <x:v/>
      </x:c>
      <x:c r="CP31" s="615" t="str">
        <x:f t="shared" si="26"/>
        <x:v/>
      </x:c>
      <x:c r="CQ31" s="616" t="str">
        <x:f t="shared" si="27"/>
        <x:v/>
      </x:c>
      <x:c r="CR31" s="750">
        <x:f t="shared" si="28"/>
        <x:v>5</x:v>
      </x:c>
      <x:c r="CS31" s="751">
        <x:f t="shared" si="29"/>
        <x:v>5</x:v>
      </x:c>
      <x:c r="CU31" s="114" t="str">
        <x:f>IF(BG31="","",VLOOKUP(BG31,SectInfo!$B:$N,12,FALSE))</x:f>
        <x:v/>
      </x:c>
      <x:c r="CV31" s="115" t="str">
        <x:f>IF(BG31="","",IF(ISBLANK(BP31),VLOOKUP(BG31,SectInfo!$B:$N,13,FALSE),BP31))</x:f>
        <x:v/>
      </x:c>
      <x:c r="CW31" s="1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1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30"/>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31"/>
        <x:v>0</x:v>
      </x:c>
      <x:c r="DO31" s="818">
        <x:f t="shared" si="32"/>
        <x:v>0</x:v>
      </x:c>
      <x:c r="DP31" s="822" t="str">
        <x:f t="shared" si="33"/>
        <x:v/>
      </x:c>
      <x:c r="DQ31" s="822" t="str">
        <x:f t="shared" si="34"/>
        <x:v/>
      </x:c>
      <x:c r="DR31" s="822" t="str">
        <x:f t="shared" si="35"/>
        <x:v/>
      </x:c>
      <x:c r="DS31" s="821">
        <x:f t="shared" si="36"/>
        <x:v>0</x:v>
      </x:c>
      <x:c r="DT31" s="821">
        <x:f t="shared" si="37"/>
        <x:v>0</x:v>
      </x:c>
      <x:c r="DU31" s="821" t="str">
        <x:f t="shared" si="38"/>
        <x:v/>
      </x:c>
      <x:c r="DV31" s="822" t="str">
        <x:f t="shared" si="39"/>
        <x:v/>
      </x:c>
      <x:c r="DW31" s="856" t="str">
        <x:f t="shared" si="40"/>
        <x:v/>
      </x:c>
      <x:c r="DX31" s="1006">
        <x:f t="shared" si="100"/>
        <x:v>0</x:v>
      </x:c>
      <x:c r="DY31" s="822">
        <x:f t="shared" si="41"/>
        <x:v>0</x:v>
      </x:c>
      <x:c r="DZ31" s="821">
        <x:f t="shared" si="42"/>
        <x:v>0</x:v>
      </x:c>
      <x:c r="EA31" s="821" t="str">
        <x:f t="shared" si="43"/>
        <x:v/>
      </x:c>
      <x:c r="EB31" s="822" t="str">
        <x:f t="shared" si="101"/>
        <x:v/>
      </x:c>
      <x:c r="EC31" s="856" t="str">
        <x:f t="shared" si="44"/>
        <x:v/>
      </x:c>
      <x:c r="ED31" s="1006">
        <x:f t="shared" si="102"/>
        <x:v>0</x:v>
      </x:c>
      <x:c r="EE31" s="1293" t="str">
        <x:f t="shared" si="45"/>
        <x:v/>
      </x:c>
      <x:c r="EF31" s="822" t="str">
        <x:f t="shared" si="103"/>
        <x:v/>
      </x:c>
      <x:c r="EG31" s="822" t="str">
        <x:f t="shared" si="104"/>
        <x:v/>
      </x:c>
      <x:c r="EH31" s="856" t="str">
        <x:f t="shared" si="46"/>
        <x:v>ERR</x:v>
      </x:c>
      <x:c r="EI31" s="856" t="str">
        <x:f t="shared" si="47"/>
        <x:v>ERR</x:v>
      </x:c>
      <x:c r="EJ31" s="822" t="str">
        <x:f t="shared" si="48"/>
        <x:v/>
      </x:c>
      <x:c r="EK31" s="822" t="str">
        <x:f t="shared" si="48"/>
        <x:v/>
      </x:c>
      <x:c r="EL31" s="1293" t="str">
        <x:f t="shared" si="49"/>
        <x:v/>
      </x:c>
      <x:c r="EM31" s="822" t="str">
        <x:f t="shared" si="105"/>
        <x:v/>
      </x:c>
      <x:c r="EN31" s="822" t="str">
        <x:f t="shared" si="106"/>
        <x:v/>
      </x:c>
      <x:c r="EO31" s="856" t="str">
        <x:f t="shared" si="50"/>
        <x:v>ERR</x:v>
      </x:c>
      <x:c r="EP31" s="856" t="str">
        <x:f t="shared" si="51"/>
        <x:v>ERR</x:v>
      </x:c>
      <x:c r="EQ31" s="822" t="str">
        <x:f t="shared" si="52"/>
        <x:v/>
      </x:c>
      <x:c r="ER31" s="822" t="str">
        <x:f t="shared" si="52"/>
        <x:v/>
      </x:c>
      <x:c r="ES31" s="822" t="str">
        <x:f t="shared" si="53"/>
        <x:v/>
      </x:c>
      <x:c r="ET31" s="822" t="str">
        <x:f t="shared" si="54"/>
        <x:v/>
      </x:c>
      <x:c r="EU31" s="829">
        <x:f t="shared" si="55"/>
        <x:v>4</x:v>
      </x:c>
      <x:c r="EV31" s="824" t="str">
        <x:f t="shared" si="107"/>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56"/>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57"/>
        <x:v/>
      </x:c>
      <x:c r="FD31" s="822">
        <x:f t="shared" si="58"/>
        <x:v>0</x:v>
      </x:c>
      <x:c r="FE31" s="822">
        <x:f t="shared" si="59"/>
        <x:v>0</x:v>
      </x:c>
      <x:c r="FF31" s="821">
        <x:f t="shared" si="60"/>
        <x:v>0</x:v>
      </x:c>
      <x:c r="FG31" s="821" t="str">
        <x:f t="shared" si="61"/>
        <x:v/>
      </x:c>
      <x:c r="FH31" s="822" t="str">
        <x:f t="shared" si="62"/>
        <x:v/>
      </x:c>
      <x:c r="FI31" s="822">
        <x:f t="shared" si="63"/>
        <x:v>0</x:v>
      </x:c>
      <x:c r="FJ31" s="822">
        <x:f t="shared" si="64"/>
        <x:v>0</x:v>
      </x:c>
      <x:c r="FK31" s="821">
        <x:f t="shared" si="65"/>
        <x:v>0</x:v>
      </x:c>
      <x:c r="FL31" s="821" t="str">
        <x:f t="shared" si="66"/>
        <x:v/>
      </x:c>
      <x:c r="FM31" s="822" t="str">
        <x:f t="shared" si="67"/>
        <x:v/>
      </x:c>
      <x:c r="FN31" s="822" t="e">
        <x:f t="shared" si="68"/>
        <x:v>#VALUE!</x:v>
      </x:c>
      <x:c r="FO31" s="940" t="e">
        <x:f t="shared" si="69"/>
        <x:v>#VALUE!</x:v>
      </x:c>
      <x:c r="FP31" s="940" t="e">
        <x:f t="shared" si="70"/>
        <x:v>#VALUE!</x:v>
      </x:c>
      <x:c r="FQ31" s="830" t="e">
        <x:f t="shared" si="71"/>
        <x:v>#VALUE!</x:v>
      </x:c>
      <x:c r="FR31" s="831" t="e">
        <x:f t="shared" si="72"/>
        <x:v>#VALUE!</x:v>
      </x:c>
      <x:c r="FS31" s="832" t="str">
        <x:f t="shared" si="73"/>
        <x:v/>
      </x:c>
      <x:c r="FT31" s="833" t="str">
        <x:f t="shared" si="74"/>
        <x:v/>
      </x:c>
      <x:c r="FU31" s="870">
        <x:f t="shared" si="75"/>
        <x:v>0</x:v>
      </x:c>
      <x:c r="FV31" s="871">
        <x:f t="shared" si="76"/>
        <x:v>0</x:v>
      </x:c>
      <x:c r="GA31" s="1791">
        <x:v>39</x:v>
      </x:c>
      <x:c r="GB31" s="1792">
        <x:v>3</x:v>
      </x:c>
      <x:c r="GC31" s="1793">
        <x:v>-0.25</x:v>
      </x:c>
      <x:c r="GD31" s="1794">
        <x:v>-0.5</x:v>
      </x:c>
      <x:c r="GE31" s="1795">
        <x:f t="shared" si="77"/>
        <x:v>0</x:v>
      </x:c>
      <x:c r="GF31" s="600" t="str">
        <x:f t="shared" si="78"/>
        <x:v>J9</x:v>
      </x:c>
      <x:c r="GG31" s="1130">
        <x:v>0</x:v>
      </x:c>
      <x:c r="GH31" s="1131">
        <x:v>0</x:v>
      </x:c>
      <x:c r="GI31" s="1130"/>
      <x:c r="GJ31" s="1131"/>
      <x:c r="GK31" s="1636">
        <x:f t="shared" si="79"/>
        <x:v>470.25</x:v>
      </x:c>
      <x:c r="GL31" s="1636">
        <x:f t="shared" si="80"/>
        <x:v>470.25</x:v>
      </x:c>
      <x:c r="GM31" s="1637">
        <x:f>IF(ABS(GK31-GL31)&gt;='Job Info.'!$L$22,ABS(GK31-GL31),0)</x:f>
        <x:v>0</x:v>
      </x:c>
      <x:c r="GZ31" s="415"/>
      <x:c r="HA31" s="1391" t="s">
        <x:v>1439</x:v>
      </x:c>
      <x:c r="HB31" s="1392">
        <x:v>35</x:v>
      </x:c>
      <x:c r="HC31" s="1392" t="s">
        <x:v>1592</x:v>
      </x:c>
      <x:c r="HD31" s="1393">
        <x:v>39</x:v>
      </x:c>
      <x:c r="HE31" s="1394">
        <x:v>2.25</x:v>
      </x:c>
      <x:c r="HF31" s="1392" t="s">
        <x:v>116</x:v>
      </x:c>
      <x:c r="HG31" s="1392" t="s">
        <x:v>116</x:v>
      </x:c>
      <x:c r="HH31" s="1392" t="s">
        <x:v>116</x:v>
      </x:c>
      <x:c r="HI31" s="1395" t="s">
        <x:v>116</x:v>
      </x:c>
      <x:c r="HJ31" s="1392" t="s">
        <x:v>116</x:v>
      </x:c>
      <x:c r="HK31" s="1392" t="s">
        <x:v>116</x:v>
      </x:c>
      <x:c r="HL31" s="1392">
        <x:v>5</x:v>
      </x:c>
      <x:c r="HM31" s="1392">
        <x:v>5</x:v>
      </x:c>
      <x:c r="HN31" s="1392" t="s">
        <x:v>116</x:v>
      </x:c>
      <x:c r="HO31" s="1392" t="s">
        <x:v>116</x:v>
      </x:c>
      <x:c r="HP31" s="1392" t="s">
        <x:v>116</x:v>
      </x:c>
      <x:c r="HQ31" s="1395" t="s">
        <x:v>116</x:v>
      </x:c>
      <x:c r="HR31" s="1392" t="s">
        <x:v>116</x:v>
      </x:c>
      <x:c r="HS31" s="1392" t="s">
        <x:v>116</x:v>
      </x:c>
      <x:c r="HT31" s="1392">
        <x:v>0</x:v>
      </x:c>
      <x:c r="HU31" s="1392">
        <x:v>2.25</x:v>
      </x:c>
      <x:c r="HV31" s="1392">
        <x:v>0</x:v>
      </x:c>
      <x:c r="HW31" s="1394">
        <x:v>2</x:v>
      </x:c>
      <x:c r="HX31" s="1394">
        <x:v>4</x:v>
      </x:c>
      <x:c r="HY31" s="1394" t="s">
        <x:v>116</x:v>
      </x:c>
      <x:c r="HZ31" s="1394" t="s">
        <x:v>116</x:v>
      </x:c>
      <x:c r="IA31" s="1394" t="s">
        <x:v>1653</x:v>
      </x:c>
      <x:c r="IB31" s="1394"/>
      <x:c r="IC31" s="1394"/>
      <x:c r="ID31" s="1394"/>
      <x:c r="IE31" s="1394"/>
      <x:c r="IF31" s="1396"/>
    </x:row>
    <x:row r="32" spans="1:240" ht="12.6" customHeight="1" x14ac:dyDescent="0.25">
      <x:c r="A32" s="2764" t="s">
        <x:v>1440</x:v>
      </x:c>
      <x:c r="B32" s="2765">
        <x:v>7</x:v>
      </x:c>
      <x:c r="C32" s="2766" t="s">
        <x:v>1592</x:v>
      </x:c>
      <x:c r="D32" s="2767">
        <x:v>39</x:v>
      </x:c>
      <x:c r="E32" s="2841">
        <x:v>2.25</x:v>
      </x:c>
      <x:c r="F32" s="2770" t="str">
        <x:f t="shared" si="86"/>
        <x:v/>
      </x:c>
      <x:c r="G32" s="2771" t="str">
        <x:f t="shared" si="87"/>
        <x:v/>
      </x:c>
      <x:c r="H32" s="2842" t="str">
        <x:f t="shared" si="88"/>
        <x:v/>
      </x:c>
      <x:c r="I32" s="2767" t="str">
        <x:f t="shared" si="89"/>
        <x:v/>
      </x:c>
      <x:c r="J32" s="2771" t="str">
        <x:f t="shared" si="90"/>
        <x:v/>
      </x:c>
      <x:c r="K32" s="2843" t="str">
        <x:f t="shared" si="91"/>
        <x:v/>
      </x:c>
      <x:c r="L32" s="2774">
        <x:v>5</x:v>
      </x:c>
      <x:c r="M32" s="2775">
        <x:v>5</x:v>
      </x:c>
      <x:c r="N32" s="2770" t="str">
        <x:f t="shared" si="92"/>
        <x:v/>
      </x:c>
      <x:c r="O32" s="2771" t="str">
        <x:f t="shared" si="93"/>
        <x:v/>
      </x:c>
      <x:c r="P32" s="2772" t="str">
        <x:f t="shared" si="94"/>
        <x:v/>
      </x:c>
      <x:c r="Q32" s="2767" t="str">
        <x:f t="shared" si="95"/>
        <x:v/>
      </x:c>
      <x:c r="R32" s="2771" t="str">
        <x:f t="shared" si="96"/>
        <x:v/>
      </x:c>
      <x:c r="S32" s="2819" t="str">
        <x:f t="shared" si="97"/>
        <x:v/>
      </x:c>
      <x:c r="T32" s="2770">
        <x:v>0</x:v>
      </x:c>
      <x:c r="U32" s="2771">
        <x:v>2.25</x:v>
      </x:c>
      <x:c r="V32" s="2767">
        <x:v>0</x:v>
      </x:c>
      <x:c r="W32" s="2771">
        <x:v>2</x:v>
      </x:c>
      <x:c r="X32" s="2816">
        <x:v>4</x:v>
      </x:c>
      <x:c r="Y32" s="2844" t="str">
        <x:f t="shared" si="98"/>
        <x:v/>
      </x:c>
      <x:c r="Z32" s="2845" t="str">
        <x:f t="shared" si="99"/>
        <x:v/>
      </x:c>
      <x:c r="AA32" s="2846" t="s">
        <x:v>1654</x:v>
      </x:c>
      <x:c r="AB32" s="1413"/>
      <x:c r="AC32" s="964" t="b">
        <x:v>0</x:v>
      </x:c>
      <x:c r="AD32" s="441">
        <x:f t="shared" si="1"/>
        <x:v>0</x:v>
      </x:c>
      <x:c r="AE32" s="442">
        <x:f t="shared" si="2"/>
        <x:v>7</x:v>
      </x:c>
      <x:c r="AF32" s="442">
        <x:f t="shared" si="3"/>
        <x:v>0</x:v>
      </x:c>
      <x:c r="AG32" s="442">
        <x:f t="shared" si="4"/>
        <x:v>0</x:v>
      </x:c>
      <x:c r="AH32" s="443">
        <x:f t="shared" si="5"/>
        <x:v>0</x:v>
      </x:c>
      <x:c r="AI32" s="444" t="b">
        <x:v>0</x:v>
      </x:c>
      <x:c r="AJ32" s="238">
        <x:f t="shared" si="108"/>
        <x:v>32</x:v>
      </x:c>
      <x:c r="AK32" s="238" t="str">
        <x:f t="shared" si="6"/>
        <x:v>LH</x:v>
      </x:c>
      <x:c r="AL32" s="1290" t="str">
        <x:f t="shared" si="7"/>
        <x:v/>
      </x:c>
      <x:c r="AM32" s="238">
        <x:f t="shared" si="8"/>
        <x:v>305</x:v>
      </x:c>
      <x:c r="AN32" s="238">
        <x:f t="shared" si="9"/>
        <x:v>180</x:v>
      </x:c>
      <x:c r="AO32" s="238" t="str">
        <x:f t="shared" si="10"/>
        <x:v/>
      </x:c>
      <x:c r="AP32" s="830" t="b">
        <x:f>IF(ISERROR(AJ32),FALSE,IF(OR(AJ32=0,ISERROR(AL32),ISERROR(AM32),ISERROR(AN32),ISERROR(AO32)),FALSE,IF(AL32&lt;&gt;"",IF(ISERROR(VLOOKUP(SUBSTITUTE(SUBSTITUTE(C32,"R",""),"A",""),TblJoistSize!$A:$A,1,FALSE)),FALSE,TRUE),TRUE)))</x:f>
        <x:v>1</x:v>
      </x:c>
      <x:c r="AQ32" s="1038">
        <x:f t="shared" si="11"/>
        <x:v>6</x:v>
      </x:c>
      <x:c r="AR32" s="945" t="b">
        <x:f t="shared" si="83"/>
        <x:v>1</x:v>
      </x:c>
      <x:c r="AS32" s="1038">
        <x:f t="shared" si="12"/>
        <x:v>6</x:v>
      </x:c>
      <x:c r="AT32" s="945" t="b">
        <x:f t="shared" si="84"/>
        <x:v>1</x:v>
      </x:c>
      <x:c r="AU32" s="1291" t="str">
        <x:f t="shared" si="13"/>
        <x:v>LH</x:v>
      </x:c>
      <x:c r="AV32" s="830" t="str">
        <x:f t="shared" si="14"/>
        <x:v/>
      </x:c>
      <x:c r="AW32" s="830" t="str">
        <x:f t="shared" si="81"/>
        <x:v>LH</x:v>
      </x:c>
      <x:c r="AX32" s="830" t="str">
        <x:f t="shared" si="85"/>
        <x:v>J10</x:v>
      </x:c>
      <x:c r="AY32" s="464" t="b">
        <x:f t="shared" si="15"/>
        <x:v>0</x:v>
      </x:c>
      <x:c r="AZ32" s="856" t="b">
        <x:f t="shared" si="82"/>
        <x:v>0</x:v>
      </x:c>
      <x:c r="BA32" s="549"/>
      <x:c r="BB32" s="672"/>
      <x:c r="BC32" s="1684"/>
      <x:c r="BD32" s="733"/>
      <x:c r="BE32" s="734"/>
      <x:c r="BF32" s="735"/>
      <x:c r="BG32" s="672"/>
      <x:c r="BH32" s="982"/>
      <x:c r="BI32" s="983"/>
      <x:c r="BJ32" s="1625"/>
      <x:c r="BK32" s="982"/>
      <x:c r="BL32" s="983"/>
      <x:c r="BM32" s="1569"/>
      <x:c r="BN32" s="1570"/>
      <x:c r="BO32" s="1617" t="str">
        <x:f>IF(ISERROR(CU32),"",IF(CU32="","",IF(VLOOKUP(BG32,SectInfo!$B:$N,10,FALSE)="","","X")))</x:f>
        <x:v/>
      </x:c>
      <x:c r="BP32" s="1561"/>
      <x:c r="BQ32" s="1562" t="str">
        <x:f t="shared" si="16"/>
        <x:v/>
      </x:c>
      <x:c r="BR32" s="1563"/>
      <x:c r="BS32" s="672"/>
      <x:c r="BT32" s="982"/>
      <x:c r="BU32" s="983"/>
      <x:c r="BV32" s="1625"/>
      <x:c r="BW32" s="982"/>
      <x:c r="BX32" s="983"/>
      <x:c r="BY32" s="1569"/>
      <x:c r="BZ32" s="1570"/>
      <x:c r="CA32" s="1617" t="str">
        <x:f>IF(ISERROR(DE32),"",IF(DE32="","",IF(VLOOKUP(BS32,SectInfo!$B:$N,10,FALSE)="","","X")))</x:f>
        <x:v/>
      </x:c>
      <x:c r="CB32" s="1561"/>
      <x:c r="CC32" s="1562" t="str">
        <x:f t="shared" si="17"/>
        <x:v/>
      </x:c>
      <x:c r="CD32" s="1563"/>
      <x:c r="CE32" s="1574"/>
      <x:c r="CF32" s="736"/>
      <x:c r="CG32" s="737"/>
      <x:c r="CH32" s="643" t="str">
        <x:f t="shared" si="18"/>
        <x:v/>
      </x:c>
      <x:c r="CI32" s="644" t="str">
        <x:f t="shared" si="19"/>
        <x:v/>
      </x:c>
      <x:c r="CJ32" s="645" t="str">
        <x:f t="shared" si="20"/>
        <x:v/>
      </x:c>
      <x:c r="CK32" s="852" t="str">
        <x:f t="shared" si="21"/>
        <x:v/>
      </x:c>
      <x:c r="CL32" s="847" t="str">
        <x:f t="shared" si="22"/>
        <x:v/>
      </x:c>
      <x:c r="CM32" s="848" t="str">
        <x:f t="shared" si="23"/>
        <x:v/>
      </x:c>
      <x:c r="CN32" s="611" t="str">
        <x:f t="shared" si="24"/>
        <x:v/>
      </x:c>
      <x:c r="CO32" s="612" t="str">
        <x:f t="shared" si="25"/>
        <x:v/>
      </x:c>
      <x:c r="CP32" s="615" t="str">
        <x:f t="shared" si="26"/>
        <x:v/>
      </x:c>
      <x:c r="CQ32" s="616" t="str">
        <x:f t="shared" si="27"/>
        <x:v/>
      </x:c>
      <x:c r="CR32" s="750">
        <x:f t="shared" si="28"/>
        <x:v>5</x:v>
      </x:c>
      <x:c r="CS32" s="751">
        <x:f t="shared" si="29"/>
        <x:v>5</x:v>
      </x:c>
      <x:c r="CU32" s="114" t="str">
        <x:f>IF(BG32="","",VLOOKUP(BG32,SectInfo!$B:$N,12,FALSE))</x:f>
        <x:v/>
      </x:c>
      <x:c r="CV32" s="115" t="str">
        <x:f>IF(BG32="","",IF(ISBLANK(BP32),VLOOKUP(BG32,SectInfo!$B:$N,13,FALSE),BP32))</x:f>
        <x:v/>
      </x:c>
      <x:c r="CW32" s="1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1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30"/>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31"/>
        <x:v>0</x:v>
      </x:c>
      <x:c r="DO32" s="818">
        <x:f t="shared" si="32"/>
        <x:v>0</x:v>
      </x:c>
      <x:c r="DP32" s="822" t="str">
        <x:f t="shared" si="33"/>
        <x:v/>
      </x:c>
      <x:c r="DQ32" s="822" t="str">
        <x:f t="shared" si="34"/>
        <x:v/>
      </x:c>
      <x:c r="DR32" s="822" t="str">
        <x:f t="shared" si="35"/>
        <x:v/>
      </x:c>
      <x:c r="DS32" s="821">
        <x:f t="shared" si="36"/>
        <x:v>0</x:v>
      </x:c>
      <x:c r="DT32" s="821">
        <x:f t="shared" si="37"/>
        <x:v>0</x:v>
      </x:c>
      <x:c r="DU32" s="821" t="str">
        <x:f t="shared" si="38"/>
        <x:v/>
      </x:c>
      <x:c r="DV32" s="822" t="str">
        <x:f t="shared" si="39"/>
        <x:v/>
      </x:c>
      <x:c r="DW32" s="856" t="str">
        <x:f t="shared" si="40"/>
        <x:v/>
      </x:c>
      <x:c r="DX32" s="1006">
        <x:f t="shared" si="100"/>
        <x:v>0</x:v>
      </x:c>
      <x:c r="DY32" s="822">
        <x:f t="shared" si="41"/>
        <x:v>0</x:v>
      </x:c>
      <x:c r="DZ32" s="821">
        <x:f t="shared" si="42"/>
        <x:v>0</x:v>
      </x:c>
      <x:c r="EA32" s="821" t="str">
        <x:f t="shared" si="43"/>
        <x:v/>
      </x:c>
      <x:c r="EB32" s="822" t="str">
        <x:f t="shared" si="101"/>
        <x:v/>
      </x:c>
      <x:c r="EC32" s="856" t="str">
        <x:f t="shared" si="44"/>
        <x:v/>
      </x:c>
      <x:c r="ED32" s="1006">
        <x:f t="shared" si="102"/>
        <x:v>0</x:v>
      </x:c>
      <x:c r="EE32" s="1293" t="str">
        <x:f t="shared" si="45"/>
        <x:v/>
      </x:c>
      <x:c r="EF32" s="822" t="str">
        <x:f t="shared" si="103"/>
        <x:v/>
      </x:c>
      <x:c r="EG32" s="822" t="str">
        <x:f t="shared" si="104"/>
        <x:v/>
      </x:c>
      <x:c r="EH32" s="856" t="str">
        <x:f t="shared" si="46"/>
        <x:v>ERR</x:v>
      </x:c>
      <x:c r="EI32" s="856" t="str">
        <x:f t="shared" si="47"/>
        <x:v>ERR</x:v>
      </x:c>
      <x:c r="EJ32" s="822" t="str">
        <x:f t="shared" si="48"/>
        <x:v/>
      </x:c>
      <x:c r="EK32" s="822" t="str">
        <x:f t="shared" si="48"/>
        <x:v/>
      </x:c>
      <x:c r="EL32" s="1293" t="str">
        <x:f t="shared" si="49"/>
        <x:v/>
      </x:c>
      <x:c r="EM32" s="822" t="str">
        <x:f t="shared" si="105"/>
        <x:v/>
      </x:c>
      <x:c r="EN32" s="822" t="str">
        <x:f t="shared" si="106"/>
        <x:v/>
      </x:c>
      <x:c r="EO32" s="856" t="str">
        <x:f t="shared" si="50"/>
        <x:v>ERR</x:v>
      </x:c>
      <x:c r="EP32" s="856" t="str">
        <x:f t="shared" si="51"/>
        <x:v>ERR</x:v>
      </x:c>
      <x:c r="EQ32" s="822" t="str">
        <x:f t="shared" si="52"/>
        <x:v/>
      </x:c>
      <x:c r="ER32" s="822" t="str">
        <x:f t="shared" si="52"/>
        <x:v/>
      </x:c>
      <x:c r="ES32" s="822" t="str">
        <x:f t="shared" si="53"/>
        <x:v/>
      </x:c>
      <x:c r="ET32" s="822" t="str">
        <x:f t="shared" si="54"/>
        <x:v/>
      </x:c>
      <x:c r="EU32" s="829">
        <x:f t="shared" si="55"/>
        <x:v>4</x:v>
      </x:c>
      <x:c r="EV32" s="824" t="str">
        <x:f t="shared" si="107"/>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56"/>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57"/>
        <x:v/>
      </x:c>
      <x:c r="FD32" s="822">
        <x:f t="shared" si="58"/>
        <x:v>0</x:v>
      </x:c>
      <x:c r="FE32" s="822">
        <x:f t="shared" si="59"/>
        <x:v>0</x:v>
      </x:c>
      <x:c r="FF32" s="821">
        <x:f t="shared" si="60"/>
        <x:v>0</x:v>
      </x:c>
      <x:c r="FG32" s="821" t="str">
        <x:f t="shared" si="61"/>
        <x:v/>
      </x:c>
      <x:c r="FH32" s="822" t="str">
        <x:f t="shared" si="62"/>
        <x:v/>
      </x:c>
      <x:c r="FI32" s="822">
        <x:f t="shared" si="63"/>
        <x:v>0</x:v>
      </x:c>
      <x:c r="FJ32" s="822">
        <x:f t="shared" si="64"/>
        <x:v>0</x:v>
      </x:c>
      <x:c r="FK32" s="821">
        <x:f t="shared" si="65"/>
        <x:v>0</x:v>
      </x:c>
      <x:c r="FL32" s="821" t="str">
        <x:f t="shared" si="66"/>
        <x:v/>
      </x:c>
      <x:c r="FM32" s="822" t="str">
        <x:f t="shared" si="67"/>
        <x:v/>
      </x:c>
      <x:c r="FN32" s="822" t="e">
        <x:f t="shared" si="68"/>
        <x:v>#VALUE!</x:v>
      </x:c>
      <x:c r="FO32" s="940" t="e">
        <x:f t="shared" si="69"/>
        <x:v>#VALUE!</x:v>
      </x:c>
      <x:c r="FP32" s="940" t="e">
        <x:f t="shared" si="70"/>
        <x:v>#VALUE!</x:v>
      </x:c>
      <x:c r="FQ32" s="830" t="e">
        <x:f t="shared" si="71"/>
        <x:v>#VALUE!</x:v>
      </x:c>
      <x:c r="FR32" s="831" t="e">
        <x:f t="shared" si="72"/>
        <x:v>#VALUE!</x:v>
      </x:c>
      <x:c r="FS32" s="832" t="str">
        <x:f t="shared" si="73"/>
        <x:v/>
      </x:c>
      <x:c r="FT32" s="833" t="str">
        <x:f t="shared" si="74"/>
        <x:v/>
      </x:c>
      <x:c r="FU32" s="870">
        <x:f t="shared" si="75"/>
        <x:v>0</x:v>
      </x:c>
      <x:c r="FV32" s="871">
        <x:f t="shared" si="76"/>
        <x:v>0</x:v>
      </x:c>
      <x:c r="GA32" s="1791">
        <x:v>39</x:v>
      </x:c>
      <x:c r="GB32" s="1792">
        <x:v>3</x:v>
      </x:c>
      <x:c r="GC32" s="1793">
        <x:v>-0.25</x:v>
      </x:c>
      <x:c r="GD32" s="1794">
        <x:v>-0.5</x:v>
      </x:c>
      <x:c r="GE32" s="1795">
        <x:f t="shared" si="77"/>
        <x:v>0</x:v>
      </x:c>
      <x:c r="GF32" s="600" t="str">
        <x:f t="shared" si="78"/>
        <x:v>J10</x:v>
      </x:c>
      <x:c r="GG32" s="1130">
        <x:v>0</x:v>
      </x:c>
      <x:c r="GH32" s="1131">
        <x:v>0</x:v>
      </x:c>
      <x:c r="GI32" s="1130"/>
      <x:c r="GJ32" s="1131"/>
      <x:c r="GK32" s="1636">
        <x:f t="shared" si="79"/>
        <x:v>470.25</x:v>
      </x:c>
      <x:c r="GL32" s="1636">
        <x:f t="shared" si="80"/>
        <x:v>470.25</x:v>
      </x:c>
      <x:c r="GM32" s="1637">
        <x:f>IF(ABS(GK32-GL32)&gt;='Job Info.'!$L$22,ABS(GK32-GL32),0)</x:f>
        <x:v>0</x:v>
      </x:c>
      <x:c r="GZ32" s="415"/>
      <x:c r="HA32" s="1391" t="s">
        <x:v>1440</x:v>
      </x:c>
      <x:c r="HB32" s="1392">
        <x:v>7</x:v>
      </x:c>
      <x:c r="HC32" s="1392" t="s">
        <x:v>1592</x:v>
      </x:c>
      <x:c r="HD32" s="1393">
        <x:v>39</x:v>
      </x:c>
      <x:c r="HE32" s="1394">
        <x:v>2.25</x:v>
      </x:c>
      <x:c r="HF32" s="1392" t="s">
        <x:v>116</x:v>
      </x:c>
      <x:c r="HG32" s="1392" t="s">
        <x:v>116</x:v>
      </x:c>
      <x:c r="HH32" s="1392" t="s">
        <x:v>116</x:v>
      </x:c>
      <x:c r="HI32" s="1395" t="s">
        <x:v>116</x:v>
      </x:c>
      <x:c r="HJ32" s="1392" t="s">
        <x:v>116</x:v>
      </x:c>
      <x:c r="HK32" s="1392" t="s">
        <x:v>116</x:v>
      </x:c>
      <x:c r="HL32" s="1392">
        <x:v>5</x:v>
      </x:c>
      <x:c r="HM32" s="1392">
        <x:v>5</x:v>
      </x:c>
      <x:c r="HN32" s="1392" t="s">
        <x:v>116</x:v>
      </x:c>
      <x:c r="HO32" s="1392" t="s">
        <x:v>116</x:v>
      </x:c>
      <x:c r="HP32" s="1392" t="s">
        <x:v>116</x:v>
      </x:c>
      <x:c r="HQ32" s="1395" t="s">
        <x:v>116</x:v>
      </x:c>
      <x:c r="HR32" s="1392" t="s">
        <x:v>116</x:v>
      </x:c>
      <x:c r="HS32" s="1392" t="s">
        <x:v>116</x:v>
      </x:c>
      <x:c r="HT32" s="1392">
        <x:v>0</x:v>
      </x:c>
      <x:c r="HU32" s="1392">
        <x:v>2.25</x:v>
      </x:c>
      <x:c r="HV32" s="1392">
        <x:v>0</x:v>
      </x:c>
      <x:c r="HW32" s="1394">
        <x:v>2</x:v>
      </x:c>
      <x:c r="HX32" s="1394">
        <x:v>4</x:v>
      </x:c>
      <x:c r="HY32" s="1394" t="s">
        <x:v>116</x:v>
      </x:c>
      <x:c r="HZ32" s="1394" t="s">
        <x:v>116</x:v>
      </x:c>
      <x:c r="IA32" s="1394" t="s">
        <x:v>1654</x:v>
      </x:c>
      <x:c r="IB32" s="1394"/>
      <x:c r="IC32" s="1394"/>
      <x:c r="ID32" s="1394"/>
      <x:c r="IE32" s="1394"/>
      <x:c r="IF32" s="1396"/>
    </x:row>
    <x:row r="33" spans="1:240" ht="12.6" customHeight="1" x14ac:dyDescent="0.25">
      <x:c r="A33" s="2764" t="s">
        <x:v>1441</x:v>
      </x:c>
      <x:c r="B33" s="2765">
        <x:v>4</x:v>
      </x:c>
      <x:c r="C33" s="2766" t="s">
        <x:v>1592</x:v>
      </x:c>
      <x:c r="D33" s="2767">
        <x:v>39</x:v>
      </x:c>
      <x:c r="E33" s="2841">
        <x:v>2.25</x:v>
      </x:c>
      <x:c r="F33" s="2770" t="str">
        <x:f t="shared" si="86"/>
        <x:v/>
      </x:c>
      <x:c r="G33" s="2771" t="str">
        <x:f t="shared" si="87"/>
        <x:v/>
      </x:c>
      <x:c r="H33" s="2842" t="str">
        <x:f t="shared" si="88"/>
        <x:v/>
      </x:c>
      <x:c r="I33" s="2767" t="str">
        <x:f t="shared" si="89"/>
        <x:v/>
      </x:c>
      <x:c r="J33" s="2771" t="str">
        <x:f t="shared" si="90"/>
        <x:v/>
      </x:c>
      <x:c r="K33" s="2843" t="str">
        <x:f t="shared" si="91"/>
        <x:v/>
      </x:c>
      <x:c r="L33" s="2774">
        <x:v>5</x:v>
      </x:c>
      <x:c r="M33" s="2775">
        <x:v>5</x:v>
      </x:c>
      <x:c r="N33" s="2770">
        <x:v>0</x:v>
      </x:c>
      <x:c r="O33" s="2771">
        <x:v>6.75</x:v>
      </x:c>
      <x:c r="P33" s="2772">
        <x:v>2</x:v>
      </x:c>
      <x:c r="Q33" s="2767" t="str">
        <x:f t="shared" si="95"/>
        <x:v/>
      </x:c>
      <x:c r="R33" s="2771" t="str">
        <x:f t="shared" si="96"/>
        <x:v/>
      </x:c>
      <x:c r="S33" s="2819" t="str">
        <x:f t="shared" si="97"/>
        <x:v/>
      </x:c>
      <x:c r="T33" s="2770">
        <x:v>0</x:v>
      </x:c>
      <x:c r="U33" s="2771">
        <x:v>2.25</x:v>
      </x:c>
      <x:c r="V33" s="2767">
        <x:v>0</x:v>
      </x:c>
      <x:c r="W33" s="2771">
        <x:v>2</x:v>
      </x:c>
      <x:c r="X33" s="2816">
        <x:v>4</x:v>
      </x:c>
      <x:c r="Y33" s="2844" t="str">
        <x:f t="shared" si="98"/>
        <x:v/>
      </x:c>
      <x:c r="Z33" s="2845" t="str">
        <x:f t="shared" si="99"/>
        <x:v/>
      </x:c>
      <x:c r="AA33" s="2846" t="s">
        <x:v>1653</x:v>
      </x:c>
      <x:c r="AB33" s="1413"/>
      <x:c r="AC33" s="964" t="b">
        <x:v>0</x:v>
      </x:c>
      <x:c r="AD33" s="441">
        <x:f t="shared" si="1"/>
        <x:v>0</x:v>
      </x:c>
      <x:c r="AE33" s="442">
        <x:f t="shared" si="2"/>
        <x:v>4</x:v>
      </x:c>
      <x:c r="AF33" s="442">
        <x:f t="shared" si="3"/>
        <x:v>0</x:v>
      </x:c>
      <x:c r="AG33" s="442">
        <x:f t="shared" si="4"/>
        <x:v>0</x:v>
      </x:c>
      <x:c r="AH33" s="443">
        <x:f t="shared" si="5"/>
        <x:v>0</x:v>
      </x:c>
      <x:c r="AI33" s="444" t="b">
        <x:v>0</x:v>
      </x:c>
      <x:c r="AJ33" s="238">
        <x:f t="shared" si="108"/>
        <x:v>32</x:v>
      </x:c>
      <x:c r="AK33" s="238" t="str">
        <x:f t="shared" si="6"/>
        <x:v>LH</x:v>
      </x:c>
      <x:c r="AL33" s="1290" t="str">
        <x:f t="shared" si="7"/>
        <x:v/>
      </x:c>
      <x:c r="AM33" s="238">
        <x:f t="shared" si="8"/>
        <x:v>305</x:v>
      </x:c>
      <x:c r="AN33" s="238">
        <x:f t="shared" si="9"/>
        <x:v>180</x:v>
      </x:c>
      <x:c r="AO33" s="238" t="str">
        <x:f t="shared" si="10"/>
        <x:v/>
      </x:c>
      <x:c r="AP33" s="830" t="b">
        <x:f>IF(ISERROR(AJ33),FALSE,IF(OR(AJ33=0,ISERROR(AL33),ISERROR(AM33),ISERROR(AN33),ISERROR(AO33)),FALSE,IF(AL33&lt;&gt;"",IF(ISERROR(VLOOKUP(SUBSTITUTE(SUBSTITUTE(C33,"R",""),"A",""),TblJoistSize!$A:$A,1,FALSE)),FALSE,TRUE),TRUE)))</x:f>
        <x:v>1</x:v>
      </x:c>
      <x:c r="AQ33" s="1038">
        <x:f t="shared" si="11"/>
        <x:v>6</x:v>
      </x:c>
      <x:c r="AR33" s="945" t="b">
        <x:f t="shared" si="83"/>
        <x:v>1</x:v>
      </x:c>
      <x:c r="AS33" s="1038">
        <x:f t="shared" si="12"/>
        <x:v>6</x:v>
      </x:c>
      <x:c r="AT33" s="945" t="b">
        <x:f t="shared" si="84"/>
        <x:v>1</x:v>
      </x:c>
      <x:c r="AU33" s="1291" t="str">
        <x:f t="shared" si="13"/>
        <x:v>LH</x:v>
      </x:c>
      <x:c r="AV33" s="830" t="str">
        <x:f t="shared" si="14"/>
        <x:v/>
      </x:c>
      <x:c r="AW33" s="830" t="str">
        <x:f t="shared" si="81"/>
        <x:v>LH</x:v>
      </x:c>
      <x:c r="AX33" s="830" t="str">
        <x:f t="shared" si="85"/>
        <x:v>TJ11</x:v>
      </x:c>
      <x:c r="AY33" s="464" t="b">
        <x:f t="shared" si="15"/>
        <x:v>0</x:v>
      </x:c>
      <x:c r="AZ33" s="856" t="b">
        <x:f t="shared" si="82"/>
        <x:v>0</x:v>
      </x:c>
      <x:c r="BA33" s="549"/>
      <x:c r="BB33" s="672"/>
      <x:c r="BC33" s="1684"/>
      <x:c r="BD33" s="733"/>
      <x:c r="BE33" s="734"/>
      <x:c r="BF33" s="735"/>
      <x:c r="BG33" s="672"/>
      <x:c r="BH33" s="982"/>
      <x:c r="BI33" s="983"/>
      <x:c r="BJ33" s="1625"/>
      <x:c r="BK33" s="982"/>
      <x:c r="BL33" s="983"/>
      <x:c r="BM33" s="1569"/>
      <x:c r="BN33" s="1570"/>
      <x:c r="BO33" s="1617" t="str">
        <x:f>IF(ISERROR(CU33),"",IF(CU33="","",IF(VLOOKUP(BG33,SectInfo!$B:$N,10,FALSE)="","","X")))</x:f>
        <x:v/>
      </x:c>
      <x:c r="BP33" s="1561"/>
      <x:c r="BQ33" s="1562" t="str">
        <x:f t="shared" si="16"/>
        <x:v/>
      </x:c>
      <x:c r="BR33" s="1563"/>
      <x:c r="BS33" s="672"/>
      <x:c r="BT33" s="982"/>
      <x:c r="BU33" s="983"/>
      <x:c r="BV33" s="1625"/>
      <x:c r="BW33" s="982"/>
      <x:c r="BX33" s="983"/>
      <x:c r="BY33" s="1569"/>
      <x:c r="BZ33" s="1570"/>
      <x:c r="CA33" s="1617" t="str">
        <x:f>IF(ISERROR(DE33),"",IF(DE33="","",IF(VLOOKUP(BS33,SectInfo!$B:$N,10,FALSE)="","","X")))</x:f>
        <x:v/>
      </x:c>
      <x:c r="CB33" s="1561"/>
      <x:c r="CC33" s="1562" t="str">
        <x:f t="shared" si="17"/>
        <x:v/>
      </x:c>
      <x:c r="CD33" s="1563"/>
      <x:c r="CE33" s="1574"/>
      <x:c r="CF33" s="736"/>
      <x:c r="CG33" s="737"/>
      <x:c r="CH33" s="643" t="str">
        <x:f t="shared" si="18"/>
        <x:v/>
      </x:c>
      <x:c r="CI33" s="644" t="str">
        <x:f t="shared" si="19"/>
        <x:v/>
      </x:c>
      <x:c r="CJ33" s="645" t="str">
        <x:f t="shared" si="20"/>
        <x:v/>
      </x:c>
      <x:c r="CK33" s="852" t="str">
        <x:f t="shared" si="21"/>
        <x:v/>
      </x:c>
      <x:c r="CL33" s="847" t="str">
        <x:f t="shared" si="22"/>
        <x:v/>
      </x:c>
      <x:c r="CM33" s="848" t="str">
        <x:f t="shared" si="23"/>
        <x:v/>
      </x:c>
      <x:c r="CN33" s="611" t="str">
        <x:f t="shared" si="24"/>
        <x:v/>
      </x:c>
      <x:c r="CO33" s="612" t="str">
        <x:f t="shared" si="25"/>
        <x:v/>
      </x:c>
      <x:c r="CP33" s="615" t="str">
        <x:f t="shared" si="26"/>
        <x:v/>
      </x:c>
      <x:c r="CQ33" s="616" t="str">
        <x:f t="shared" si="27"/>
        <x:v/>
      </x:c>
      <x:c r="CR33" s="750">
        <x:f t="shared" si="28"/>
        <x:v>5</x:v>
      </x:c>
      <x:c r="CS33" s="751">
        <x:f t="shared" si="29"/>
        <x:v>5</x:v>
      </x:c>
      <x:c r="CU33" s="114" t="str">
        <x:f>IF(BG33="","",VLOOKUP(BG33,SectInfo!$B:$N,12,FALSE))</x:f>
        <x:v/>
      </x:c>
      <x:c r="CV33" s="115" t="str">
        <x:f>IF(BG33="","",IF(ISBLANK(BP33),VLOOKUP(BG33,SectInfo!$B:$N,13,FALSE),BP33))</x:f>
        <x:v/>
      </x:c>
      <x:c r="CW33" s="1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1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30"/>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31"/>
        <x:v>0</x:v>
      </x:c>
      <x:c r="DO33" s="818">
        <x:f t="shared" si="32"/>
        <x:v>0</x:v>
      </x:c>
      <x:c r="DP33" s="822" t="str">
        <x:f t="shared" si="33"/>
        <x:v/>
      </x:c>
      <x:c r="DQ33" s="822" t="str">
        <x:f t="shared" si="34"/>
        <x:v/>
      </x:c>
      <x:c r="DR33" s="822" t="str">
        <x:f t="shared" si="35"/>
        <x:v/>
      </x:c>
      <x:c r="DS33" s="821">
        <x:f t="shared" si="36"/>
        <x:v>0</x:v>
      </x:c>
      <x:c r="DT33" s="821">
        <x:f t="shared" si="37"/>
        <x:v>0</x:v>
      </x:c>
      <x:c r="DU33" s="821" t="str">
        <x:f t="shared" si="38"/>
        <x:v/>
      </x:c>
      <x:c r="DV33" s="822" t="str">
        <x:f t="shared" si="39"/>
        <x:v/>
      </x:c>
      <x:c r="DW33" s="856" t="str">
        <x:f t="shared" si="40"/>
        <x:v/>
      </x:c>
      <x:c r="DX33" s="1006">
        <x:f t="shared" si="100"/>
        <x:v>0</x:v>
      </x:c>
      <x:c r="DY33" s="822">
        <x:f t="shared" si="41"/>
        <x:v>0</x:v>
      </x:c>
      <x:c r="DZ33" s="821">
        <x:f t="shared" si="42"/>
        <x:v>0</x:v>
      </x:c>
      <x:c r="EA33" s="821" t="str">
        <x:f t="shared" si="43"/>
        <x:v/>
      </x:c>
      <x:c r="EB33" s="822" t="str">
        <x:f t="shared" si="101"/>
        <x:v/>
      </x:c>
      <x:c r="EC33" s="856" t="str">
        <x:f t="shared" si="44"/>
        <x:v/>
      </x:c>
      <x:c r="ED33" s="1006">
        <x:f t="shared" si="102"/>
        <x:v>0</x:v>
      </x:c>
      <x:c r="EE33" s="1293" t="str">
        <x:f t="shared" si="45"/>
        <x:v/>
      </x:c>
      <x:c r="EF33" s="822" t="str">
        <x:f t="shared" si="103"/>
        <x:v/>
      </x:c>
      <x:c r="EG33" s="822" t="str">
        <x:f t="shared" si="104"/>
        <x:v/>
      </x:c>
      <x:c r="EH33" s="856" t="str">
        <x:f t="shared" si="46"/>
        <x:v>ERR</x:v>
      </x:c>
      <x:c r="EI33" s="856" t="str">
        <x:f t="shared" si="47"/>
        <x:v>ERR</x:v>
      </x:c>
      <x:c r="EJ33" s="822" t="str">
        <x:f t="shared" si="48"/>
        <x:v/>
      </x:c>
      <x:c r="EK33" s="822" t="str">
        <x:f t="shared" si="48"/>
        <x:v/>
      </x:c>
      <x:c r="EL33" s="1293" t="str">
        <x:f t="shared" si="49"/>
        <x:v/>
      </x:c>
      <x:c r="EM33" s="822" t="str">
        <x:f t="shared" si="105"/>
        <x:v/>
      </x:c>
      <x:c r="EN33" s="822" t="str">
        <x:f t="shared" si="106"/>
        <x:v/>
      </x:c>
      <x:c r="EO33" s="856" t="str">
        <x:f t="shared" si="50"/>
        <x:v>ERR</x:v>
      </x:c>
      <x:c r="EP33" s="856" t="str">
        <x:f t="shared" si="51"/>
        <x:v>ERR</x:v>
      </x:c>
      <x:c r="EQ33" s="822" t="str">
        <x:f t="shared" si="52"/>
        <x:v/>
      </x:c>
      <x:c r="ER33" s="822" t="str">
        <x:f t="shared" si="52"/>
        <x:v/>
      </x:c>
      <x:c r="ES33" s="822" t="str">
        <x:f t="shared" si="53"/>
        <x:v/>
      </x:c>
      <x:c r="ET33" s="822" t="str">
        <x:f t="shared" si="54"/>
        <x:v/>
      </x:c>
      <x:c r="EU33" s="829">
        <x:f t="shared" si="55"/>
        <x:v>4</x:v>
      </x:c>
      <x:c r="EV33" s="824" t="str">
        <x:f t="shared" si="107"/>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56"/>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57"/>
        <x:v/>
      </x:c>
      <x:c r="FD33" s="822">
        <x:f t="shared" si="58"/>
        <x:v>0</x:v>
      </x:c>
      <x:c r="FE33" s="822">
        <x:f t="shared" si="59"/>
        <x:v>0</x:v>
      </x:c>
      <x:c r="FF33" s="821">
        <x:f t="shared" si="60"/>
        <x:v>0</x:v>
      </x:c>
      <x:c r="FG33" s="821" t="str">
        <x:f t="shared" si="61"/>
        <x:v/>
      </x:c>
      <x:c r="FH33" s="822" t="str">
        <x:f t="shared" si="62"/>
        <x:v/>
      </x:c>
      <x:c r="FI33" s="822">
        <x:f t="shared" si="63"/>
        <x:v>0</x:v>
      </x:c>
      <x:c r="FJ33" s="822">
        <x:f t="shared" si="64"/>
        <x:v>0</x:v>
      </x:c>
      <x:c r="FK33" s="821">
        <x:f t="shared" si="65"/>
        <x:v>0</x:v>
      </x:c>
      <x:c r="FL33" s="821" t="str">
        <x:f t="shared" si="66"/>
        <x:v/>
      </x:c>
      <x:c r="FM33" s="822" t="str">
        <x:f t="shared" si="67"/>
        <x:v/>
      </x:c>
      <x:c r="FN33" s="822" t="e">
        <x:f t="shared" si="68"/>
        <x:v>#VALUE!</x:v>
      </x:c>
      <x:c r="FO33" s="940" t="e">
        <x:f t="shared" si="69"/>
        <x:v>#VALUE!</x:v>
      </x:c>
      <x:c r="FP33" s="940" t="e">
        <x:f t="shared" si="70"/>
        <x:v>#VALUE!</x:v>
      </x:c>
      <x:c r="FQ33" s="830" t="e">
        <x:f t="shared" si="71"/>
        <x:v>#VALUE!</x:v>
      </x:c>
      <x:c r="FR33" s="831" t="e">
        <x:f t="shared" si="72"/>
        <x:v>#VALUE!</x:v>
      </x:c>
      <x:c r="FS33" s="832" t="str">
        <x:f t="shared" si="73"/>
        <x:v/>
      </x:c>
      <x:c r="FT33" s="833" t="str">
        <x:f t="shared" si="74"/>
        <x:v/>
      </x:c>
      <x:c r="FU33" s="870">
        <x:f t="shared" si="75"/>
        <x:v>0</x:v>
      </x:c>
      <x:c r="FV33" s="871">
        <x:f t="shared" si="76"/>
        <x:v>0</x:v>
      </x:c>
      <x:c r="GA33" s="1791">
        <x:v>39</x:v>
      </x:c>
      <x:c r="GB33" s="1792">
        <x:v>3</x:v>
      </x:c>
      <x:c r="GC33" s="1793">
        <x:v>-0.25</x:v>
      </x:c>
      <x:c r="GD33" s="1794">
        <x:v>-0.5</x:v>
      </x:c>
      <x:c r="GE33" s="1795">
        <x:f t="shared" si="77"/>
        <x:v>0</x:v>
      </x:c>
      <x:c r="GF33" s="600" t="str">
        <x:f t="shared" si="78"/>
        <x:v>TJ11</x:v>
      </x:c>
      <x:c r="GG33" s="1130">
        <x:v>0</x:v>
      </x:c>
      <x:c r="GH33" s="1131">
        <x:v>0</x:v>
      </x:c>
      <x:c r="GI33" s="1130"/>
      <x:c r="GJ33" s="1131"/>
      <x:c r="GK33" s="1636">
        <x:f t="shared" si="79"/>
        <x:v>470.25</x:v>
      </x:c>
      <x:c r="GL33" s="1636">
        <x:f t="shared" si="80"/>
        <x:v>470.25</x:v>
      </x:c>
      <x:c r="GM33" s="1637">
        <x:f>IF(ABS(GK33-GL33)&gt;='Job Info.'!$L$22,ABS(GK33-GL33),0)</x:f>
        <x:v>0</x:v>
      </x:c>
      <x:c r="GZ33" s="415"/>
      <x:c r="HA33" s="1391" t="s">
        <x:v>1441</x:v>
      </x:c>
      <x:c r="HB33" s="1392">
        <x:v>4</x:v>
      </x:c>
      <x:c r="HC33" s="1392" t="s">
        <x:v>1592</x:v>
      </x:c>
      <x:c r="HD33" s="1393">
        <x:v>39</x:v>
      </x:c>
      <x:c r="HE33" s="1394">
        <x:v>2.25</x:v>
      </x:c>
      <x:c r="HF33" s="1392" t="s">
        <x:v>116</x:v>
      </x:c>
      <x:c r="HG33" s="1392" t="s">
        <x:v>116</x:v>
      </x:c>
      <x:c r="HH33" s="1392" t="s">
        <x:v>116</x:v>
      </x:c>
      <x:c r="HI33" s="1395" t="s">
        <x:v>116</x:v>
      </x:c>
      <x:c r="HJ33" s="1392" t="s">
        <x:v>116</x:v>
      </x:c>
      <x:c r="HK33" s="1392" t="s">
        <x:v>116</x:v>
      </x:c>
      <x:c r="HL33" s="1392">
        <x:v>5</x:v>
      </x:c>
      <x:c r="HM33" s="1392">
        <x:v>5</x:v>
      </x:c>
      <x:c r="HN33" s="1392">
        <x:v>0</x:v>
      </x:c>
      <x:c r="HO33" s="1392">
        <x:v>6.75</x:v>
      </x:c>
      <x:c r="HP33" s="1392">
        <x:v>2</x:v>
      </x:c>
      <x:c r="HQ33" s="1395" t="s">
        <x:v>116</x:v>
      </x:c>
      <x:c r="HR33" s="1392" t="s">
        <x:v>116</x:v>
      </x:c>
      <x:c r="HS33" s="1392" t="s">
        <x:v>116</x:v>
      </x:c>
      <x:c r="HT33" s="1392">
        <x:v>0</x:v>
      </x:c>
      <x:c r="HU33" s="1392">
        <x:v>2.25</x:v>
      </x:c>
      <x:c r="HV33" s="1392">
        <x:v>0</x:v>
      </x:c>
      <x:c r="HW33" s="1394">
        <x:v>2</x:v>
      </x:c>
      <x:c r="HX33" s="1394">
        <x:v>4</x:v>
      </x:c>
      <x:c r="HY33" s="1394" t="s">
        <x:v>116</x:v>
      </x:c>
      <x:c r="HZ33" s="1394" t="s">
        <x:v>116</x:v>
      </x:c>
      <x:c r="IA33" s="1394" t="s">
        <x:v>1653</x:v>
      </x:c>
      <x:c r="IB33" s="1394"/>
      <x:c r="IC33" s="1394"/>
      <x:c r="ID33" s="1394"/>
      <x:c r="IE33" s="1394"/>
      <x:c r="IF33" s="1396"/>
    </x:row>
    <x:row r="34" spans="1:240" ht="12.6" customHeight="1" x14ac:dyDescent="0.25">
      <x:c r="A34" s="2764" t="s">
        <x:v>1442</x:v>
      </x:c>
      <x:c r="B34" s="2765">
        <x:v>1</x:v>
      </x:c>
      <x:c r="C34" s="2766" t="s">
        <x:v>1592</x:v>
      </x:c>
      <x:c r="D34" s="2767">
        <x:v>39</x:v>
      </x:c>
      <x:c r="E34" s="2841">
        <x:v>2.25</x:v>
      </x:c>
      <x:c r="F34" s="2770" t="str">
        <x:f t="shared" si="86"/>
        <x:v/>
      </x:c>
      <x:c r="G34" s="2771" t="str">
        <x:f t="shared" si="87"/>
        <x:v/>
      </x:c>
      <x:c r="H34" s="2842" t="str">
        <x:f t="shared" si="88"/>
        <x:v/>
      </x:c>
      <x:c r="I34" s="2767" t="str">
        <x:f t="shared" si="89"/>
        <x:v/>
      </x:c>
      <x:c r="J34" s="2771" t="str">
        <x:f t="shared" si="90"/>
        <x:v/>
      </x:c>
      <x:c r="K34" s="2843" t="str">
        <x:f t="shared" si="91"/>
        <x:v/>
      </x:c>
      <x:c r="L34" s="2774">
        <x:v>5</x:v>
      </x:c>
      <x:c r="M34" s="2775">
        <x:v>5</x:v>
      </x:c>
      <x:c r="N34" s="2770" t="str">
        <x:f t="shared" si="92"/>
        <x:v/>
      </x:c>
      <x:c r="O34" s="2771" t="str">
        <x:f t="shared" si="93"/>
        <x:v/>
      </x:c>
      <x:c r="P34" s="2772" t="str">
        <x:f t="shared" si="94"/>
        <x:v/>
      </x:c>
      <x:c r="Q34" s="2767" t="str">
        <x:f t="shared" si="95"/>
        <x:v/>
      </x:c>
      <x:c r="R34" s="2771" t="str">
        <x:f t="shared" si="96"/>
        <x:v/>
      </x:c>
      <x:c r="S34" s="2819" t="str">
        <x:f t="shared" si="97"/>
        <x:v/>
      </x:c>
      <x:c r="T34" s="2770">
        <x:v>0</x:v>
      </x:c>
      <x:c r="U34" s="2771">
        <x:v>2.25</x:v>
      </x:c>
      <x:c r="V34" s="2767">
        <x:v>0</x:v>
      </x:c>
      <x:c r="W34" s="2771">
        <x:v>2</x:v>
      </x:c>
      <x:c r="X34" s="2816">
        <x:v>4</x:v>
      </x:c>
      <x:c r="Y34" s="2844" t="str">
        <x:f t="shared" si="98"/>
        <x:v/>
      </x:c>
      <x:c r="Z34" s="2845" t="str">
        <x:f t="shared" si="99"/>
        <x:v/>
      </x:c>
      <x:c r="AA34" s="2846" t="s">
        <x:v>1655</x:v>
      </x:c>
      <x:c r="AB34" s="1413"/>
      <x:c r="AC34" s="964" t="b">
        <x:v>0</x:v>
      </x:c>
      <x:c r="AD34" s="441">
        <x:f t="shared" si="1"/>
        <x:v>0</x:v>
      </x:c>
      <x:c r="AE34" s="442">
        <x:f t="shared" si="2"/>
        <x:v>1</x:v>
      </x:c>
      <x:c r="AF34" s="442">
        <x:f t="shared" si="3"/>
        <x:v>0</x:v>
      </x:c>
      <x:c r="AG34" s="442">
        <x:f t="shared" si="4"/>
        <x:v>0</x:v>
      </x:c>
      <x:c r="AH34" s="443">
        <x:f t="shared" si="5"/>
        <x:v>0</x:v>
      </x:c>
      <x:c r="AI34" s="444" t="b">
        <x:v>0</x:v>
      </x:c>
      <x:c r="AJ34" s="238">
        <x:f t="shared" si="108"/>
        <x:v>32</x:v>
      </x:c>
      <x:c r="AK34" s="238" t="str">
        <x:f t="shared" si="6"/>
        <x:v>LH</x:v>
      </x:c>
      <x:c r="AL34" s="1290" t="str">
        <x:f t="shared" si="7"/>
        <x:v/>
      </x:c>
      <x:c r="AM34" s="238">
        <x:f t="shared" si="8"/>
        <x:v>305</x:v>
      </x:c>
      <x:c r="AN34" s="238">
        <x:f t="shared" si="9"/>
        <x:v>180</x:v>
      </x:c>
      <x:c r="AO34" s="238" t="str">
        <x:f t="shared" si="10"/>
        <x:v/>
      </x:c>
      <x:c r="AP34" s="830" t="b">
        <x:f>IF(ISERROR(AJ34),FALSE,IF(OR(AJ34=0,ISERROR(AL34),ISERROR(AM34),ISERROR(AN34),ISERROR(AO34)),FALSE,IF(AL34&lt;&gt;"",IF(ISERROR(VLOOKUP(SUBSTITUTE(SUBSTITUTE(C34,"R",""),"A",""),TblJoistSize!$A:$A,1,FALSE)),FALSE,TRUE),TRUE)))</x:f>
        <x:v>1</x:v>
      </x:c>
      <x:c r="AQ34" s="1038">
        <x:f t="shared" si="11"/>
        <x:v>6</x:v>
      </x:c>
      <x:c r="AR34" s="945" t="b">
        <x:f t="shared" si="83"/>
        <x:v>1</x:v>
      </x:c>
      <x:c r="AS34" s="1038">
        <x:f t="shared" si="12"/>
        <x:v>6</x:v>
      </x:c>
      <x:c r="AT34" s="945" t="b">
        <x:f t="shared" si="84"/>
        <x:v>1</x:v>
      </x:c>
      <x:c r="AU34" s="1291" t="str">
        <x:f t="shared" si="13"/>
        <x:v>LH</x:v>
      </x:c>
      <x:c r="AV34" s="830" t="str">
        <x:f t="shared" si="14"/>
        <x:v/>
      </x:c>
      <x:c r="AW34" s="830" t="str">
        <x:f t="shared" si="81"/>
        <x:v>LH</x:v>
      </x:c>
      <x:c r="AX34" s="830" t="str">
        <x:f t="shared" si="85"/>
        <x:v>J12</x:v>
      </x:c>
      <x:c r="AY34" s="464" t="b">
        <x:f t="shared" si="15"/>
        <x:v>0</x:v>
      </x:c>
      <x:c r="AZ34" s="856" t="b">
        <x:f t="shared" si="82"/>
        <x:v>0</x:v>
      </x:c>
      <x:c r="BA34" s="549"/>
      <x:c r="BB34" s="672"/>
      <x:c r="BC34" s="1684"/>
      <x:c r="BD34" s="733"/>
      <x:c r="BE34" s="734"/>
      <x:c r="BF34" s="735"/>
      <x:c r="BG34" s="672"/>
      <x:c r="BH34" s="982"/>
      <x:c r="BI34" s="983"/>
      <x:c r="BJ34" s="1625"/>
      <x:c r="BK34" s="982"/>
      <x:c r="BL34" s="983"/>
      <x:c r="BM34" s="1569"/>
      <x:c r="BN34" s="1570"/>
      <x:c r="BO34" s="1617" t="str">
        <x:f>IF(ISERROR(CU34),"",IF(CU34="","",IF(VLOOKUP(BG34,SectInfo!$B:$N,10,FALSE)="","","X")))</x:f>
        <x:v/>
      </x:c>
      <x:c r="BP34" s="1561"/>
      <x:c r="BQ34" s="1562" t="str">
        <x:f t="shared" si="16"/>
        <x:v/>
      </x:c>
      <x:c r="BR34" s="1563"/>
      <x:c r="BS34" s="672"/>
      <x:c r="BT34" s="982"/>
      <x:c r="BU34" s="983"/>
      <x:c r="BV34" s="1625"/>
      <x:c r="BW34" s="982"/>
      <x:c r="BX34" s="983"/>
      <x:c r="BY34" s="1569"/>
      <x:c r="BZ34" s="1570"/>
      <x:c r="CA34" s="1617" t="str">
        <x:f>IF(ISERROR(DE34),"",IF(DE34="","",IF(VLOOKUP(BS34,SectInfo!$B:$N,10,FALSE)="","","X")))</x:f>
        <x:v/>
      </x:c>
      <x:c r="CB34" s="1561"/>
      <x:c r="CC34" s="1562" t="str">
        <x:f t="shared" si="17"/>
        <x:v/>
      </x:c>
      <x:c r="CD34" s="1563"/>
      <x:c r="CE34" s="1574"/>
      <x:c r="CF34" s="736"/>
      <x:c r="CG34" s="737"/>
      <x:c r="CH34" s="643" t="str">
        <x:f t="shared" si="18"/>
        <x:v/>
      </x:c>
      <x:c r="CI34" s="644" t="str">
        <x:f t="shared" si="19"/>
        <x:v/>
      </x:c>
      <x:c r="CJ34" s="645" t="str">
        <x:f t="shared" si="20"/>
        <x:v/>
      </x:c>
      <x:c r="CK34" s="852" t="str">
        <x:f t="shared" si="21"/>
        <x:v/>
      </x:c>
      <x:c r="CL34" s="847" t="str">
        <x:f t="shared" si="22"/>
        <x:v/>
      </x:c>
      <x:c r="CM34" s="848" t="str">
        <x:f t="shared" si="23"/>
        <x:v/>
      </x:c>
      <x:c r="CN34" s="611" t="str">
        <x:f t="shared" si="24"/>
        <x:v/>
      </x:c>
      <x:c r="CO34" s="612" t="str">
        <x:f t="shared" si="25"/>
        <x:v/>
      </x:c>
      <x:c r="CP34" s="615" t="str">
        <x:f t="shared" si="26"/>
        <x:v/>
      </x:c>
      <x:c r="CQ34" s="616" t="str">
        <x:f t="shared" si="27"/>
        <x:v/>
      </x:c>
      <x:c r="CR34" s="750">
        <x:f t="shared" si="28"/>
        <x:v>5</x:v>
      </x:c>
      <x:c r="CS34" s="751">
        <x:f t="shared" si="29"/>
        <x:v>5</x:v>
      </x:c>
      <x:c r="CU34" s="114" t="str">
        <x:f>IF(BG34="","",VLOOKUP(BG34,SectInfo!$B:$N,12,FALSE))</x:f>
        <x:v/>
      </x:c>
      <x:c r="CV34" s="115" t="str">
        <x:f>IF(BG34="","",IF(ISBLANK(BP34),VLOOKUP(BG34,SectInfo!$B:$N,13,FALSE),BP34))</x:f>
        <x:v/>
      </x:c>
      <x:c r="CW34" s="1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1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30"/>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31"/>
        <x:v>0</x:v>
      </x:c>
      <x:c r="DO34" s="818">
        <x:f t="shared" si="32"/>
        <x:v>0</x:v>
      </x:c>
      <x:c r="DP34" s="822" t="str">
        <x:f t="shared" si="33"/>
        <x:v/>
      </x:c>
      <x:c r="DQ34" s="822" t="str">
        <x:f t="shared" si="34"/>
        <x:v/>
      </x:c>
      <x:c r="DR34" s="822" t="str">
        <x:f t="shared" si="35"/>
        <x:v/>
      </x:c>
      <x:c r="DS34" s="821">
        <x:f t="shared" si="36"/>
        <x:v>0</x:v>
      </x:c>
      <x:c r="DT34" s="821">
        <x:f t="shared" si="37"/>
        <x:v>0</x:v>
      </x:c>
      <x:c r="DU34" s="821" t="str">
        <x:f t="shared" si="38"/>
        <x:v/>
      </x:c>
      <x:c r="DV34" s="822" t="str">
        <x:f t="shared" si="39"/>
        <x:v/>
      </x:c>
      <x:c r="DW34" s="856" t="str">
        <x:f t="shared" si="40"/>
        <x:v/>
      </x:c>
      <x:c r="DX34" s="1006">
        <x:f t="shared" si="100"/>
        <x:v>0</x:v>
      </x:c>
      <x:c r="DY34" s="822">
        <x:f t="shared" si="41"/>
        <x:v>0</x:v>
      </x:c>
      <x:c r="DZ34" s="821">
        <x:f t="shared" si="42"/>
        <x:v>0</x:v>
      </x:c>
      <x:c r="EA34" s="821" t="str">
        <x:f t="shared" si="43"/>
        <x:v/>
      </x:c>
      <x:c r="EB34" s="822" t="str">
        <x:f t="shared" si="101"/>
        <x:v/>
      </x:c>
      <x:c r="EC34" s="856" t="str">
        <x:f t="shared" si="44"/>
        <x:v/>
      </x:c>
      <x:c r="ED34" s="1006">
        <x:f t="shared" si="102"/>
        <x:v>0</x:v>
      </x:c>
      <x:c r="EE34" s="1293" t="str">
        <x:f t="shared" si="45"/>
        <x:v/>
      </x:c>
      <x:c r="EF34" s="822" t="str">
        <x:f t="shared" si="103"/>
        <x:v/>
      </x:c>
      <x:c r="EG34" s="822" t="str">
        <x:f t="shared" si="104"/>
        <x:v/>
      </x:c>
      <x:c r="EH34" s="856" t="str">
        <x:f t="shared" si="46"/>
        <x:v>ERR</x:v>
      </x:c>
      <x:c r="EI34" s="856" t="str">
        <x:f t="shared" si="47"/>
        <x:v>ERR</x:v>
      </x:c>
      <x:c r="EJ34" s="822" t="str">
        <x:f t="shared" si="48"/>
        <x:v/>
      </x:c>
      <x:c r="EK34" s="822" t="str">
        <x:f t="shared" si="48"/>
        <x:v/>
      </x:c>
      <x:c r="EL34" s="1293" t="str">
        <x:f t="shared" si="49"/>
        <x:v/>
      </x:c>
      <x:c r="EM34" s="822" t="str">
        <x:f t="shared" si="105"/>
        <x:v/>
      </x:c>
      <x:c r="EN34" s="822" t="str">
        <x:f t="shared" si="106"/>
        <x:v/>
      </x:c>
      <x:c r="EO34" s="856" t="str">
        <x:f t="shared" si="50"/>
        <x:v>ERR</x:v>
      </x:c>
      <x:c r="EP34" s="856" t="str">
        <x:f t="shared" si="51"/>
        <x:v>ERR</x:v>
      </x:c>
      <x:c r="EQ34" s="822" t="str">
        <x:f t="shared" si="52"/>
        <x:v/>
      </x:c>
      <x:c r="ER34" s="822" t="str">
        <x:f t="shared" si="52"/>
        <x:v/>
      </x:c>
      <x:c r="ES34" s="822" t="str">
        <x:f t="shared" si="53"/>
        <x:v/>
      </x:c>
      <x:c r="ET34" s="822" t="str">
        <x:f t="shared" si="54"/>
        <x:v/>
      </x:c>
      <x:c r="EU34" s="829">
        <x:f t="shared" si="55"/>
        <x:v>4</x:v>
      </x:c>
      <x:c r="EV34" s="824" t="str">
        <x:f t="shared" si="107"/>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56"/>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57"/>
        <x:v/>
      </x:c>
      <x:c r="FD34" s="822">
        <x:f t="shared" si="58"/>
        <x:v>0</x:v>
      </x:c>
      <x:c r="FE34" s="822">
        <x:f t="shared" si="59"/>
        <x:v>0</x:v>
      </x:c>
      <x:c r="FF34" s="821">
        <x:f t="shared" si="60"/>
        <x:v>0</x:v>
      </x:c>
      <x:c r="FG34" s="821" t="str">
        <x:f t="shared" si="61"/>
        <x:v/>
      </x:c>
      <x:c r="FH34" s="822" t="str">
        <x:f t="shared" si="62"/>
        <x:v/>
      </x:c>
      <x:c r="FI34" s="822">
        <x:f t="shared" si="63"/>
        <x:v>0</x:v>
      </x:c>
      <x:c r="FJ34" s="822">
        <x:f t="shared" si="64"/>
        <x:v>0</x:v>
      </x:c>
      <x:c r="FK34" s="821">
        <x:f t="shared" si="65"/>
        <x:v>0</x:v>
      </x:c>
      <x:c r="FL34" s="821" t="str">
        <x:f t="shared" si="66"/>
        <x:v/>
      </x:c>
      <x:c r="FM34" s="822" t="str">
        <x:f t="shared" si="67"/>
        <x:v/>
      </x:c>
      <x:c r="FN34" s="822" t="e">
        <x:f t="shared" si="68"/>
        <x:v>#VALUE!</x:v>
      </x:c>
      <x:c r="FO34" s="940" t="e">
        <x:f t="shared" si="69"/>
        <x:v>#VALUE!</x:v>
      </x:c>
      <x:c r="FP34" s="940" t="e">
        <x:f t="shared" si="70"/>
        <x:v>#VALUE!</x:v>
      </x:c>
      <x:c r="FQ34" s="830" t="e">
        <x:f t="shared" si="71"/>
        <x:v>#VALUE!</x:v>
      </x:c>
      <x:c r="FR34" s="831" t="e">
        <x:f t="shared" si="72"/>
        <x:v>#VALUE!</x:v>
      </x:c>
      <x:c r="FS34" s="832" t="str">
        <x:f t="shared" si="73"/>
        <x:v/>
      </x:c>
      <x:c r="FT34" s="833" t="str">
        <x:f t="shared" si="74"/>
        <x:v/>
      </x:c>
      <x:c r="FU34" s="870">
        <x:f t="shared" si="75"/>
        <x:v>0</x:v>
      </x:c>
      <x:c r="FV34" s="871">
        <x:f t="shared" si="76"/>
        <x:v>0</x:v>
      </x:c>
      <x:c r="GA34" s="1791">
        <x:v>39</x:v>
      </x:c>
      <x:c r="GB34" s="1792">
        <x:v>3</x:v>
      </x:c>
      <x:c r="GC34" s="1793">
        <x:v>-0.25</x:v>
      </x:c>
      <x:c r="GD34" s="1794">
        <x:v>-0.5</x:v>
      </x:c>
      <x:c r="GE34" s="1795">
        <x:f t="shared" si="77"/>
        <x:v>0</x:v>
      </x:c>
      <x:c r="GF34" s="600" t="str">
        <x:f t="shared" si="78"/>
        <x:v>J12</x:v>
      </x:c>
      <x:c r="GG34" s="1130">
        <x:v>0</x:v>
      </x:c>
      <x:c r="GH34" s="1131">
        <x:v>0</x:v>
      </x:c>
      <x:c r="GI34" s="1130"/>
      <x:c r="GJ34" s="1131"/>
      <x:c r="GK34" s="1636">
        <x:f t="shared" si="79"/>
        <x:v>470.25</x:v>
      </x:c>
      <x:c r="GL34" s="1636">
        <x:f t="shared" si="80"/>
        <x:v>470.25</x:v>
      </x:c>
      <x:c r="GM34" s="1637">
        <x:f>IF(ABS(GK34-GL34)&gt;='Job Info.'!$L$22,ABS(GK34-GL34),0)</x:f>
        <x:v>0</x:v>
      </x:c>
      <x:c r="GZ34" s="415"/>
      <x:c r="HA34" s="1391" t="s">
        <x:v>1442</x:v>
      </x:c>
      <x:c r="HB34" s="1392">
        <x:v>1</x:v>
      </x:c>
      <x:c r="HC34" s="1392" t="s">
        <x:v>1592</x:v>
      </x:c>
      <x:c r="HD34" s="1393">
        <x:v>39</x:v>
      </x:c>
      <x:c r="HE34" s="1394">
        <x:v>2.25</x:v>
      </x:c>
      <x:c r="HF34" s="1392" t="s">
        <x:v>116</x:v>
      </x:c>
      <x:c r="HG34" s="1392" t="s">
        <x:v>116</x:v>
      </x:c>
      <x:c r="HH34" s="1392" t="s">
        <x:v>116</x:v>
      </x:c>
      <x:c r="HI34" s="1395" t="s">
        <x:v>116</x:v>
      </x:c>
      <x:c r="HJ34" s="1392" t="s">
        <x:v>116</x:v>
      </x:c>
      <x:c r="HK34" s="1392" t="s">
        <x:v>116</x:v>
      </x:c>
      <x:c r="HL34" s="1392">
        <x:v>5</x:v>
      </x:c>
      <x:c r="HM34" s="1392">
        <x:v>5</x:v>
      </x:c>
      <x:c r="HN34" s="1392" t="s">
        <x:v>116</x:v>
      </x:c>
      <x:c r="HO34" s="1392" t="s">
        <x:v>116</x:v>
      </x:c>
      <x:c r="HP34" s="1392" t="s">
        <x:v>116</x:v>
      </x:c>
      <x:c r="HQ34" s="1395" t="s">
        <x:v>116</x:v>
      </x:c>
      <x:c r="HR34" s="1392" t="s">
        <x:v>116</x:v>
      </x:c>
      <x:c r="HS34" s="1392" t="s">
        <x:v>116</x:v>
      </x:c>
      <x:c r="HT34" s="1392">
        <x:v>0</x:v>
      </x:c>
      <x:c r="HU34" s="1392">
        <x:v>2.25</x:v>
      </x:c>
      <x:c r="HV34" s="1392">
        <x:v>0</x:v>
      </x:c>
      <x:c r="HW34" s="1394">
        <x:v>2</x:v>
      </x:c>
      <x:c r="HX34" s="1394">
        <x:v>4</x:v>
      </x:c>
      <x:c r="HY34" s="1394" t="s">
        <x:v>116</x:v>
      </x:c>
      <x:c r="HZ34" s="1394" t="s">
        <x:v>116</x:v>
      </x:c>
      <x:c r="IA34" s="1394" t="s">
        <x:v>1655</x:v>
      </x:c>
      <x:c r="IB34" s="1394"/>
      <x:c r="IC34" s="1394"/>
      <x:c r="ID34" s="1394"/>
      <x:c r="IE34" s="1394"/>
      <x:c r="IF34" s="1396"/>
    </x:row>
    <x:row r="35" spans="1:240" ht="12.6" customHeight="1" x14ac:dyDescent="0.25">
      <x:c r="A35" s="2764" t="s">
        <x:v>1443</x:v>
      </x:c>
      <x:c r="B35" s="2765">
        <x:v>1</x:v>
      </x:c>
      <x:c r="C35" s="2766" t="s">
        <x:v>1592</x:v>
      </x:c>
      <x:c r="D35" s="2767">
        <x:v>39</x:v>
      </x:c>
      <x:c r="E35" s="2841">
        <x:v>2.25</x:v>
      </x:c>
      <x:c r="F35" s="2770" t="str">
        <x:f t="shared" si="86"/>
        <x:v/>
      </x:c>
      <x:c r="G35" s="2771" t="str">
        <x:f t="shared" si="87"/>
        <x:v/>
      </x:c>
      <x:c r="H35" s="2842" t="str">
        <x:f t="shared" si="88"/>
        <x:v/>
      </x:c>
      <x:c r="I35" s="2767" t="str">
        <x:f t="shared" si="89"/>
        <x:v/>
      </x:c>
      <x:c r="J35" s="2771" t="str">
        <x:f t="shared" si="90"/>
        <x:v/>
      </x:c>
      <x:c r="K35" s="2843" t="str">
        <x:f t="shared" si="91"/>
        <x:v/>
      </x:c>
      <x:c r="L35" s="2774">
        <x:v>5</x:v>
      </x:c>
      <x:c r="M35" s="2775">
        <x:v>5</x:v>
      </x:c>
      <x:c r="N35" s="2770" t="str">
        <x:f t="shared" si="92"/>
        <x:v/>
      </x:c>
      <x:c r="O35" s="2771" t="str">
        <x:f t="shared" si="93"/>
        <x:v/>
      </x:c>
      <x:c r="P35" s="2772" t="str">
        <x:f t="shared" si="94"/>
        <x:v/>
      </x:c>
      <x:c r="Q35" s="2767" t="str">
        <x:f t="shared" si="95"/>
        <x:v/>
      </x:c>
      <x:c r="R35" s="2771" t="str">
        <x:f t="shared" si="96"/>
        <x:v/>
      </x:c>
      <x:c r="S35" s="2819" t="str">
        <x:f t="shared" si="97"/>
        <x:v/>
      </x:c>
      <x:c r="T35" s="2770">
        <x:v>0</x:v>
      </x:c>
      <x:c r="U35" s="2771">
        <x:v>2.25</x:v>
      </x:c>
      <x:c r="V35" s="2767">
        <x:v>0</x:v>
      </x:c>
      <x:c r="W35" s="2771">
        <x:v>2</x:v>
      </x:c>
      <x:c r="X35" s="2816">
        <x:v>4</x:v>
      </x:c>
      <x:c r="Y35" s="2844" t="str">
        <x:f t="shared" si="98"/>
        <x:v/>
      </x:c>
      <x:c r="Z35" s="2845" t="str">
        <x:f t="shared" si="99"/>
        <x:v/>
      </x:c>
      <x:c r="AA35" s="2846" t="s">
        <x:v>1656</x:v>
      </x:c>
      <x:c r="AB35" s="1413"/>
      <x:c r="AC35" s="964" t="b">
        <x:v>0</x:v>
      </x:c>
      <x:c r="AD35" s="441">
        <x:f t="shared" si="1"/>
        <x:v>0</x:v>
      </x:c>
      <x:c r="AE35" s="442">
        <x:f t="shared" si="2"/>
        <x:v>1</x:v>
      </x:c>
      <x:c r="AF35" s="442">
        <x:f t="shared" si="3"/>
        <x:v>0</x:v>
      </x:c>
      <x:c r="AG35" s="442">
        <x:f t="shared" si="4"/>
        <x:v>0</x:v>
      </x:c>
      <x:c r="AH35" s="443">
        <x:f t="shared" si="5"/>
        <x:v>0</x:v>
      </x:c>
      <x:c r="AI35" s="444" t="b">
        <x:v>0</x:v>
      </x:c>
      <x:c r="AJ35" s="238">
        <x:f t="shared" si="108"/>
        <x:v>32</x:v>
      </x:c>
      <x:c r="AK35" s="238" t="str">
        <x:f t="shared" si="6"/>
        <x:v>LH</x:v>
      </x:c>
      <x:c r="AL35" s="1290" t="str">
        <x:f t="shared" si="7"/>
        <x:v/>
      </x:c>
      <x:c r="AM35" s="238">
        <x:f t="shared" si="8"/>
        <x:v>305</x:v>
      </x:c>
      <x:c r="AN35" s="238">
        <x:f t="shared" si="9"/>
        <x:v>180</x:v>
      </x:c>
      <x:c r="AO35" s="238" t="str">
        <x:f t="shared" si="10"/>
        <x:v/>
      </x:c>
      <x:c r="AP35" s="830" t="b">
        <x:f>IF(ISERROR(AJ35),FALSE,IF(OR(AJ35=0,ISERROR(AL35),ISERROR(AM35),ISERROR(AN35),ISERROR(AO35)),FALSE,IF(AL35&lt;&gt;"",IF(ISERROR(VLOOKUP(SUBSTITUTE(SUBSTITUTE(C35,"R",""),"A",""),TblJoistSize!$A:$A,1,FALSE)),FALSE,TRUE),TRUE)))</x:f>
        <x:v>1</x:v>
      </x:c>
      <x:c r="AQ35" s="1038">
        <x:f t="shared" si="11"/>
        <x:v>6</x:v>
      </x:c>
      <x:c r="AR35" s="945" t="b">
        <x:f t="shared" si="83"/>
        <x:v>1</x:v>
      </x:c>
      <x:c r="AS35" s="1038">
        <x:f t="shared" si="12"/>
        <x:v>6</x:v>
      </x:c>
      <x:c r="AT35" s="945" t="b">
        <x:f t="shared" si="84"/>
        <x:v>1</x:v>
      </x:c>
      <x:c r="AU35" s="1291" t="str">
        <x:f t="shared" si="13"/>
        <x:v>LH</x:v>
      </x:c>
      <x:c r="AV35" s="830" t="str">
        <x:f t="shared" si="14"/>
        <x:v/>
      </x:c>
      <x:c r="AW35" s="830" t="str">
        <x:f t="shared" si="81"/>
        <x:v>LH</x:v>
      </x:c>
      <x:c r="AX35" s="830" t="str">
        <x:f t="shared" si="85"/>
        <x:v>J13</x:v>
      </x:c>
      <x:c r="AY35" s="464" t="b">
        <x:f t="shared" si="15"/>
        <x:v>0</x:v>
      </x:c>
      <x:c r="AZ35" s="856" t="b">
        <x:f t="shared" si="82"/>
        <x:v>0</x:v>
      </x:c>
      <x:c r="BA35" s="549"/>
      <x:c r="BB35" s="672"/>
      <x:c r="BC35" s="1684"/>
      <x:c r="BD35" s="733"/>
      <x:c r="BE35" s="734"/>
      <x:c r="BF35" s="735"/>
      <x:c r="BG35" s="672"/>
      <x:c r="BH35" s="982"/>
      <x:c r="BI35" s="983"/>
      <x:c r="BJ35" s="1625"/>
      <x:c r="BK35" s="982"/>
      <x:c r="BL35" s="983"/>
      <x:c r="BM35" s="1569"/>
      <x:c r="BN35" s="1570"/>
      <x:c r="BO35" s="1617" t="str">
        <x:f>IF(ISERROR(CU35),"",IF(CU35="","",IF(VLOOKUP(BG35,SectInfo!$B:$N,10,FALSE)="","","X")))</x:f>
        <x:v/>
      </x:c>
      <x:c r="BP35" s="1561"/>
      <x:c r="BQ35" s="1562" t="str">
        <x:f t="shared" si="16"/>
        <x:v/>
      </x:c>
      <x:c r="BR35" s="1563"/>
      <x:c r="BS35" s="672"/>
      <x:c r="BT35" s="982"/>
      <x:c r="BU35" s="983"/>
      <x:c r="BV35" s="1625"/>
      <x:c r="BW35" s="982"/>
      <x:c r="BX35" s="983"/>
      <x:c r="BY35" s="1569"/>
      <x:c r="BZ35" s="1570"/>
      <x:c r="CA35" s="1617" t="str">
        <x:f>IF(ISERROR(DE35),"",IF(DE35="","",IF(VLOOKUP(BS35,SectInfo!$B:$N,10,FALSE)="","","X")))</x:f>
        <x:v/>
      </x:c>
      <x:c r="CB35" s="1561"/>
      <x:c r="CC35" s="1562" t="str">
        <x:f t="shared" si="17"/>
        <x:v/>
      </x:c>
      <x:c r="CD35" s="1563"/>
      <x:c r="CE35" s="1574"/>
      <x:c r="CF35" s="736"/>
      <x:c r="CG35" s="737"/>
      <x:c r="CH35" s="643" t="str">
        <x:f t="shared" si="18"/>
        <x:v/>
      </x:c>
      <x:c r="CI35" s="644" t="str">
        <x:f t="shared" si="19"/>
        <x:v/>
      </x:c>
      <x:c r="CJ35" s="645" t="str">
        <x:f t="shared" si="20"/>
        <x:v/>
      </x:c>
      <x:c r="CK35" s="852" t="str">
        <x:f t="shared" si="21"/>
        <x:v/>
      </x:c>
      <x:c r="CL35" s="847" t="str">
        <x:f t="shared" si="22"/>
        <x:v/>
      </x:c>
      <x:c r="CM35" s="848" t="str">
        <x:f t="shared" si="23"/>
        <x:v/>
      </x:c>
      <x:c r="CN35" s="611" t="str">
        <x:f t="shared" si="24"/>
        <x:v/>
      </x:c>
      <x:c r="CO35" s="612" t="str">
        <x:f t="shared" si="25"/>
        <x:v/>
      </x:c>
      <x:c r="CP35" s="615" t="str">
        <x:f t="shared" si="26"/>
        <x:v/>
      </x:c>
      <x:c r="CQ35" s="616" t="str">
        <x:f t="shared" si="27"/>
        <x:v/>
      </x:c>
      <x:c r="CR35" s="750">
        <x:f t="shared" si="28"/>
        <x:v>5</x:v>
      </x:c>
      <x:c r="CS35" s="751">
        <x:f t="shared" si="29"/>
        <x:v>5</x:v>
      </x:c>
      <x:c r="CU35" s="114" t="str">
        <x:f>IF(BG35="","",VLOOKUP(BG35,SectInfo!$B:$N,12,FALSE))</x:f>
        <x:v/>
      </x:c>
      <x:c r="CV35" s="115" t="str">
        <x:f>IF(BG35="","",IF(ISBLANK(BP35),VLOOKUP(BG35,SectInfo!$B:$N,13,FALSE),BP35))</x:f>
        <x:v/>
      </x:c>
      <x:c r="CW35" s="1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1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30"/>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31"/>
        <x:v>0</x:v>
      </x:c>
      <x:c r="DO35" s="818">
        <x:f t="shared" si="32"/>
        <x:v>0</x:v>
      </x:c>
      <x:c r="DP35" s="822" t="str">
        <x:f t="shared" si="33"/>
        <x:v/>
      </x:c>
      <x:c r="DQ35" s="822" t="str">
        <x:f t="shared" si="34"/>
        <x:v/>
      </x:c>
      <x:c r="DR35" s="822" t="str">
        <x:f t="shared" si="35"/>
        <x:v/>
      </x:c>
      <x:c r="DS35" s="821">
        <x:f t="shared" si="36"/>
        <x:v>0</x:v>
      </x:c>
      <x:c r="DT35" s="821">
        <x:f t="shared" si="37"/>
        <x:v>0</x:v>
      </x:c>
      <x:c r="DU35" s="821" t="str">
        <x:f t="shared" si="38"/>
        <x:v/>
      </x:c>
      <x:c r="DV35" s="822" t="str">
        <x:f t="shared" si="39"/>
        <x:v/>
      </x:c>
      <x:c r="DW35" s="856" t="str">
        <x:f t="shared" si="40"/>
        <x:v/>
      </x:c>
      <x:c r="DX35" s="1006">
        <x:f t="shared" si="100"/>
        <x:v>0</x:v>
      </x:c>
      <x:c r="DY35" s="822">
        <x:f t="shared" si="41"/>
        <x:v>0</x:v>
      </x:c>
      <x:c r="DZ35" s="821">
        <x:f t="shared" si="42"/>
        <x:v>0</x:v>
      </x:c>
      <x:c r="EA35" s="821" t="str">
        <x:f t="shared" si="43"/>
        <x:v/>
      </x:c>
      <x:c r="EB35" s="822" t="str">
        <x:f t="shared" si="101"/>
        <x:v/>
      </x:c>
      <x:c r="EC35" s="856" t="str">
        <x:f t="shared" si="44"/>
        <x:v/>
      </x:c>
      <x:c r="ED35" s="1006">
        <x:f t="shared" si="102"/>
        <x:v>0</x:v>
      </x:c>
      <x:c r="EE35" s="1293" t="str">
        <x:f t="shared" si="45"/>
        <x:v/>
      </x:c>
      <x:c r="EF35" s="822" t="str">
        <x:f t="shared" si="103"/>
        <x:v/>
      </x:c>
      <x:c r="EG35" s="822" t="str">
        <x:f t="shared" si="104"/>
        <x:v/>
      </x:c>
      <x:c r="EH35" s="856" t="str">
        <x:f t="shared" si="46"/>
        <x:v>ERR</x:v>
      </x:c>
      <x:c r="EI35" s="856" t="str">
        <x:f t="shared" si="47"/>
        <x:v>ERR</x:v>
      </x:c>
      <x:c r="EJ35" s="822" t="str">
        <x:f t="shared" si="48"/>
        <x:v/>
      </x:c>
      <x:c r="EK35" s="822" t="str">
        <x:f t="shared" si="48"/>
        <x:v/>
      </x:c>
      <x:c r="EL35" s="1293" t="str">
        <x:f t="shared" si="49"/>
        <x:v/>
      </x:c>
      <x:c r="EM35" s="822" t="str">
        <x:f t="shared" si="105"/>
        <x:v/>
      </x:c>
      <x:c r="EN35" s="822" t="str">
        <x:f t="shared" si="106"/>
        <x:v/>
      </x:c>
      <x:c r="EO35" s="856" t="str">
        <x:f t="shared" si="50"/>
        <x:v>ERR</x:v>
      </x:c>
      <x:c r="EP35" s="856" t="str">
        <x:f t="shared" si="51"/>
        <x:v>ERR</x:v>
      </x:c>
      <x:c r="EQ35" s="822" t="str">
        <x:f t="shared" si="52"/>
        <x:v/>
      </x:c>
      <x:c r="ER35" s="822" t="str">
        <x:f t="shared" si="52"/>
        <x:v/>
      </x:c>
      <x:c r="ES35" s="822" t="str">
        <x:f t="shared" si="53"/>
        <x:v/>
      </x:c>
      <x:c r="ET35" s="822" t="str">
        <x:f t="shared" si="54"/>
        <x:v/>
      </x:c>
      <x:c r="EU35" s="829">
        <x:f t="shared" si="55"/>
        <x:v>4</x:v>
      </x:c>
      <x:c r="EV35" s="824" t="str">
        <x:f t="shared" si="107"/>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56"/>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57"/>
        <x:v/>
      </x:c>
      <x:c r="FD35" s="822">
        <x:f t="shared" si="58"/>
        <x:v>0</x:v>
      </x:c>
      <x:c r="FE35" s="822">
        <x:f t="shared" si="59"/>
        <x:v>0</x:v>
      </x:c>
      <x:c r="FF35" s="821">
        <x:f t="shared" si="60"/>
        <x:v>0</x:v>
      </x:c>
      <x:c r="FG35" s="821" t="str">
        <x:f t="shared" si="61"/>
        <x:v/>
      </x:c>
      <x:c r="FH35" s="822" t="str">
        <x:f t="shared" si="62"/>
        <x:v/>
      </x:c>
      <x:c r="FI35" s="822">
        <x:f t="shared" si="63"/>
        <x:v>0</x:v>
      </x:c>
      <x:c r="FJ35" s="822">
        <x:f t="shared" si="64"/>
        <x:v>0</x:v>
      </x:c>
      <x:c r="FK35" s="821">
        <x:f t="shared" si="65"/>
        <x:v>0</x:v>
      </x:c>
      <x:c r="FL35" s="821" t="str">
        <x:f t="shared" si="66"/>
        <x:v/>
      </x:c>
      <x:c r="FM35" s="822" t="str">
        <x:f t="shared" si="67"/>
        <x:v/>
      </x:c>
      <x:c r="FN35" s="822" t="e">
        <x:f t="shared" si="68"/>
        <x:v>#VALUE!</x:v>
      </x:c>
      <x:c r="FO35" s="940" t="e">
        <x:f t="shared" si="69"/>
        <x:v>#VALUE!</x:v>
      </x:c>
      <x:c r="FP35" s="940" t="e">
        <x:f t="shared" si="70"/>
        <x:v>#VALUE!</x:v>
      </x:c>
      <x:c r="FQ35" s="830" t="e">
        <x:f t="shared" si="71"/>
        <x:v>#VALUE!</x:v>
      </x:c>
      <x:c r="FR35" s="831" t="e">
        <x:f t="shared" si="72"/>
        <x:v>#VALUE!</x:v>
      </x:c>
      <x:c r="FS35" s="832" t="str">
        <x:f t="shared" si="73"/>
        <x:v/>
      </x:c>
      <x:c r="FT35" s="833" t="str">
        <x:f t="shared" si="74"/>
        <x:v/>
      </x:c>
      <x:c r="FU35" s="870">
        <x:f t="shared" si="75"/>
        <x:v>0</x:v>
      </x:c>
      <x:c r="FV35" s="871">
        <x:f t="shared" si="76"/>
        <x:v>0</x:v>
      </x:c>
      <x:c r="GA35" s="1791">
        <x:v>39</x:v>
      </x:c>
      <x:c r="GB35" s="1792">
        <x:v>3</x:v>
      </x:c>
      <x:c r="GC35" s="1793">
        <x:v>-0.25</x:v>
      </x:c>
      <x:c r="GD35" s="1794">
        <x:v>-0.5</x:v>
      </x:c>
      <x:c r="GE35" s="1795">
        <x:f t="shared" si="77"/>
        <x:v>0</x:v>
      </x:c>
      <x:c r="GF35" s="600" t="str">
        <x:f t="shared" si="78"/>
        <x:v>J13</x:v>
      </x:c>
      <x:c r="GG35" s="1130">
        <x:v>0</x:v>
      </x:c>
      <x:c r="GH35" s="1131">
        <x:v>0</x:v>
      </x:c>
      <x:c r="GI35" s="1130"/>
      <x:c r="GJ35" s="1131"/>
      <x:c r="GK35" s="1636">
        <x:f t="shared" si="79"/>
        <x:v>470.25</x:v>
      </x:c>
      <x:c r="GL35" s="1636">
        <x:f t="shared" si="80"/>
        <x:v>470.25</x:v>
      </x:c>
      <x:c r="GM35" s="1637">
        <x:f>IF(ABS(GK35-GL35)&gt;='Job Info.'!$L$22,ABS(GK35-GL35),0)</x:f>
        <x:v>0</x:v>
      </x:c>
      <x:c r="GZ35" s="415"/>
      <x:c r="HA35" s="1391" t="s">
        <x:v>1443</x:v>
      </x:c>
      <x:c r="HB35" s="1392">
        <x:v>1</x:v>
      </x:c>
      <x:c r="HC35" s="1392" t="s">
        <x:v>1592</x:v>
      </x:c>
      <x:c r="HD35" s="1393">
        <x:v>39</x:v>
      </x:c>
      <x:c r="HE35" s="1394">
        <x:v>2.25</x:v>
      </x:c>
      <x:c r="HF35" s="1392" t="s">
        <x:v>116</x:v>
      </x:c>
      <x:c r="HG35" s="1392" t="s">
        <x:v>116</x:v>
      </x:c>
      <x:c r="HH35" s="1392" t="s">
        <x:v>116</x:v>
      </x:c>
      <x:c r="HI35" s="1395" t="s">
        <x:v>116</x:v>
      </x:c>
      <x:c r="HJ35" s="1392" t="s">
        <x:v>116</x:v>
      </x:c>
      <x:c r="HK35" s="1392" t="s">
        <x:v>116</x:v>
      </x:c>
      <x:c r="HL35" s="1392">
        <x:v>5</x:v>
      </x:c>
      <x:c r="HM35" s="1392">
        <x:v>5</x:v>
      </x:c>
      <x:c r="HN35" s="1392" t="s">
        <x:v>116</x:v>
      </x:c>
      <x:c r="HO35" s="1392" t="s">
        <x:v>116</x:v>
      </x:c>
      <x:c r="HP35" s="1392" t="s">
        <x:v>116</x:v>
      </x:c>
      <x:c r="HQ35" s="1395" t="s">
        <x:v>116</x:v>
      </x:c>
      <x:c r="HR35" s="1392" t="s">
        <x:v>116</x:v>
      </x:c>
      <x:c r="HS35" s="1392" t="s">
        <x:v>116</x:v>
      </x:c>
      <x:c r="HT35" s="1392">
        <x:v>0</x:v>
      </x:c>
      <x:c r="HU35" s="1392">
        <x:v>2.25</x:v>
      </x:c>
      <x:c r="HV35" s="1392">
        <x:v>0</x:v>
      </x:c>
      <x:c r="HW35" s="1394">
        <x:v>2</x:v>
      </x:c>
      <x:c r="HX35" s="1394">
        <x:v>4</x:v>
      </x:c>
      <x:c r="HY35" s="1394" t="s">
        <x:v>116</x:v>
      </x:c>
      <x:c r="HZ35" s="1394" t="s">
        <x:v>116</x:v>
      </x:c>
      <x:c r="IA35" s="1394" t="s">
        <x:v>1656</x:v>
      </x:c>
      <x:c r="IB35" s="1394"/>
      <x:c r="IC35" s="1394"/>
      <x:c r="ID35" s="1394"/>
      <x:c r="IE35" s="1394"/>
      <x:c r="IF35" s="1396"/>
    </x:row>
    <x:row r="36" spans="1:240" ht="12.6" customHeight="1" x14ac:dyDescent="0.25">
      <x:c r="A36" s="2764" t="s">
        <x:v>1444</x:v>
      </x:c>
      <x:c r="B36" s="2765">
        <x:v>1</x:v>
      </x:c>
      <x:c r="C36" s="2766" t="s">
        <x:v>1592</x:v>
      </x:c>
      <x:c r="D36" s="2767">
        <x:v>39</x:v>
      </x:c>
      <x:c r="E36" s="2841">
        <x:v>2.25</x:v>
      </x:c>
      <x:c r="F36" s="2770" t="str">
        <x:f t="shared" si="86"/>
        <x:v/>
      </x:c>
      <x:c r="G36" s="2771" t="str">
        <x:f t="shared" si="87"/>
        <x:v/>
      </x:c>
      <x:c r="H36" s="2842" t="str">
        <x:f t="shared" si="88"/>
        <x:v/>
      </x:c>
      <x:c r="I36" s="2767" t="str">
        <x:f t="shared" si="89"/>
        <x:v/>
      </x:c>
      <x:c r="J36" s="2771" t="str">
        <x:f t="shared" si="90"/>
        <x:v/>
      </x:c>
      <x:c r="K36" s="2843" t="str">
        <x:f t="shared" si="91"/>
        <x:v/>
      </x:c>
      <x:c r="L36" s="2774">
        <x:v>5</x:v>
      </x:c>
      <x:c r="M36" s="2775">
        <x:v>5</x:v>
      </x:c>
      <x:c r="N36" s="2770" t="str">
        <x:f t="shared" si="92"/>
        <x:v/>
      </x:c>
      <x:c r="O36" s="2771" t="str">
        <x:f t="shared" si="93"/>
        <x:v/>
      </x:c>
      <x:c r="P36" s="2772" t="str">
        <x:f t="shared" si="94"/>
        <x:v/>
      </x:c>
      <x:c r="Q36" s="2767" t="str">
        <x:f t="shared" si="95"/>
        <x:v/>
      </x:c>
      <x:c r="R36" s="2771" t="str">
        <x:f t="shared" si="96"/>
        <x:v/>
      </x:c>
      <x:c r="S36" s="2819" t="str">
        <x:f t="shared" si="97"/>
        <x:v/>
      </x:c>
      <x:c r="T36" s="2770">
        <x:v>0</x:v>
      </x:c>
      <x:c r="U36" s="2771">
        <x:v>2.25</x:v>
      </x:c>
      <x:c r="V36" s="2767">
        <x:v>0</x:v>
      </x:c>
      <x:c r="W36" s="2771">
        <x:v>2</x:v>
      </x:c>
      <x:c r="X36" s="2816">
        <x:v>4</x:v>
      </x:c>
      <x:c r="Y36" s="2844" t="str">
        <x:f t="shared" si="98"/>
        <x:v/>
      </x:c>
      <x:c r="Z36" s="2845" t="str">
        <x:f t="shared" si="99"/>
        <x:v/>
      </x:c>
      <x:c r="AA36" s="2846" t="s">
        <x:v>1657</x:v>
      </x:c>
      <x:c r="AB36" s="1413"/>
      <x:c r="AC36" s="964" t="b">
        <x:v>0</x:v>
      </x:c>
      <x:c r="AD36" s="441">
        <x:f t="shared" si="1"/>
        <x:v>0</x:v>
      </x:c>
      <x:c r="AE36" s="442">
        <x:f t="shared" si="2"/>
        <x:v>1</x:v>
      </x:c>
      <x:c r="AF36" s="442">
        <x:f t="shared" si="3"/>
        <x:v>0</x:v>
      </x:c>
      <x:c r="AG36" s="442">
        <x:f t="shared" si="4"/>
        <x:v>0</x:v>
      </x:c>
      <x:c r="AH36" s="443">
        <x:f t="shared" si="5"/>
        <x:v>0</x:v>
      </x:c>
      <x:c r="AI36" s="444" t="b">
        <x:v>0</x:v>
      </x:c>
      <x:c r="AJ36" s="238">
        <x:f t="shared" si="108"/>
        <x:v>32</x:v>
      </x:c>
      <x:c r="AK36" s="238" t="str">
        <x:f t="shared" si="6"/>
        <x:v>LH</x:v>
      </x:c>
      <x:c r="AL36" s="1290" t="str">
        <x:f t="shared" si="7"/>
        <x:v/>
      </x:c>
      <x:c r="AM36" s="238">
        <x:f t="shared" si="8"/>
        <x:v>305</x:v>
      </x:c>
      <x:c r="AN36" s="238">
        <x:f t="shared" si="9"/>
        <x:v>180</x:v>
      </x:c>
      <x:c r="AO36" s="238" t="str">
        <x:f t="shared" si="10"/>
        <x:v/>
      </x:c>
      <x:c r="AP36" s="830" t="b">
        <x:f>IF(ISERROR(AJ36),FALSE,IF(OR(AJ36=0,ISERROR(AL36),ISERROR(AM36),ISERROR(AN36),ISERROR(AO36)),FALSE,IF(AL36&lt;&gt;"",IF(ISERROR(VLOOKUP(SUBSTITUTE(SUBSTITUTE(C36,"R",""),"A",""),TblJoistSize!$A:$A,1,FALSE)),FALSE,TRUE),TRUE)))</x:f>
        <x:v>1</x:v>
      </x:c>
      <x:c r="AQ36" s="1038">
        <x:f t="shared" si="11"/>
        <x:v>6</x:v>
      </x:c>
      <x:c r="AR36" s="945" t="b">
        <x:f t="shared" si="83"/>
        <x:v>1</x:v>
      </x:c>
      <x:c r="AS36" s="1038">
        <x:f t="shared" si="12"/>
        <x:v>6</x:v>
      </x:c>
      <x:c r="AT36" s="945" t="b">
        <x:f t="shared" si="84"/>
        <x:v>1</x:v>
      </x:c>
      <x:c r="AU36" s="1291" t="str">
        <x:f t="shared" si="13"/>
        <x:v>LH</x:v>
      </x:c>
      <x:c r="AV36" s="830" t="str">
        <x:f t="shared" si="14"/>
        <x:v/>
      </x:c>
      <x:c r="AW36" s="830" t="str">
        <x:f t="shared" si="81"/>
        <x:v>LH</x:v>
      </x:c>
      <x:c r="AX36" s="830" t="str">
        <x:f t="shared" si="85"/>
        <x:v>J14</x:v>
      </x:c>
      <x:c r="AY36" s="464" t="b">
        <x:f t="shared" si="15"/>
        <x:v>0</x:v>
      </x:c>
      <x:c r="AZ36" s="856" t="b">
        <x:f t="shared" si="82"/>
        <x:v>0</x:v>
      </x:c>
      <x:c r="BA36" s="549"/>
      <x:c r="BB36" s="672"/>
      <x:c r="BC36" s="1684"/>
      <x:c r="BD36" s="733"/>
      <x:c r="BE36" s="734"/>
      <x:c r="BF36" s="735"/>
      <x:c r="BG36" s="672"/>
      <x:c r="BH36" s="982"/>
      <x:c r="BI36" s="983"/>
      <x:c r="BJ36" s="1625"/>
      <x:c r="BK36" s="982"/>
      <x:c r="BL36" s="983"/>
      <x:c r="BM36" s="1569"/>
      <x:c r="BN36" s="1570"/>
      <x:c r="BO36" s="1617" t="str">
        <x:f>IF(ISERROR(CU36),"",IF(CU36="","",IF(VLOOKUP(BG36,SectInfo!$B:$N,10,FALSE)="","","X")))</x:f>
        <x:v/>
      </x:c>
      <x:c r="BP36" s="1561"/>
      <x:c r="BQ36" s="1562" t="str">
        <x:f t="shared" si="16"/>
        <x:v/>
      </x:c>
      <x:c r="BR36" s="1563"/>
      <x:c r="BS36" s="672"/>
      <x:c r="BT36" s="982"/>
      <x:c r="BU36" s="983"/>
      <x:c r="BV36" s="1625"/>
      <x:c r="BW36" s="982"/>
      <x:c r="BX36" s="983"/>
      <x:c r="BY36" s="1569"/>
      <x:c r="BZ36" s="1570"/>
      <x:c r="CA36" s="1617" t="str">
        <x:f>IF(ISERROR(DE36),"",IF(DE36="","",IF(VLOOKUP(BS36,SectInfo!$B:$N,10,FALSE)="","","X")))</x:f>
        <x:v/>
      </x:c>
      <x:c r="CB36" s="1561"/>
      <x:c r="CC36" s="1562" t="str">
        <x:f t="shared" si="17"/>
        <x:v/>
      </x:c>
      <x:c r="CD36" s="1563"/>
      <x:c r="CE36" s="1574"/>
      <x:c r="CF36" s="736"/>
      <x:c r="CG36" s="737"/>
      <x:c r="CH36" s="643" t="str">
        <x:f t="shared" si="18"/>
        <x:v/>
      </x:c>
      <x:c r="CI36" s="644" t="str">
        <x:f t="shared" si="19"/>
        <x:v/>
      </x:c>
      <x:c r="CJ36" s="645" t="str">
        <x:f t="shared" si="20"/>
        <x:v/>
      </x:c>
      <x:c r="CK36" s="852" t="str">
        <x:f t="shared" si="21"/>
        <x:v/>
      </x:c>
      <x:c r="CL36" s="847" t="str">
        <x:f t="shared" si="22"/>
        <x:v/>
      </x:c>
      <x:c r="CM36" s="848" t="str">
        <x:f t="shared" si="23"/>
        <x:v/>
      </x:c>
      <x:c r="CN36" s="611" t="str">
        <x:f t="shared" si="24"/>
        <x:v/>
      </x:c>
      <x:c r="CO36" s="612" t="str">
        <x:f t="shared" si="25"/>
        <x:v/>
      </x:c>
      <x:c r="CP36" s="615" t="str">
        <x:f t="shared" si="26"/>
        <x:v/>
      </x:c>
      <x:c r="CQ36" s="616" t="str">
        <x:f t="shared" si="27"/>
        <x:v/>
      </x:c>
      <x:c r="CR36" s="750">
        <x:f t="shared" si="28"/>
        <x:v>5</x:v>
      </x:c>
      <x:c r="CS36" s="751">
        <x:f t="shared" si="29"/>
        <x:v>5</x:v>
      </x:c>
      <x:c r="CU36" s="114" t="str">
        <x:f>IF(BG36="","",VLOOKUP(BG36,SectInfo!$B:$N,12,FALSE))</x:f>
        <x:v/>
      </x:c>
      <x:c r="CV36" s="115" t="str">
        <x:f>IF(BG36="","",IF(ISBLANK(BP36),VLOOKUP(BG36,SectInfo!$B:$N,13,FALSE),BP36))</x:f>
        <x:v/>
      </x:c>
      <x:c r="CW36" s="1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1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30"/>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31"/>
        <x:v>0</x:v>
      </x:c>
      <x:c r="DO36" s="818">
        <x:f t="shared" si="32"/>
        <x:v>0</x:v>
      </x:c>
      <x:c r="DP36" s="822" t="str">
        <x:f t="shared" si="33"/>
        <x:v/>
      </x:c>
      <x:c r="DQ36" s="822" t="str">
        <x:f t="shared" si="34"/>
        <x:v/>
      </x:c>
      <x:c r="DR36" s="822" t="str">
        <x:f t="shared" si="35"/>
        <x:v/>
      </x:c>
      <x:c r="DS36" s="821">
        <x:f t="shared" si="36"/>
        <x:v>0</x:v>
      </x:c>
      <x:c r="DT36" s="821">
        <x:f t="shared" si="37"/>
        <x:v>0</x:v>
      </x:c>
      <x:c r="DU36" s="821" t="str">
        <x:f t="shared" si="38"/>
        <x:v/>
      </x:c>
      <x:c r="DV36" s="822" t="str">
        <x:f t="shared" si="39"/>
        <x:v/>
      </x:c>
      <x:c r="DW36" s="856" t="str">
        <x:f t="shared" si="40"/>
        <x:v/>
      </x:c>
      <x:c r="DX36" s="1006">
        <x:f t="shared" si="100"/>
        <x:v>0</x:v>
      </x:c>
      <x:c r="DY36" s="822">
        <x:f t="shared" si="41"/>
        <x:v>0</x:v>
      </x:c>
      <x:c r="DZ36" s="821">
        <x:f t="shared" si="42"/>
        <x:v>0</x:v>
      </x:c>
      <x:c r="EA36" s="821" t="str">
        <x:f t="shared" si="43"/>
        <x:v/>
      </x:c>
      <x:c r="EB36" s="822" t="str">
        <x:f t="shared" si="101"/>
        <x:v/>
      </x:c>
      <x:c r="EC36" s="856" t="str">
        <x:f t="shared" si="44"/>
        <x:v/>
      </x:c>
      <x:c r="ED36" s="1006">
        <x:f t="shared" si="102"/>
        <x:v>0</x:v>
      </x:c>
      <x:c r="EE36" s="1293" t="str">
        <x:f t="shared" si="45"/>
        <x:v/>
      </x:c>
      <x:c r="EF36" s="822" t="str">
        <x:f t="shared" si="103"/>
        <x:v/>
      </x:c>
      <x:c r="EG36" s="822" t="str">
        <x:f t="shared" si="104"/>
        <x:v/>
      </x:c>
      <x:c r="EH36" s="856" t="str">
        <x:f t="shared" si="46"/>
        <x:v>ERR</x:v>
      </x:c>
      <x:c r="EI36" s="856" t="str">
        <x:f t="shared" si="47"/>
        <x:v>ERR</x:v>
      </x:c>
      <x:c r="EJ36" s="822" t="str">
        <x:f t="shared" si="48"/>
        <x:v/>
      </x:c>
      <x:c r="EK36" s="822" t="str">
        <x:f t="shared" si="48"/>
        <x:v/>
      </x:c>
      <x:c r="EL36" s="1293" t="str">
        <x:f t="shared" si="49"/>
        <x:v/>
      </x:c>
      <x:c r="EM36" s="822" t="str">
        <x:f t="shared" si="105"/>
        <x:v/>
      </x:c>
      <x:c r="EN36" s="822" t="str">
        <x:f t="shared" si="106"/>
        <x:v/>
      </x:c>
      <x:c r="EO36" s="856" t="str">
        <x:f t="shared" si="50"/>
        <x:v>ERR</x:v>
      </x:c>
      <x:c r="EP36" s="856" t="str">
        <x:f t="shared" si="51"/>
        <x:v>ERR</x:v>
      </x:c>
      <x:c r="EQ36" s="822" t="str">
        <x:f t="shared" si="52"/>
        <x:v/>
      </x:c>
      <x:c r="ER36" s="822" t="str">
        <x:f t="shared" si="52"/>
        <x:v/>
      </x:c>
      <x:c r="ES36" s="822" t="str">
        <x:f t="shared" si="53"/>
        <x:v/>
      </x:c>
      <x:c r="ET36" s="822" t="str">
        <x:f t="shared" si="54"/>
        <x:v/>
      </x:c>
      <x:c r="EU36" s="829">
        <x:f t="shared" si="55"/>
        <x:v>4</x:v>
      </x:c>
      <x:c r="EV36" s="824" t="str">
        <x:f t="shared" si="107"/>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56"/>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57"/>
        <x:v/>
      </x:c>
      <x:c r="FD36" s="822">
        <x:f t="shared" si="58"/>
        <x:v>0</x:v>
      </x:c>
      <x:c r="FE36" s="822">
        <x:f t="shared" si="59"/>
        <x:v>0</x:v>
      </x:c>
      <x:c r="FF36" s="821">
        <x:f t="shared" si="60"/>
        <x:v>0</x:v>
      </x:c>
      <x:c r="FG36" s="821" t="str">
        <x:f t="shared" si="61"/>
        <x:v/>
      </x:c>
      <x:c r="FH36" s="822" t="str">
        <x:f t="shared" si="62"/>
        <x:v/>
      </x:c>
      <x:c r="FI36" s="822">
        <x:f t="shared" si="63"/>
        <x:v>0</x:v>
      </x:c>
      <x:c r="FJ36" s="822">
        <x:f t="shared" si="64"/>
        <x:v>0</x:v>
      </x:c>
      <x:c r="FK36" s="821">
        <x:f t="shared" si="65"/>
        <x:v>0</x:v>
      </x:c>
      <x:c r="FL36" s="821" t="str">
        <x:f t="shared" si="66"/>
        <x:v/>
      </x:c>
      <x:c r="FM36" s="822" t="str">
        <x:f t="shared" si="67"/>
        <x:v/>
      </x:c>
      <x:c r="FN36" s="822" t="e">
        <x:f t="shared" si="68"/>
        <x:v>#VALUE!</x:v>
      </x:c>
      <x:c r="FO36" s="940" t="e">
        <x:f t="shared" si="69"/>
        <x:v>#VALUE!</x:v>
      </x:c>
      <x:c r="FP36" s="940" t="e">
        <x:f t="shared" si="70"/>
        <x:v>#VALUE!</x:v>
      </x:c>
      <x:c r="FQ36" s="830" t="e">
        <x:f t="shared" si="71"/>
        <x:v>#VALUE!</x:v>
      </x:c>
      <x:c r="FR36" s="831" t="e">
        <x:f t="shared" si="72"/>
        <x:v>#VALUE!</x:v>
      </x:c>
      <x:c r="FS36" s="832" t="str">
        <x:f t="shared" si="73"/>
        <x:v/>
      </x:c>
      <x:c r="FT36" s="833" t="str">
        <x:f t="shared" si="74"/>
        <x:v/>
      </x:c>
      <x:c r="FU36" s="870">
        <x:f t="shared" si="75"/>
        <x:v>0</x:v>
      </x:c>
      <x:c r="FV36" s="871">
        <x:f t="shared" si="76"/>
        <x:v>0</x:v>
      </x:c>
      <x:c r="GA36" s="1791">
        <x:v>39</x:v>
      </x:c>
      <x:c r="GB36" s="1792">
        <x:v>3</x:v>
      </x:c>
      <x:c r="GC36" s="1793">
        <x:v>-0.25</x:v>
      </x:c>
      <x:c r="GD36" s="1794">
        <x:v>-0.5</x:v>
      </x:c>
      <x:c r="GE36" s="1795">
        <x:f t="shared" si="77"/>
        <x:v>0</x:v>
      </x:c>
      <x:c r="GF36" s="600" t="str">
        <x:f t="shared" si="78"/>
        <x:v>J14</x:v>
      </x:c>
      <x:c r="GG36" s="1130">
        <x:v>0</x:v>
      </x:c>
      <x:c r="GH36" s="1131">
        <x:v>0</x:v>
      </x:c>
      <x:c r="GI36" s="1130"/>
      <x:c r="GJ36" s="1131"/>
      <x:c r="GK36" s="1636">
        <x:f t="shared" si="79"/>
        <x:v>470.25</x:v>
      </x:c>
      <x:c r="GL36" s="1636">
        <x:f t="shared" si="80"/>
        <x:v>470.25</x:v>
      </x:c>
      <x:c r="GM36" s="1637">
        <x:f>IF(ABS(GK36-GL36)&gt;='Job Info.'!$L$22,ABS(GK36-GL36),0)</x:f>
        <x:v>0</x:v>
      </x:c>
      <x:c r="GZ36" s="415"/>
      <x:c r="HA36" s="1391" t="s">
        <x:v>1444</x:v>
      </x:c>
      <x:c r="HB36" s="1392">
        <x:v>1</x:v>
      </x:c>
      <x:c r="HC36" s="1392" t="s">
        <x:v>1592</x:v>
      </x:c>
      <x:c r="HD36" s="1393">
        <x:v>39</x:v>
      </x:c>
      <x:c r="HE36" s="1394">
        <x:v>2.25</x:v>
      </x:c>
      <x:c r="HF36" s="1392" t="s">
        <x:v>116</x:v>
      </x:c>
      <x:c r="HG36" s="1392" t="s">
        <x:v>116</x:v>
      </x:c>
      <x:c r="HH36" s="1392" t="s">
        <x:v>116</x:v>
      </x:c>
      <x:c r="HI36" s="1395" t="s">
        <x:v>116</x:v>
      </x:c>
      <x:c r="HJ36" s="1392" t="s">
        <x:v>116</x:v>
      </x:c>
      <x:c r="HK36" s="1392" t="s">
        <x:v>116</x:v>
      </x:c>
      <x:c r="HL36" s="1392">
        <x:v>5</x:v>
      </x:c>
      <x:c r="HM36" s="1392">
        <x:v>5</x:v>
      </x:c>
      <x:c r="HN36" s="1392" t="s">
        <x:v>116</x:v>
      </x:c>
      <x:c r="HO36" s="1392" t="s">
        <x:v>116</x:v>
      </x:c>
      <x:c r="HP36" s="1392" t="s">
        <x:v>116</x:v>
      </x:c>
      <x:c r="HQ36" s="1395" t="s">
        <x:v>116</x:v>
      </x:c>
      <x:c r="HR36" s="1392" t="s">
        <x:v>116</x:v>
      </x:c>
      <x:c r="HS36" s="1392" t="s">
        <x:v>116</x:v>
      </x:c>
      <x:c r="HT36" s="1392">
        <x:v>0</x:v>
      </x:c>
      <x:c r="HU36" s="1392">
        <x:v>2.25</x:v>
      </x:c>
      <x:c r="HV36" s="1392">
        <x:v>0</x:v>
      </x:c>
      <x:c r="HW36" s="1394">
        <x:v>2</x:v>
      </x:c>
      <x:c r="HX36" s="1394">
        <x:v>4</x:v>
      </x:c>
      <x:c r="HY36" s="1394" t="s">
        <x:v>116</x:v>
      </x:c>
      <x:c r="HZ36" s="1394" t="s">
        <x:v>116</x:v>
      </x:c>
      <x:c r="IA36" s="1394" t="s">
        <x:v>1657</x:v>
      </x:c>
      <x:c r="IB36" s="1394"/>
      <x:c r="IC36" s="1394"/>
      <x:c r="ID36" s="1394"/>
      <x:c r="IE36" s="1394"/>
      <x:c r="IF36" s="1396"/>
    </x:row>
    <x:row r="37" spans="1:240" ht="12.6" customHeight="1" x14ac:dyDescent="0.25">
      <x:c r="A37" s="2764" t="s">
        <x:v>1445</x:v>
      </x:c>
      <x:c r="B37" s="2765">
        <x:v>1</x:v>
      </x:c>
      <x:c r="C37" s="2766" t="s">
        <x:v>1592</x:v>
      </x:c>
      <x:c r="D37" s="2767">
        <x:v>39</x:v>
      </x:c>
      <x:c r="E37" s="2841">
        <x:v>2.25</x:v>
      </x:c>
      <x:c r="F37" s="2770" t="str">
        <x:f t="shared" si="86"/>
        <x:v/>
      </x:c>
      <x:c r="G37" s="2771" t="str">
        <x:f t="shared" si="87"/>
        <x:v/>
      </x:c>
      <x:c r="H37" s="2842" t="str">
        <x:f t="shared" si="88"/>
        <x:v/>
      </x:c>
      <x:c r="I37" s="2767" t="str">
        <x:f t="shared" si="89"/>
        <x:v/>
      </x:c>
      <x:c r="J37" s="2771" t="str">
        <x:f t="shared" si="90"/>
        <x:v/>
      </x:c>
      <x:c r="K37" s="2843" t="str">
        <x:f t="shared" si="91"/>
        <x:v/>
      </x:c>
      <x:c r="L37" s="2774">
        <x:v>5</x:v>
      </x:c>
      <x:c r="M37" s="2775">
        <x:v>5</x:v>
      </x:c>
      <x:c r="N37" s="2770" t="str">
        <x:f t="shared" si="92"/>
        <x:v/>
      </x:c>
      <x:c r="O37" s="2771" t="str">
        <x:f t="shared" si="93"/>
        <x:v/>
      </x:c>
      <x:c r="P37" s="2772" t="str">
        <x:f t="shared" si="94"/>
        <x:v/>
      </x:c>
      <x:c r="Q37" s="2767" t="str">
        <x:f t="shared" si="95"/>
        <x:v/>
      </x:c>
      <x:c r="R37" s="2771" t="str">
        <x:f t="shared" si="96"/>
        <x:v/>
      </x:c>
      <x:c r="S37" s="2819" t="str">
        <x:f t="shared" si="97"/>
        <x:v/>
      </x:c>
      <x:c r="T37" s="2770">
        <x:v>0</x:v>
      </x:c>
      <x:c r="U37" s="2771">
        <x:v>2.25</x:v>
      </x:c>
      <x:c r="V37" s="2767">
        <x:v>0</x:v>
      </x:c>
      <x:c r="W37" s="2771">
        <x:v>2</x:v>
      </x:c>
      <x:c r="X37" s="2816">
        <x:v>4</x:v>
      </x:c>
      <x:c r="Y37" s="2844" t="str">
        <x:f t="shared" si="98"/>
        <x:v/>
      </x:c>
      <x:c r="Z37" s="2845" t="str">
        <x:f t="shared" si="99"/>
        <x:v/>
      </x:c>
      <x:c r="AA37" s="2846" t="s">
        <x:v>1658</x:v>
      </x:c>
      <x:c r="AB37" s="1413"/>
      <x:c r="AC37" s="964" t="b">
        <x:v>0</x:v>
      </x:c>
      <x:c r="AD37" s="441">
        <x:f t="shared" si="1"/>
        <x:v>0</x:v>
      </x:c>
      <x:c r="AE37" s="442">
        <x:f t="shared" si="2"/>
        <x:v>1</x:v>
      </x:c>
      <x:c r="AF37" s="442">
        <x:f t="shared" si="3"/>
        <x:v>0</x:v>
      </x:c>
      <x:c r="AG37" s="442">
        <x:f t="shared" si="4"/>
        <x:v>0</x:v>
      </x:c>
      <x:c r="AH37" s="443">
        <x:f t="shared" si="5"/>
        <x:v>0</x:v>
      </x:c>
      <x:c r="AI37" s="444" t="b">
        <x:v>0</x:v>
      </x:c>
      <x:c r="AJ37" s="238">
        <x:f t="shared" si="108"/>
        <x:v>32</x:v>
      </x:c>
      <x:c r="AK37" s="238" t="str">
        <x:f t="shared" si="6"/>
        <x:v>LH</x:v>
      </x:c>
      <x:c r="AL37" s="1290" t="str">
        <x:f t="shared" si="7"/>
        <x:v/>
      </x:c>
      <x:c r="AM37" s="238">
        <x:f t="shared" si="8"/>
        <x:v>305</x:v>
      </x:c>
      <x:c r="AN37" s="238">
        <x:f t="shared" si="9"/>
        <x:v>180</x:v>
      </x:c>
      <x:c r="AO37" s="238" t="str">
        <x:f t="shared" si="10"/>
        <x:v/>
      </x:c>
      <x:c r="AP37" s="830" t="b">
        <x:f>IF(ISERROR(AJ37),FALSE,IF(OR(AJ37=0,ISERROR(AL37),ISERROR(AM37),ISERROR(AN37),ISERROR(AO37)),FALSE,IF(AL37&lt;&gt;"",IF(ISERROR(VLOOKUP(SUBSTITUTE(SUBSTITUTE(C37,"R",""),"A",""),TblJoistSize!$A:$A,1,FALSE)),FALSE,TRUE),TRUE)))</x:f>
        <x:v>1</x:v>
      </x:c>
      <x:c r="AQ37" s="1038">
        <x:f t="shared" si="11"/>
        <x:v>6</x:v>
      </x:c>
      <x:c r="AR37" s="945" t="b">
        <x:f t="shared" si="83"/>
        <x:v>1</x:v>
      </x:c>
      <x:c r="AS37" s="1038">
        <x:f t="shared" si="12"/>
        <x:v>6</x:v>
      </x:c>
      <x:c r="AT37" s="945" t="b">
        <x:f t="shared" si="84"/>
        <x:v>1</x:v>
      </x:c>
      <x:c r="AU37" s="1291" t="str">
        <x:f t="shared" si="13"/>
        <x:v>LH</x:v>
      </x:c>
      <x:c r="AV37" s="830" t="str">
        <x:f t="shared" si="14"/>
        <x:v/>
      </x:c>
      <x:c r="AW37" s="830" t="str">
        <x:f t="shared" si="81"/>
        <x:v>LH</x:v>
      </x:c>
      <x:c r="AX37" s="830" t="str">
        <x:f t="shared" si="85"/>
        <x:v>J15</x:v>
      </x:c>
      <x:c r="AY37" s="464" t="b">
        <x:f t="shared" si="15"/>
        <x:v>0</x:v>
      </x:c>
      <x:c r="AZ37" s="856" t="b">
        <x:f t="shared" si="82"/>
        <x:v>0</x:v>
      </x:c>
      <x:c r="BA37" s="549"/>
      <x:c r="BB37" s="672"/>
      <x:c r="BC37" s="1684"/>
      <x:c r="BD37" s="733"/>
      <x:c r="BE37" s="734"/>
      <x:c r="BF37" s="735"/>
      <x:c r="BG37" s="672"/>
      <x:c r="BH37" s="982"/>
      <x:c r="BI37" s="983"/>
      <x:c r="BJ37" s="1625"/>
      <x:c r="BK37" s="982"/>
      <x:c r="BL37" s="983"/>
      <x:c r="BM37" s="1569"/>
      <x:c r="BN37" s="1570"/>
      <x:c r="BO37" s="1617" t="str">
        <x:f>IF(ISERROR(CU37),"",IF(CU37="","",IF(VLOOKUP(BG37,SectInfo!$B:$N,10,FALSE)="","","X")))</x:f>
        <x:v/>
      </x:c>
      <x:c r="BP37" s="1561"/>
      <x:c r="BQ37" s="1562" t="str">
        <x:f t="shared" si="16"/>
        <x:v/>
      </x:c>
      <x:c r="BR37" s="1563"/>
      <x:c r="BS37" s="672"/>
      <x:c r="BT37" s="982"/>
      <x:c r="BU37" s="983"/>
      <x:c r="BV37" s="1625"/>
      <x:c r="BW37" s="982"/>
      <x:c r="BX37" s="983"/>
      <x:c r="BY37" s="1569"/>
      <x:c r="BZ37" s="1570"/>
      <x:c r="CA37" s="1617" t="str">
        <x:f>IF(ISERROR(DE37),"",IF(DE37="","",IF(VLOOKUP(BS37,SectInfo!$B:$N,10,FALSE)="","","X")))</x:f>
        <x:v/>
      </x:c>
      <x:c r="CB37" s="1561"/>
      <x:c r="CC37" s="1562" t="str">
        <x:f t="shared" si="17"/>
        <x:v/>
      </x:c>
      <x:c r="CD37" s="1563"/>
      <x:c r="CE37" s="1574"/>
      <x:c r="CF37" s="736"/>
      <x:c r="CG37" s="737"/>
      <x:c r="CH37" s="643" t="str">
        <x:f t="shared" si="18"/>
        <x:v/>
      </x:c>
      <x:c r="CI37" s="644" t="str">
        <x:f t="shared" si="19"/>
        <x:v/>
      </x:c>
      <x:c r="CJ37" s="645" t="str">
        <x:f t="shared" si="20"/>
        <x:v/>
      </x:c>
      <x:c r="CK37" s="852" t="str">
        <x:f t="shared" si="21"/>
        <x:v/>
      </x:c>
      <x:c r="CL37" s="847" t="str">
        <x:f t="shared" si="22"/>
        <x:v/>
      </x:c>
      <x:c r="CM37" s="848" t="str">
        <x:f t="shared" si="23"/>
        <x:v/>
      </x:c>
      <x:c r="CN37" s="611" t="str">
        <x:f t="shared" si="24"/>
        <x:v/>
      </x:c>
      <x:c r="CO37" s="612" t="str">
        <x:f t="shared" si="25"/>
        <x:v/>
      </x:c>
      <x:c r="CP37" s="615" t="str">
        <x:f t="shared" si="26"/>
        <x:v/>
      </x:c>
      <x:c r="CQ37" s="616" t="str">
        <x:f t="shared" si="27"/>
        <x:v/>
      </x:c>
      <x:c r="CR37" s="750">
        <x:f t="shared" si="28"/>
        <x:v>5</x:v>
      </x:c>
      <x:c r="CS37" s="751">
        <x:f t="shared" si="29"/>
        <x:v>5</x:v>
      </x:c>
      <x:c r="CU37" s="114" t="str">
        <x:f>IF(BG37="","",VLOOKUP(BG37,SectInfo!$B:$N,12,FALSE))</x:f>
        <x:v/>
      </x:c>
      <x:c r="CV37" s="115" t="str">
        <x:f>IF(BG37="","",IF(ISBLANK(BP37),VLOOKUP(BG37,SectInfo!$B:$N,13,FALSE),BP37))</x:f>
        <x:v/>
      </x:c>
      <x:c r="CW37" s="1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1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30"/>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31"/>
        <x:v>0</x:v>
      </x:c>
      <x:c r="DO37" s="818">
        <x:f t="shared" si="32"/>
        <x:v>0</x:v>
      </x:c>
      <x:c r="DP37" s="822" t="str">
        <x:f t="shared" si="33"/>
        <x:v/>
      </x:c>
      <x:c r="DQ37" s="822" t="str">
        <x:f t="shared" si="34"/>
        <x:v/>
      </x:c>
      <x:c r="DR37" s="822" t="str">
        <x:f t="shared" si="35"/>
        <x:v/>
      </x:c>
      <x:c r="DS37" s="821">
        <x:f t="shared" si="36"/>
        <x:v>0</x:v>
      </x:c>
      <x:c r="DT37" s="821">
        <x:f t="shared" si="37"/>
        <x:v>0</x:v>
      </x:c>
      <x:c r="DU37" s="821" t="str">
        <x:f t="shared" si="38"/>
        <x:v/>
      </x:c>
      <x:c r="DV37" s="822" t="str">
        <x:f t="shared" si="39"/>
        <x:v/>
      </x:c>
      <x:c r="DW37" s="856" t="str">
        <x:f t="shared" si="40"/>
        <x:v/>
      </x:c>
      <x:c r="DX37" s="1006">
        <x:f t="shared" si="100"/>
        <x:v>0</x:v>
      </x:c>
      <x:c r="DY37" s="822">
        <x:f t="shared" si="41"/>
        <x:v>0</x:v>
      </x:c>
      <x:c r="DZ37" s="821">
        <x:f t="shared" si="42"/>
        <x:v>0</x:v>
      </x:c>
      <x:c r="EA37" s="821" t="str">
        <x:f t="shared" si="43"/>
        <x:v/>
      </x:c>
      <x:c r="EB37" s="822" t="str">
        <x:f t="shared" si="101"/>
        <x:v/>
      </x:c>
      <x:c r="EC37" s="856" t="str">
        <x:f t="shared" si="44"/>
        <x:v/>
      </x:c>
      <x:c r="ED37" s="1006">
        <x:f t="shared" si="102"/>
        <x:v>0</x:v>
      </x:c>
      <x:c r="EE37" s="1293" t="str">
        <x:f t="shared" si="45"/>
        <x:v/>
      </x:c>
      <x:c r="EF37" s="822" t="str">
        <x:f t="shared" si="103"/>
        <x:v/>
      </x:c>
      <x:c r="EG37" s="822" t="str">
        <x:f t="shared" si="104"/>
        <x:v/>
      </x:c>
      <x:c r="EH37" s="856" t="str">
        <x:f t="shared" si="46"/>
        <x:v>ERR</x:v>
      </x:c>
      <x:c r="EI37" s="856" t="str">
        <x:f t="shared" si="47"/>
        <x:v>ERR</x:v>
      </x:c>
      <x:c r="EJ37" s="822" t="str">
        <x:f t="shared" si="48"/>
        <x:v/>
      </x:c>
      <x:c r="EK37" s="822" t="str">
        <x:f t="shared" si="48"/>
        <x:v/>
      </x:c>
      <x:c r="EL37" s="1293" t="str">
        <x:f t="shared" si="49"/>
        <x:v/>
      </x:c>
      <x:c r="EM37" s="822" t="str">
        <x:f t="shared" si="105"/>
        <x:v/>
      </x:c>
      <x:c r="EN37" s="822" t="str">
        <x:f t="shared" si="106"/>
        <x:v/>
      </x:c>
      <x:c r="EO37" s="856" t="str">
        <x:f t="shared" si="50"/>
        <x:v>ERR</x:v>
      </x:c>
      <x:c r="EP37" s="856" t="str">
        <x:f t="shared" si="51"/>
        <x:v>ERR</x:v>
      </x:c>
      <x:c r="EQ37" s="822" t="str">
        <x:f t="shared" si="52"/>
        <x:v/>
      </x:c>
      <x:c r="ER37" s="822" t="str">
        <x:f t="shared" si="52"/>
        <x:v/>
      </x:c>
      <x:c r="ES37" s="822" t="str">
        <x:f t="shared" si="53"/>
        <x:v/>
      </x:c>
      <x:c r="ET37" s="822" t="str">
        <x:f t="shared" si="54"/>
        <x:v/>
      </x:c>
      <x:c r="EU37" s="829">
        <x:f t="shared" si="55"/>
        <x:v>4</x:v>
      </x:c>
      <x:c r="EV37" s="824" t="str">
        <x:f t="shared" si="107"/>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56"/>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57"/>
        <x:v/>
      </x:c>
      <x:c r="FD37" s="822">
        <x:f t="shared" si="58"/>
        <x:v>0</x:v>
      </x:c>
      <x:c r="FE37" s="822">
        <x:f t="shared" si="59"/>
        <x:v>0</x:v>
      </x:c>
      <x:c r="FF37" s="821">
        <x:f t="shared" si="60"/>
        <x:v>0</x:v>
      </x:c>
      <x:c r="FG37" s="821" t="str">
        <x:f t="shared" si="61"/>
        <x:v/>
      </x:c>
      <x:c r="FH37" s="822" t="str">
        <x:f t="shared" si="62"/>
        <x:v/>
      </x:c>
      <x:c r="FI37" s="822">
        <x:f t="shared" si="63"/>
        <x:v>0</x:v>
      </x:c>
      <x:c r="FJ37" s="822">
        <x:f t="shared" si="64"/>
        <x:v>0</x:v>
      </x:c>
      <x:c r="FK37" s="821">
        <x:f t="shared" si="65"/>
        <x:v>0</x:v>
      </x:c>
      <x:c r="FL37" s="821" t="str">
        <x:f t="shared" si="66"/>
        <x:v/>
      </x:c>
      <x:c r="FM37" s="822" t="str">
        <x:f t="shared" si="67"/>
        <x:v/>
      </x:c>
      <x:c r="FN37" s="822" t="e">
        <x:f t="shared" si="68"/>
        <x:v>#VALUE!</x:v>
      </x:c>
      <x:c r="FO37" s="940" t="e">
        <x:f t="shared" si="69"/>
        <x:v>#VALUE!</x:v>
      </x:c>
      <x:c r="FP37" s="940" t="e">
        <x:f t="shared" si="70"/>
        <x:v>#VALUE!</x:v>
      </x:c>
      <x:c r="FQ37" s="830" t="e">
        <x:f t="shared" si="71"/>
        <x:v>#VALUE!</x:v>
      </x:c>
      <x:c r="FR37" s="831" t="e">
        <x:f t="shared" si="72"/>
        <x:v>#VALUE!</x:v>
      </x:c>
      <x:c r="FS37" s="832" t="str">
        <x:f t="shared" si="73"/>
        <x:v/>
      </x:c>
      <x:c r="FT37" s="833" t="str">
        <x:f t="shared" si="74"/>
        <x:v/>
      </x:c>
      <x:c r="FU37" s="870">
        <x:f t="shared" si="75"/>
        <x:v>0</x:v>
      </x:c>
      <x:c r="FV37" s="871">
        <x:f t="shared" si="76"/>
        <x:v>0</x:v>
      </x:c>
      <x:c r="GA37" s="1791">
        <x:v>39</x:v>
      </x:c>
      <x:c r="GB37" s="1792">
        <x:v>3</x:v>
      </x:c>
      <x:c r="GC37" s="1793">
        <x:v>-0.25</x:v>
      </x:c>
      <x:c r="GD37" s="1794">
        <x:v>-0.5</x:v>
      </x:c>
      <x:c r="GE37" s="1795">
        <x:f t="shared" si="77"/>
        <x:v>0</x:v>
      </x:c>
      <x:c r="GF37" s="600" t="str">
        <x:f t="shared" si="78"/>
        <x:v>J15</x:v>
      </x:c>
      <x:c r="GG37" s="1130">
        <x:v>0</x:v>
      </x:c>
      <x:c r="GH37" s="1131">
        <x:v>0</x:v>
      </x:c>
      <x:c r="GI37" s="1130"/>
      <x:c r="GJ37" s="1131"/>
      <x:c r="GK37" s="1636">
        <x:f t="shared" si="79"/>
        <x:v>470.25</x:v>
      </x:c>
      <x:c r="GL37" s="1636">
        <x:f t="shared" si="80"/>
        <x:v>470.25</x:v>
      </x:c>
      <x:c r="GM37" s="1637">
        <x:f>IF(ABS(GK37-GL37)&gt;='Job Info.'!$L$22,ABS(GK37-GL37),0)</x:f>
        <x:v>0</x:v>
      </x:c>
      <x:c r="GZ37" s="415"/>
      <x:c r="HA37" s="1391" t="s">
        <x:v>1445</x:v>
      </x:c>
      <x:c r="HB37" s="1392">
        <x:v>1</x:v>
      </x:c>
      <x:c r="HC37" s="1392" t="s">
        <x:v>1592</x:v>
      </x:c>
      <x:c r="HD37" s="1393">
        <x:v>39</x:v>
      </x:c>
      <x:c r="HE37" s="1394">
        <x:v>2.25</x:v>
      </x:c>
      <x:c r="HF37" s="1392" t="s">
        <x:v>116</x:v>
      </x:c>
      <x:c r="HG37" s="1392" t="s">
        <x:v>116</x:v>
      </x:c>
      <x:c r="HH37" s="1392" t="s">
        <x:v>116</x:v>
      </x:c>
      <x:c r="HI37" s="1395" t="s">
        <x:v>116</x:v>
      </x:c>
      <x:c r="HJ37" s="1392" t="s">
        <x:v>116</x:v>
      </x:c>
      <x:c r="HK37" s="1392" t="s">
        <x:v>116</x:v>
      </x:c>
      <x:c r="HL37" s="1392">
        <x:v>5</x:v>
      </x:c>
      <x:c r="HM37" s="1392">
        <x:v>5</x:v>
      </x:c>
      <x:c r="HN37" s="1392" t="s">
        <x:v>116</x:v>
      </x:c>
      <x:c r="HO37" s="1392" t="s">
        <x:v>116</x:v>
      </x:c>
      <x:c r="HP37" s="1392" t="s">
        <x:v>116</x:v>
      </x:c>
      <x:c r="HQ37" s="1395" t="s">
        <x:v>116</x:v>
      </x:c>
      <x:c r="HR37" s="1392" t="s">
        <x:v>116</x:v>
      </x:c>
      <x:c r="HS37" s="1392" t="s">
        <x:v>116</x:v>
      </x:c>
      <x:c r="HT37" s="1392">
        <x:v>0</x:v>
      </x:c>
      <x:c r="HU37" s="1392">
        <x:v>2.25</x:v>
      </x:c>
      <x:c r="HV37" s="1392">
        <x:v>0</x:v>
      </x:c>
      <x:c r="HW37" s="1394">
        <x:v>2</x:v>
      </x:c>
      <x:c r="HX37" s="1394">
        <x:v>4</x:v>
      </x:c>
      <x:c r="HY37" s="1394" t="s">
        <x:v>116</x:v>
      </x:c>
      <x:c r="HZ37" s="1394" t="s">
        <x:v>116</x:v>
      </x:c>
      <x:c r="IA37" s="1394" t="s">
        <x:v>1658</x:v>
      </x:c>
      <x:c r="IB37" s="1394"/>
      <x:c r="IC37" s="1394"/>
      <x:c r="ID37" s="1394"/>
      <x:c r="IE37" s="1394"/>
      <x:c r="IF37" s="1396"/>
    </x:row>
    <x:row r="38" spans="1:240" ht="12.6" customHeight="1" x14ac:dyDescent="0.25">
      <x:c r="A38" s="2764" t="s">
        <x:v>1446</x:v>
      </x:c>
      <x:c r="B38" s="2765">
        <x:v>2</x:v>
      </x:c>
      <x:c r="C38" s="2766" t="s">
        <x:v>1592</x:v>
      </x:c>
      <x:c r="D38" s="2767">
        <x:v>40</x:v>
      </x:c>
      <x:c r="E38" s="2841">
        <x:v>0</x:v>
      </x:c>
      <x:c r="F38" s="2770" t="str">
        <x:f t="shared" si="86"/>
        <x:v/>
      </x:c>
      <x:c r="G38" s="2771" t="str">
        <x:f t="shared" si="87"/>
        <x:v/>
      </x:c>
      <x:c r="H38" s="2842" t="str">
        <x:f t="shared" si="88"/>
        <x:v/>
      </x:c>
      <x:c r="I38" s="2767" t="str">
        <x:f t="shared" si="89"/>
        <x:v/>
      </x:c>
      <x:c r="J38" s="2771" t="str">
        <x:f t="shared" si="90"/>
        <x:v/>
      </x:c>
      <x:c r="K38" s="2843" t="str">
        <x:f t="shared" si="91"/>
        <x:v/>
      </x:c>
      <x:c r="L38" s="2774">
        <x:v>5</x:v>
      </x:c>
      <x:c r="M38" s="2775">
        <x:v>5</x:v>
      </x:c>
      <x:c r="N38" s="2770" t="str">
        <x:f t="shared" si="92"/>
        <x:v/>
      </x:c>
      <x:c r="O38" s="2771" t="str">
        <x:f t="shared" si="93"/>
        <x:v/>
      </x:c>
      <x:c r="P38" s="2772" t="str">
        <x:f t="shared" si="94"/>
        <x:v/>
      </x:c>
      <x:c r="Q38" s="2767" t="str">
        <x:f t="shared" si="95"/>
        <x:v/>
      </x:c>
      <x:c r="R38" s="2771" t="str">
        <x:f t="shared" si="96"/>
        <x:v/>
      </x:c>
      <x:c r="S38" s="2819" t="str">
        <x:f t="shared" si="97"/>
        <x:v/>
      </x:c>
      <x:c r="T38" s="2770">
        <x:v>0</x:v>
      </x:c>
      <x:c r="U38" s="2771">
        <x:v>2.25</x:v>
      </x:c>
      <x:c r="V38" s="2767">
        <x:v>0</x:v>
      </x:c>
      <x:c r="W38" s="2771">
        <x:v>2</x:v>
      </x:c>
      <x:c r="X38" s="2816">
        <x:v>4</x:v>
      </x:c>
      <x:c r="Y38" s="2844" t="str">
        <x:f t="shared" si="98"/>
        <x:v/>
      </x:c>
      <x:c r="Z38" s="2845" t="str">
        <x:f t="shared" si="99"/>
        <x:v/>
      </x:c>
      <x:c r="AA38" s="2846" t="s">
        <x:v>1659</x:v>
      </x:c>
      <x:c r="AB38" s="1413"/>
      <x:c r="AC38" s="964" t="b">
        <x:v>0</x:v>
      </x:c>
      <x:c r="AD38" s="441">
        <x:f t="shared" si="1"/>
        <x:v>0</x:v>
      </x:c>
      <x:c r="AE38" s="442">
        <x:f t="shared" si="2"/>
        <x:v>2</x:v>
      </x:c>
      <x:c r="AF38" s="442">
        <x:f t="shared" si="3"/>
        <x:v>0</x:v>
      </x:c>
      <x:c r="AG38" s="442">
        <x:f t="shared" si="4"/>
        <x:v>0</x:v>
      </x:c>
      <x:c r="AH38" s="443">
        <x:f t="shared" si="5"/>
        <x:v>0</x:v>
      </x:c>
      <x:c r="AI38" s="444" t="b">
        <x:v>0</x:v>
      </x:c>
      <x:c r="AJ38" s="238">
        <x:f t="shared" si="108"/>
        <x:v>32</x:v>
      </x:c>
      <x:c r="AK38" s="238" t="str">
        <x:f t="shared" si="6"/>
        <x:v>LH</x:v>
      </x:c>
      <x:c r="AL38" s="1290" t="str">
        <x:f t="shared" si="7"/>
        <x:v/>
      </x:c>
      <x:c r="AM38" s="238">
        <x:f t="shared" si="8"/>
        <x:v>305</x:v>
      </x:c>
      <x:c r="AN38" s="238">
        <x:f t="shared" si="9"/>
        <x:v>180</x:v>
      </x:c>
      <x:c r="AO38" s="238" t="str">
        <x:f t="shared" si="10"/>
        <x:v/>
      </x:c>
      <x:c r="AP38" s="830" t="b">
        <x:f>IF(ISERROR(AJ38),FALSE,IF(OR(AJ38=0,ISERROR(AL38),ISERROR(AM38),ISERROR(AN38),ISERROR(AO38)),FALSE,IF(AL38&lt;&gt;"",IF(ISERROR(VLOOKUP(SUBSTITUTE(SUBSTITUTE(C38,"R",""),"A",""),TblJoistSize!$A:$A,1,FALSE)),FALSE,TRUE),TRUE)))</x:f>
        <x:v>1</x:v>
      </x:c>
      <x:c r="AQ38" s="1038">
        <x:f t="shared" si="11"/>
        <x:v>6</x:v>
      </x:c>
      <x:c r="AR38" s="945" t="b">
        <x:f t="shared" si="83"/>
        <x:v>1</x:v>
      </x:c>
      <x:c r="AS38" s="1038">
        <x:f t="shared" si="12"/>
        <x:v>6</x:v>
      </x:c>
      <x:c r="AT38" s="945" t="b">
        <x:f t="shared" si="84"/>
        <x:v>1</x:v>
      </x:c>
      <x:c r="AU38" s="1291" t="str">
        <x:f t="shared" si="13"/>
        <x:v>LH</x:v>
      </x:c>
      <x:c r="AV38" s="830" t="str">
        <x:f t="shared" si="14"/>
        <x:v/>
      </x:c>
      <x:c r="AW38" s="830" t="str">
        <x:f t="shared" si="81"/>
        <x:v>LH</x:v>
      </x:c>
      <x:c r="AX38" s="830" t="str">
        <x:f t="shared" si="85"/>
        <x:v>J16</x:v>
      </x:c>
      <x:c r="AY38" s="464" t="b">
        <x:f t="shared" si="15"/>
        <x:v>0</x:v>
      </x:c>
      <x:c r="AZ38" s="856" t="b">
        <x:f t="shared" si="82"/>
        <x:v>0</x:v>
      </x:c>
      <x:c r="BA38" s="549"/>
      <x:c r="BB38" s="672"/>
      <x:c r="BC38" s="1684"/>
      <x:c r="BD38" s="733"/>
      <x:c r="BE38" s="734"/>
      <x:c r="BF38" s="735"/>
      <x:c r="BG38" s="672"/>
      <x:c r="BH38" s="982"/>
      <x:c r="BI38" s="983"/>
      <x:c r="BJ38" s="1625"/>
      <x:c r="BK38" s="982"/>
      <x:c r="BL38" s="983"/>
      <x:c r="BM38" s="1569"/>
      <x:c r="BN38" s="1570"/>
      <x:c r="BO38" s="1617" t="str">
        <x:f>IF(ISERROR(CU38),"",IF(CU38="","",IF(VLOOKUP(BG38,SectInfo!$B:$N,10,FALSE)="","","X")))</x:f>
        <x:v/>
      </x:c>
      <x:c r="BP38" s="1561"/>
      <x:c r="BQ38" s="1562" t="str">
        <x:f t="shared" si="16"/>
        <x:v/>
      </x:c>
      <x:c r="BR38" s="1563"/>
      <x:c r="BS38" s="672"/>
      <x:c r="BT38" s="982"/>
      <x:c r="BU38" s="983"/>
      <x:c r="BV38" s="1625"/>
      <x:c r="BW38" s="982"/>
      <x:c r="BX38" s="983"/>
      <x:c r="BY38" s="1569"/>
      <x:c r="BZ38" s="1570"/>
      <x:c r="CA38" s="1617" t="str">
        <x:f>IF(ISERROR(DE38),"",IF(DE38="","",IF(VLOOKUP(BS38,SectInfo!$B:$N,10,FALSE)="","","X")))</x:f>
        <x:v/>
      </x:c>
      <x:c r="CB38" s="1561"/>
      <x:c r="CC38" s="1562" t="str">
        <x:f t="shared" si="17"/>
        <x:v/>
      </x:c>
      <x:c r="CD38" s="1563"/>
      <x:c r="CE38" s="1574"/>
      <x:c r="CF38" s="736"/>
      <x:c r="CG38" s="737"/>
      <x:c r="CH38" s="643" t="str">
        <x:f t="shared" si="18"/>
        <x:v/>
      </x:c>
      <x:c r="CI38" s="644" t="str">
        <x:f t="shared" si="19"/>
        <x:v/>
      </x:c>
      <x:c r="CJ38" s="645" t="str">
        <x:f t="shared" si="20"/>
        <x:v/>
      </x:c>
      <x:c r="CK38" s="852" t="str">
        <x:f t="shared" si="21"/>
        <x:v/>
      </x:c>
      <x:c r="CL38" s="847" t="str">
        <x:f t="shared" si="22"/>
        <x:v/>
      </x:c>
      <x:c r="CM38" s="848" t="str">
        <x:f t="shared" si="23"/>
        <x:v/>
      </x:c>
      <x:c r="CN38" s="611" t="str">
        <x:f t="shared" si="24"/>
        <x:v/>
      </x:c>
      <x:c r="CO38" s="612" t="str">
        <x:f t="shared" si="25"/>
        <x:v/>
      </x:c>
      <x:c r="CP38" s="615" t="str">
        <x:f t="shared" si="26"/>
        <x:v/>
      </x:c>
      <x:c r="CQ38" s="616" t="str">
        <x:f t="shared" si="27"/>
        <x:v/>
      </x:c>
      <x:c r="CR38" s="750">
        <x:f t="shared" si="28"/>
        <x:v>5</x:v>
      </x:c>
      <x:c r="CS38" s="751">
        <x:f t="shared" si="29"/>
        <x:v>5</x:v>
      </x:c>
      <x:c r="CU38" s="114" t="str">
        <x:f>IF(BG38="","",VLOOKUP(BG38,SectInfo!$B:$N,12,FALSE))</x:f>
        <x:v/>
      </x:c>
      <x:c r="CV38" s="115" t="str">
        <x:f>IF(BG38="","",IF(ISBLANK(BP38),VLOOKUP(BG38,SectInfo!$B:$N,13,FALSE),BP38))</x:f>
        <x:v/>
      </x:c>
      <x:c r="CW38" s="1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1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30"/>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31"/>
        <x:v>0</x:v>
      </x:c>
      <x:c r="DO38" s="818">
        <x:f t="shared" si="32"/>
        <x:v>0</x:v>
      </x:c>
      <x:c r="DP38" s="822" t="str">
        <x:f t="shared" si="33"/>
        <x:v/>
      </x:c>
      <x:c r="DQ38" s="822" t="str">
        <x:f t="shared" si="34"/>
        <x:v/>
      </x:c>
      <x:c r="DR38" s="822" t="str">
        <x:f t="shared" si="35"/>
        <x:v/>
      </x:c>
      <x:c r="DS38" s="821">
        <x:f t="shared" si="36"/>
        <x:v>0</x:v>
      </x:c>
      <x:c r="DT38" s="821">
        <x:f t="shared" si="37"/>
        <x:v>0</x:v>
      </x:c>
      <x:c r="DU38" s="821" t="str">
        <x:f t="shared" si="38"/>
        <x:v/>
      </x:c>
      <x:c r="DV38" s="822" t="str">
        <x:f t="shared" si="39"/>
        <x:v/>
      </x:c>
      <x:c r="DW38" s="856" t="str">
        <x:f t="shared" si="40"/>
        <x:v/>
      </x:c>
      <x:c r="DX38" s="1006">
        <x:f t="shared" si="100"/>
        <x:v>0</x:v>
      </x:c>
      <x:c r="DY38" s="822">
        <x:f t="shared" si="41"/>
        <x:v>0</x:v>
      </x:c>
      <x:c r="DZ38" s="821">
        <x:f t="shared" si="42"/>
        <x:v>0</x:v>
      </x:c>
      <x:c r="EA38" s="821" t="str">
        <x:f t="shared" si="43"/>
        <x:v/>
      </x:c>
      <x:c r="EB38" s="822" t="str">
        <x:f t="shared" si="101"/>
        <x:v/>
      </x:c>
      <x:c r="EC38" s="856" t="str">
        <x:f t="shared" si="44"/>
        <x:v/>
      </x:c>
      <x:c r="ED38" s="1006">
        <x:f t="shared" si="102"/>
        <x:v>0</x:v>
      </x:c>
      <x:c r="EE38" s="1293" t="str">
        <x:f t="shared" si="45"/>
        <x:v/>
      </x:c>
      <x:c r="EF38" s="822" t="str">
        <x:f t="shared" si="103"/>
        <x:v/>
      </x:c>
      <x:c r="EG38" s="822" t="str">
        <x:f t="shared" si="104"/>
        <x:v/>
      </x:c>
      <x:c r="EH38" s="856" t="str">
        <x:f t="shared" si="46"/>
        <x:v>ERR</x:v>
      </x:c>
      <x:c r="EI38" s="856" t="str">
        <x:f t="shared" si="47"/>
        <x:v>ERR</x:v>
      </x:c>
      <x:c r="EJ38" s="822" t="str">
        <x:f t="shared" si="48"/>
        <x:v/>
      </x:c>
      <x:c r="EK38" s="822" t="str">
        <x:f t="shared" si="48"/>
        <x:v/>
      </x:c>
      <x:c r="EL38" s="1293" t="str">
        <x:f t="shared" si="49"/>
        <x:v/>
      </x:c>
      <x:c r="EM38" s="822" t="str">
        <x:f t="shared" si="105"/>
        <x:v/>
      </x:c>
      <x:c r="EN38" s="822" t="str">
        <x:f t="shared" si="106"/>
        <x:v/>
      </x:c>
      <x:c r="EO38" s="856" t="str">
        <x:f t="shared" si="50"/>
        <x:v>ERR</x:v>
      </x:c>
      <x:c r="EP38" s="856" t="str">
        <x:f t="shared" si="51"/>
        <x:v>ERR</x:v>
      </x:c>
      <x:c r="EQ38" s="822" t="str">
        <x:f t="shared" si="52"/>
        <x:v/>
      </x:c>
      <x:c r="ER38" s="822" t="str">
        <x:f t="shared" si="52"/>
        <x:v/>
      </x:c>
      <x:c r="ES38" s="822" t="str">
        <x:f t="shared" si="53"/>
        <x:v/>
      </x:c>
      <x:c r="ET38" s="822" t="str">
        <x:f t="shared" si="54"/>
        <x:v/>
      </x:c>
      <x:c r="EU38" s="829">
        <x:f t="shared" si="55"/>
        <x:v>4</x:v>
      </x:c>
      <x:c r="EV38" s="824" t="str">
        <x:f t="shared" si="107"/>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56"/>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57"/>
        <x:v/>
      </x:c>
      <x:c r="FD38" s="822">
        <x:f t="shared" si="58"/>
        <x:v>0</x:v>
      </x:c>
      <x:c r="FE38" s="822">
        <x:f t="shared" si="59"/>
        <x:v>0</x:v>
      </x:c>
      <x:c r="FF38" s="821">
        <x:f t="shared" si="60"/>
        <x:v>0</x:v>
      </x:c>
      <x:c r="FG38" s="821" t="str">
        <x:f t="shared" si="61"/>
        <x:v/>
      </x:c>
      <x:c r="FH38" s="822" t="str">
        <x:f t="shared" si="62"/>
        <x:v/>
      </x:c>
      <x:c r="FI38" s="822">
        <x:f t="shared" si="63"/>
        <x:v>0</x:v>
      </x:c>
      <x:c r="FJ38" s="822">
        <x:f t="shared" si="64"/>
        <x:v>0</x:v>
      </x:c>
      <x:c r="FK38" s="821">
        <x:f t="shared" si="65"/>
        <x:v>0</x:v>
      </x:c>
      <x:c r="FL38" s="821" t="str">
        <x:f t="shared" si="66"/>
        <x:v/>
      </x:c>
      <x:c r="FM38" s="822" t="str">
        <x:f t="shared" si="67"/>
        <x:v/>
      </x:c>
      <x:c r="FN38" s="822" t="e">
        <x:f t="shared" si="68"/>
        <x:v>#VALUE!</x:v>
      </x:c>
      <x:c r="FO38" s="940" t="e">
        <x:f t="shared" si="69"/>
        <x:v>#VALUE!</x:v>
      </x:c>
      <x:c r="FP38" s="940" t="e">
        <x:f t="shared" si="70"/>
        <x:v>#VALUE!</x:v>
      </x:c>
      <x:c r="FQ38" s="830" t="e">
        <x:f t="shared" si="71"/>
        <x:v>#VALUE!</x:v>
      </x:c>
      <x:c r="FR38" s="831" t="e">
        <x:f t="shared" si="72"/>
        <x:v>#VALUE!</x:v>
      </x:c>
      <x:c r="FS38" s="832" t="str">
        <x:f t="shared" si="73"/>
        <x:v/>
      </x:c>
      <x:c r="FT38" s="833" t="str">
        <x:f t="shared" si="74"/>
        <x:v/>
      </x:c>
      <x:c r="FU38" s="870">
        <x:f t="shared" si="75"/>
        <x:v>0</x:v>
      </x:c>
      <x:c r="FV38" s="871">
        <x:f t="shared" si="76"/>
        <x:v>0</x:v>
      </x:c>
      <x:c r="GA38" s="1791">
        <x:v>40</x:v>
      </x:c>
      <x:c r="GB38" s="1792">
        <x:v>0.75</x:v>
      </x:c>
      <x:c r="GC38" s="1793">
        <x:v>-0.25</x:v>
      </x:c>
      <x:c r="GD38" s="1794">
        <x:v>-0.5</x:v>
      </x:c>
      <x:c r="GE38" s="1795">
        <x:f t="shared" si="77"/>
        <x:v>0</x:v>
      </x:c>
      <x:c r="GF38" s="600" t="str">
        <x:f t="shared" si="78"/>
        <x:v>J16</x:v>
      </x:c>
      <x:c r="GG38" s="1130">
        <x:v>0</x:v>
      </x:c>
      <x:c r="GH38" s="1131">
        <x:v>0</x:v>
      </x:c>
      <x:c r="GI38" s="1130"/>
      <x:c r="GJ38" s="1131"/>
      <x:c r="GK38" s="1636">
        <x:f t="shared" si="79"/>
        <x:v>480</x:v>
      </x:c>
      <x:c r="GL38" s="1636">
        <x:f t="shared" si="80"/>
        <x:v>480</x:v>
      </x:c>
      <x:c r="GM38" s="1637">
        <x:f>IF(ABS(GK38-GL38)&gt;='Job Info.'!$L$22,ABS(GK38-GL38),0)</x:f>
        <x:v>0</x:v>
      </x:c>
      <x:c r="GZ38" s="415"/>
      <x:c r="HA38" s="1391" t="s">
        <x:v>1446</x:v>
      </x:c>
      <x:c r="HB38" s="1392">
        <x:v>2</x:v>
      </x:c>
      <x:c r="HC38" s="1392" t="s">
        <x:v>1592</x:v>
      </x:c>
      <x:c r="HD38" s="1393">
        <x:v>40</x:v>
      </x:c>
      <x:c r="HE38" s="1394">
        <x:v>0</x:v>
      </x:c>
      <x:c r="HF38" s="1392" t="s">
        <x:v>116</x:v>
      </x:c>
      <x:c r="HG38" s="1392" t="s">
        <x:v>116</x:v>
      </x:c>
      <x:c r="HH38" s="1392" t="s">
        <x:v>116</x:v>
      </x:c>
      <x:c r="HI38" s="1395" t="s">
        <x:v>116</x:v>
      </x:c>
      <x:c r="HJ38" s="1392" t="s">
        <x:v>116</x:v>
      </x:c>
      <x:c r="HK38" s="1392" t="s">
        <x:v>116</x:v>
      </x:c>
      <x:c r="HL38" s="1392">
        <x:v>5</x:v>
      </x:c>
      <x:c r="HM38" s="1392">
        <x:v>5</x:v>
      </x:c>
      <x:c r="HN38" s="1392" t="s">
        <x:v>116</x:v>
      </x:c>
      <x:c r="HO38" s="1392" t="s">
        <x:v>116</x:v>
      </x:c>
      <x:c r="HP38" s="1392" t="s">
        <x:v>116</x:v>
      </x:c>
      <x:c r="HQ38" s="1395" t="s">
        <x:v>116</x:v>
      </x:c>
      <x:c r="HR38" s="1392" t="s">
        <x:v>116</x:v>
      </x:c>
      <x:c r="HS38" s="1392" t="s">
        <x:v>116</x:v>
      </x:c>
      <x:c r="HT38" s="1392">
        <x:v>0</x:v>
      </x:c>
      <x:c r="HU38" s="1392">
        <x:v>2.25</x:v>
      </x:c>
      <x:c r="HV38" s="1392">
        <x:v>0</x:v>
      </x:c>
      <x:c r="HW38" s="1394">
        <x:v>2</x:v>
      </x:c>
      <x:c r="HX38" s="1394">
        <x:v>4</x:v>
      </x:c>
      <x:c r="HY38" s="1394" t="s">
        <x:v>116</x:v>
      </x:c>
      <x:c r="HZ38" s="1394" t="s">
        <x:v>116</x:v>
      </x:c>
      <x:c r="IA38" s="1394" t="s">
        <x:v>1659</x:v>
      </x:c>
      <x:c r="IB38" s="1394"/>
      <x:c r="IC38" s="1394"/>
      <x:c r="ID38" s="1394"/>
      <x:c r="IE38" s="1394"/>
      <x:c r="IF38" s="1396"/>
    </x:row>
    <x:row r="39" spans="1:240" ht="12.6" customHeight="1" x14ac:dyDescent="0.25">
      <x:c r="A39" s="2764" t="str">
        <x:f t="shared" ref="A39:A40" si="109">IF(BB39="","",UPPER(BB39))</x:f>
        <x:v/>
      </x:c>
      <x:c r="B39" s="2765"/>
      <x:c r="C39" s="2766" t="str">
        <x:f t="shared" ref="C39:C40" si="110">IF(BD39="","",UPPER(BD39))</x:f>
        <x:v/>
      </x:c>
      <x:c r="D39" s="2767" t="str">
        <x:f t="shared" ref="D39:D40" si="111">IF(DP39="","",TRUNC(DP39/12))</x:f>
        <x:v/>
      </x:c>
      <x:c r="E39" s="2841" t="str">
        <x:f t="shared" ref="E39:E40" si="112">IF(DP39="","",DP39-(D39*12))</x:f>
        <x:v/>
      </x:c>
      <x:c r="F39" s="2770" t="str">
        <x:f t="shared" si="86"/>
        <x:v/>
      </x:c>
      <x:c r="G39" s="2771" t="str">
        <x:f t="shared" si="87"/>
        <x:v/>
      </x:c>
      <x:c r="H39" s="2842" t="str">
        <x:f t="shared" si="88"/>
        <x:v/>
      </x:c>
      <x:c r="I39" s="2767" t="str">
        <x:f t="shared" si="89"/>
        <x:v/>
      </x:c>
      <x:c r="J39" s="2771" t="str">
        <x:f t="shared" si="90"/>
        <x:v/>
      </x:c>
      <x:c r="K39" s="2843" t="str">
        <x:f t="shared" si="91"/>
        <x:v/>
      </x:c>
      <x:c r="L39" s="2774" t="str">
        <x:f t="shared" ref="L39:M40" si="113">DQ39</x:f>
        <x:v/>
      </x:c>
      <x:c r="M39" s="2775" t="str">
        <x:f t="shared" si="113"/>
        <x:v/>
      </x:c>
      <x:c r="N39" s="2770" t="str">
        <x:f t="shared" si="92"/>
        <x:v/>
      </x:c>
      <x:c r="O39" s="2771" t="str">
        <x:f t="shared" si="93"/>
        <x:v/>
      </x:c>
      <x:c r="P39" s="2772" t="str">
        <x:f t="shared" si="94"/>
        <x:v/>
      </x:c>
      <x:c r="Q39" s="2767" t="str">
        <x:f t="shared" si="95"/>
        <x:v/>
      </x:c>
      <x:c r="R39" s="2771" t="str">
        <x:f t="shared" si="96"/>
        <x:v/>
      </x:c>
      <x:c r="S39" s="2819" t="str">
        <x:f t="shared" si="97"/>
        <x:v/>
      </x:c>
      <x:c r="T39" s="2770" t="str">
        <x:f t="shared" ref="T39:T40" si="114">IF(CH39="ERR","",IF(EK39="","",IF(EK39="ERR",TRUNC(EJ39/12),TRUNC(EK39/12))))</x:f>
        <x:v/>
      </x:c>
      <x:c r="U39" s="2771" t="str">
        <x:f t="shared" ref="U39:U40" si="115">IF(CH39="ERR","",IF(EK39="","",IF(EK39="ERR",EJ39-(T39*12),EK39-(T39*12))))</x:f>
        <x:v/>
      </x:c>
      <x:c r="V39" s="2767" t="str">
        <x:f t="shared" ref="V39:V40" si="116">IF(CI39="ERR","",IF(ER39="","",IF(ER39="ERR",TRUNC(EQ39/12),TRUNC(ER39/12))))</x:f>
        <x:v/>
      </x:c>
      <x:c r="W39" s="2771" t="str">
        <x:f t="shared" ref="W39:W40" si="117">IF(CI39="ERR","",IF(ER39="","",IF(ER39="ERR",EQ39-(V39*12),ER39-(V39*12))))</x:f>
        <x:v/>
      </x:c>
      <x:c r="X39" s="2816">
        <x:f t="shared" ref="X39:X40" si="118">IF(EV39="",0,EV39)</x:f>
        <x:v>0</x:v>
      </x:c>
      <x:c r="Y39" s="2844" t="str">
        <x:f t="shared" si="98"/>
        <x:v/>
      </x:c>
      <x:c r="Z39" s="2845" t="str">
        <x:f t="shared" si="99"/>
        <x:v/>
      </x:c>
      <x:c r="AA39" s="2846" t="s">
        <x:v>116</x:v>
      </x:c>
      <x:c r="AB39" s="1413"/>
      <x:c r="AC39" s="964" t="b">
        <x:v>0</x:v>
      </x:c>
      <x:c r="AD39" s="441">
        <x:f t="shared" si="1"/>
        <x:v>0</x:v>
      </x:c>
      <x:c r="AE39" s="442">
        <x:f t="shared" si="2"/>
        <x:v>0</x:v>
      </x:c>
      <x:c r="AF39" s="442">
        <x:f t="shared" si="3"/>
        <x:v>0</x:v>
      </x:c>
      <x:c r="AG39" s="442">
        <x:f t="shared" si="4"/>
        <x:v>0</x:v>
      </x:c>
      <x:c r="AH39" s="443">
        <x:f t="shared" si="5"/>
        <x:v>0</x:v>
      </x:c>
      <x:c r="AI39" s="444" t="b">
        <x:v>0</x:v>
      </x:c>
      <x:c r="AJ39" s="238">
        <x:f t="shared" si="108"/>
        <x:v>0</x:v>
      </x:c>
      <x:c r="AK39" s="238" t="str">
        <x:f t="shared" si="6"/>
        <x:v/>
      </x:c>
      <x:c r="AL39" s="1290" t="str">
        <x:f t="shared" si="7"/>
        <x:v/>
      </x:c>
      <x:c r="AM39" s="238" t="str">
        <x:f t="shared" si="8"/>
        <x:v/>
      </x:c>
      <x:c r="AN39" s="238" t="str">
        <x:f t="shared" si="9"/>
        <x:v/>
      </x:c>
      <x:c r="AO39" s="238" t="str">
        <x:f t="shared" si="10"/>
        <x:v/>
      </x:c>
      <x:c r="AP39" s="830" t="b">
        <x:f>IF(ISERROR(AJ39),FALSE,IF(OR(AJ39=0,ISERROR(AL39),ISERROR(AM39),ISERROR(AN39),ISERROR(AO39)),FALSE,IF(AL39&lt;&gt;"",IF(ISERROR(VLOOKUP(SUBSTITUTE(SUBSTITUTE(C39,"R",""),"A",""),TblJoistSize!$A:$A,1,FALSE)),FALSE,TRUE),TRUE)))</x:f>
        <x:v>0</x:v>
      </x:c>
      <x:c r="AQ39" s="1038" t="e">
        <x:f t="shared" si="11"/>
        <x:v>#N/A</x:v>
      </x:c>
      <x:c r="AR39" s="945" t="b">
        <x:f t="shared" si="83"/>
        <x:v>0</x:v>
      </x:c>
      <x:c r="AS39" s="1038" t="e">
        <x:f t="shared" si="12"/>
        <x:v>#N/A</x:v>
      </x:c>
      <x:c r="AT39" s="945" t="b">
        <x:f t="shared" si="84"/>
        <x:v>0</x:v>
      </x:c>
      <x:c r="AU39" s="1291" t="str">
        <x:f t="shared" si="13"/>
        <x:v/>
      </x:c>
      <x:c r="AV39" s="830" t="str">
        <x:f t="shared" si="14"/>
        <x:v/>
      </x:c>
      <x:c r="AW39" s="830" t="str">
        <x:f t="shared" si="81"/>
        <x:v/>
      </x:c>
      <x:c r="AX39" s="830" t="str">
        <x:f t="shared" si="85"/>
        <x:v/>
      </x:c>
      <x:c r="AY39" s="464" t="b">
        <x:f t="shared" si="15"/>
        <x:v>0</x:v>
      </x:c>
      <x:c r="AZ39" s="856" t="str">
        <x:f t="shared" si="82"/>
        <x:v/>
      </x:c>
      <x:c r="BA39" s="549"/>
      <x:c r="BB39" s="672"/>
      <x:c r="BC39" s="1684"/>
      <x:c r="BD39" s="733"/>
      <x:c r="BE39" s="734"/>
      <x:c r="BF39" s="735"/>
      <x:c r="BG39" s="672"/>
      <x:c r="BH39" s="982"/>
      <x:c r="BI39" s="983"/>
      <x:c r="BJ39" s="1625"/>
      <x:c r="BK39" s="982"/>
      <x:c r="BL39" s="983"/>
      <x:c r="BM39" s="1569"/>
      <x:c r="BN39" s="1570"/>
      <x:c r="BO39" s="1617" t="str">
        <x:f>IF(ISERROR(CU39),"",IF(CU39="","",IF(VLOOKUP(BG39,SectInfo!$B:$N,10,FALSE)="","","X")))</x:f>
        <x:v/>
      </x:c>
      <x:c r="BP39" s="1561"/>
      <x:c r="BQ39" s="1562" t="str">
        <x:f t="shared" si="16"/>
        <x:v/>
      </x:c>
      <x:c r="BR39" s="1563"/>
      <x:c r="BS39" s="672"/>
      <x:c r="BT39" s="982"/>
      <x:c r="BU39" s="983"/>
      <x:c r="BV39" s="1625"/>
      <x:c r="BW39" s="982"/>
      <x:c r="BX39" s="983"/>
      <x:c r="BY39" s="1569"/>
      <x:c r="BZ39" s="1570"/>
      <x:c r="CA39" s="1617" t="str">
        <x:f>IF(ISERROR(DE39),"",IF(DE39="","",IF(VLOOKUP(BS39,SectInfo!$B:$N,10,FALSE)="","","X")))</x:f>
        <x:v/>
      </x:c>
      <x:c r="CB39" s="1561"/>
      <x:c r="CC39" s="1562" t="str">
        <x:f t="shared" si="17"/>
        <x:v/>
      </x:c>
      <x:c r="CD39" s="1563"/>
      <x:c r="CE39" s="1574"/>
      <x:c r="CF39" s="736"/>
      <x:c r="CG39" s="737"/>
      <x:c r="CH39" s="643" t="str">
        <x:f t="shared" si="18"/>
        <x:v/>
      </x:c>
      <x:c r="CI39" s="644" t="str">
        <x:f t="shared" si="19"/>
        <x:v/>
      </x:c>
      <x:c r="CJ39" s="645" t="str">
        <x:f t="shared" si="20"/>
        <x:v/>
      </x:c>
      <x:c r="CK39" s="852" t="str">
        <x:f t="shared" si="21"/>
        <x:v/>
      </x:c>
      <x:c r="CL39" s="847" t="str">
        <x:f t="shared" si="22"/>
        <x:v/>
      </x:c>
      <x:c r="CM39" s="848" t="str">
        <x:f t="shared" si="23"/>
        <x:v/>
      </x:c>
      <x:c r="CN39" s="611" t="str">
        <x:f t="shared" si="24"/>
        <x:v/>
      </x:c>
      <x:c r="CO39" s="612" t="str">
        <x:f t="shared" si="25"/>
        <x:v/>
      </x:c>
      <x:c r="CP39" s="615" t="str">
        <x:f t="shared" si="26"/>
        <x:v/>
      </x:c>
      <x:c r="CQ39" s="616" t="str">
        <x:f t="shared" si="27"/>
        <x:v/>
      </x:c>
      <x:c r="CR39" s="750" t="str">
        <x:f t="shared" si="28"/>
        <x:v/>
      </x:c>
      <x:c r="CS39" s="751" t="str">
        <x:f t="shared" si="29"/>
        <x:v/>
      </x:c>
      <x:c r="CU39" s="114" t="str">
        <x:f>IF(BG39="","",VLOOKUP(BG39,SectInfo!$B:$N,12,FALSE))</x:f>
        <x:v/>
      </x:c>
      <x:c r="CV39" s="115" t="str">
        <x:f>IF(BG39="","",IF(ISBLANK(BP39),VLOOKUP(BG39,SectInfo!$B:$N,13,FALSE),BP39))</x:f>
        <x:v/>
      </x:c>
      <x:c r="CW39" s="1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1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30"/>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31"/>
        <x:v>0</x:v>
      </x:c>
      <x:c r="DO39" s="818">
        <x:f t="shared" si="32"/>
        <x:v>0</x:v>
      </x:c>
      <x:c r="DP39" s="822" t="str">
        <x:f t="shared" si="33"/>
        <x:v/>
      </x:c>
      <x:c r="DQ39" s="822" t="str">
        <x:f t="shared" si="34"/>
        <x:v/>
      </x:c>
      <x:c r="DR39" s="822" t="str">
        <x:f t="shared" si="35"/>
        <x:v/>
      </x:c>
      <x:c r="DS39" s="821">
        <x:f t="shared" si="36"/>
        <x:v>0</x:v>
      </x:c>
      <x:c r="DT39" s="821">
        <x:f t="shared" si="37"/>
        <x:v>0</x:v>
      </x:c>
      <x:c r="DU39" s="821" t="str">
        <x:f t="shared" si="38"/>
        <x:v/>
      </x:c>
      <x:c r="DV39" s="822" t="str">
        <x:f t="shared" si="39"/>
        <x:v/>
      </x:c>
      <x:c r="DW39" s="856" t="str">
        <x:f t="shared" si="40"/>
        <x:v/>
      </x:c>
      <x:c r="DX39" s="1006">
        <x:f t="shared" si="100"/>
        <x:v>0</x:v>
      </x:c>
      <x:c r="DY39" s="822">
        <x:f t="shared" si="41"/>
        <x:v>0</x:v>
      </x:c>
      <x:c r="DZ39" s="821">
        <x:f t="shared" si="42"/>
        <x:v>0</x:v>
      </x:c>
      <x:c r="EA39" s="821" t="str">
        <x:f t="shared" si="43"/>
        <x:v/>
      </x:c>
      <x:c r="EB39" s="822" t="str">
        <x:f t="shared" si="101"/>
        <x:v/>
      </x:c>
      <x:c r="EC39" s="856" t="str">
        <x:f t="shared" si="44"/>
        <x:v/>
      </x:c>
      <x:c r="ED39" s="1006">
        <x:f t="shared" si="102"/>
        <x:v>0</x:v>
      </x:c>
      <x:c r="EE39" s="1293" t="str">
        <x:f t="shared" si="45"/>
        <x:v/>
      </x:c>
      <x:c r="EF39" s="822" t="str">
        <x:f t="shared" si="103"/>
        <x:v/>
      </x:c>
      <x:c r="EG39" s="822" t="str">
        <x:f t="shared" si="104"/>
        <x:v/>
      </x:c>
      <x:c r="EH39" s="856" t="e">
        <x:f t="shared" si="46"/>
        <x:v>#N/A</x:v>
      </x:c>
      <x:c r="EI39" s="856" t="e">
        <x:f t="shared" si="47"/>
        <x:v>#N/A</x:v>
      </x:c>
      <x:c r="EJ39" s="822" t="str">
        <x:f t="shared" ref="EJ39:EK40" si="119">IF(ISERROR(EF39),"ERR",IF(EF39="","",IF(EH39="ERR","ERR",CEILING(EH39-0.0625,0.125))))</x:f>
        <x:v/>
      </x:c>
      <x:c r="EK39" s="822" t="str">
        <x:f t="shared" si="119"/>
        <x:v/>
      </x:c>
      <x:c r="EL39" s="1293" t="str">
        <x:f t="shared" si="49"/>
        <x:v/>
      </x:c>
      <x:c r="EM39" s="822" t="str">
        <x:f t="shared" si="105"/>
        <x:v/>
      </x:c>
      <x:c r="EN39" s="822" t="str">
        <x:f t="shared" si="106"/>
        <x:v/>
      </x:c>
      <x:c r="EO39" s="856" t="e">
        <x:f t="shared" si="50"/>
        <x:v>#N/A</x:v>
      </x:c>
      <x:c r="EP39" s="856" t="e">
        <x:f t="shared" si="51"/>
        <x:v>#N/A</x:v>
      </x:c>
      <x:c r="EQ39" s="822" t="str">
        <x:f t="shared" si="52"/>
        <x:v/>
      </x:c>
      <x:c r="ER39" s="822" t="str">
        <x:f t="shared" si="52"/>
        <x:v/>
      </x:c>
      <x:c r="ES39" s="822" t="str">
        <x:f t="shared" si="53"/>
        <x:v/>
      </x:c>
      <x:c r="ET39" s="822" t="str">
        <x:f t="shared" si="54"/>
        <x:v/>
      </x:c>
      <x:c r="EU39" s="829" t="str">
        <x:f t="shared" si="55"/>
        <x:v/>
      </x:c>
      <x:c r="EV39" s="824" t="str">
        <x:f t="shared" si="107"/>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56"/>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57"/>
        <x:v/>
      </x:c>
      <x:c r="FD39" s="822">
        <x:f t="shared" si="58"/>
        <x:v>0</x:v>
      </x:c>
      <x:c r="FE39" s="822">
        <x:f t="shared" si="59"/>
        <x:v>0</x:v>
      </x:c>
      <x:c r="FF39" s="821">
        <x:f t="shared" si="60"/>
        <x:v>0</x:v>
      </x:c>
      <x:c r="FG39" s="821" t="str">
        <x:f t="shared" si="61"/>
        <x:v/>
      </x:c>
      <x:c r="FH39" s="822" t="str">
        <x:f t="shared" si="62"/>
        <x:v/>
      </x:c>
      <x:c r="FI39" s="822">
        <x:f t="shared" si="63"/>
        <x:v>0</x:v>
      </x:c>
      <x:c r="FJ39" s="822">
        <x:f t="shared" si="64"/>
        <x:v>0</x:v>
      </x:c>
      <x:c r="FK39" s="821">
        <x:f t="shared" si="65"/>
        <x:v>0</x:v>
      </x:c>
      <x:c r="FL39" s="821" t="str">
        <x:f t="shared" si="66"/>
        <x:v/>
      </x:c>
      <x:c r="FM39" s="822" t="str">
        <x:f t="shared" si="67"/>
        <x:v/>
      </x:c>
      <x:c r="FN39" s="822" t="e">
        <x:f t="shared" si="68"/>
        <x:v>#VALUE!</x:v>
      </x:c>
      <x:c r="FO39" s="940" t="e">
        <x:f t="shared" si="69"/>
        <x:v>#VALUE!</x:v>
      </x:c>
      <x:c r="FP39" s="940" t="e">
        <x:f t="shared" si="70"/>
        <x:v>#VALUE!</x:v>
      </x:c>
      <x:c r="FQ39" s="830" t="e">
        <x:f t="shared" si="71"/>
        <x:v>#VALUE!</x:v>
      </x:c>
      <x:c r="FR39" s="831" t="e">
        <x:f t="shared" si="72"/>
        <x:v>#VALUE!</x:v>
      </x:c>
      <x:c r="FS39" s="832" t="str">
        <x:f t="shared" si="73"/>
        <x:v/>
      </x:c>
      <x:c r="FT39" s="833" t="str">
        <x:f t="shared" si="74"/>
        <x:v/>
      </x:c>
      <x:c r="FU39" s="870">
        <x:f t="shared" si="75"/>
        <x:v>0</x:v>
      </x:c>
      <x:c r="FV39" s="871">
        <x:f t="shared" si="76"/>
        <x:v>0</x:v>
      </x:c>
      <x:c r="GA39" s="1791" t="str">
        <x:f t="shared" ref="GA39:GA40" si="120">IF(GF39="","",BE39)</x:f>
        <x:v/>
      </x:c>
      <x:c r="GB39" s="1792" t="str">
        <x:f t="shared" ref="GB39:GB40" si="121">IF(GF39="","",BF39)</x:f>
        <x:v/>
      </x:c>
      <x:c r="GC39" s="1793" t="str">
        <x:f t="shared" ref="GC39:GC40" si="122">IF(GF39="","",IF(CV39="",0,CV39))</x:f>
        <x:v/>
      </x:c>
      <x:c r="GD39" s="1794" t="str">
        <x:f t="shared" ref="GD39:GD40" si="123">IF(GF39="","",IF(DF39="",0,DF39))</x:f>
        <x:v/>
      </x:c>
      <x:c r="GE39" s="1795" t="str">
        <x:f t="shared" si="77"/>
        <x:v/>
      </x:c>
      <x:c r="GF39" s="600" t="str">
        <x:f t="shared" si="78"/>
        <x:v/>
      </x:c>
      <x:c r="GG39" s="1130"/>
      <x:c r="GH39" s="1131"/>
      <x:c r="GI39" s="1130"/>
      <x:c r="GJ39" s="1131"/>
      <x:c r="GK39" s="1636">
        <x:f t="shared" si="79"/>
        <x:v>0</x:v>
      </x:c>
      <x:c r="GL39" s="1636" t="e">
        <x:f t="shared" si="80"/>
        <x:v>#VALUE!</x:v>
      </x:c>
      <x:c r="GM39" s="1637" t="e">
        <x:f>IF(ABS(GK39-GL39)&gt;='Job Info.'!$L$22,ABS(GK39-GL39),0)</x:f>
        <x:v>#VALUE!</x:v>
      </x:c>
      <x:c r="GZ39" s="415"/>
      <x:c r="HA39" s="1391"/>
      <x:c r="HB39" s="1392"/>
      <x:c r="HC39" s="1392"/>
      <x:c r="HD39" s="1393"/>
      <x:c r="HE39" s="1394"/>
      <x:c r="HF39" s="1392"/>
      <x:c r="HG39" s="1392"/>
      <x:c r="HH39" s="1392"/>
      <x:c r="HI39" s="1395"/>
      <x:c r="HJ39" s="1392"/>
      <x:c r="HK39" s="1392"/>
      <x:c r="HL39" s="1392"/>
      <x:c r="HM39" s="1392"/>
      <x:c r="HN39" s="1392"/>
      <x:c r="HO39" s="1392"/>
      <x:c r="HP39" s="1392"/>
      <x:c r="HQ39" s="1395"/>
      <x:c r="HR39" s="1392"/>
      <x:c r="HS39" s="1392"/>
      <x:c r="HT39" s="1392"/>
      <x:c r="HU39" s="1392"/>
      <x:c r="HV39" s="1392"/>
      <x:c r="HW39" s="1394"/>
      <x:c r="HX39" s="1394"/>
      <x:c r="HY39" s="1394"/>
      <x:c r="HZ39" s="1394"/>
      <x:c r="IA39" s="1394"/>
      <x:c r="IB39" s="1394"/>
      <x:c r="IC39" s="1394"/>
      <x:c r="ID39" s="1394"/>
      <x:c r="IE39" s="1394"/>
      <x:c r="IF39" s="1396"/>
    </x:row>
    <x:row r="40" spans="1:240" ht="12.6" customHeight="1" thickBot="1" x14ac:dyDescent="0.3">
      <x:c r="A40" s="2782" t="str">
        <x:f t="shared" si="109"/>
        <x:v/>
      </x:c>
      <x:c r="B40" s="2783"/>
      <x:c r="C40" s="2784" t="str">
        <x:f t="shared" si="110"/>
        <x:v/>
      </x:c>
      <x:c r="D40" s="2785" t="str">
        <x:f t="shared" si="111"/>
        <x:v/>
      </x:c>
      <x:c r="E40" s="2847" t="str">
        <x:f t="shared" si="112"/>
        <x:v/>
      </x:c>
      <x:c r="F40" s="2788" t="str">
        <x:f t="shared" si="86"/>
        <x:v/>
      </x:c>
      <x:c r="G40" s="2789" t="str">
        <x:f t="shared" si="87"/>
        <x:v/>
      </x:c>
      <x:c r="H40" s="2848" t="str">
        <x:f t="shared" si="88"/>
        <x:v/>
      </x:c>
      <x:c r="I40" s="2785" t="str">
        <x:f t="shared" si="89"/>
        <x:v/>
      </x:c>
      <x:c r="J40" s="2789" t="str">
        <x:f t="shared" si="90"/>
        <x:v/>
      </x:c>
      <x:c r="K40" s="2849" t="str">
        <x:f t="shared" si="91"/>
        <x:v/>
      </x:c>
      <x:c r="L40" s="2792" t="str">
        <x:f t="shared" si="113"/>
        <x:v/>
      </x:c>
      <x:c r="M40" s="2793" t="str">
        <x:f t="shared" si="113"/>
        <x:v/>
      </x:c>
      <x:c r="N40" s="2788" t="str">
        <x:f t="shared" si="92"/>
        <x:v/>
      </x:c>
      <x:c r="O40" s="2789" t="str">
        <x:f t="shared" si="93"/>
        <x:v/>
      </x:c>
      <x:c r="P40" s="2790" t="str">
        <x:f t="shared" si="94"/>
        <x:v/>
      </x:c>
      <x:c r="Q40" s="2785" t="str">
        <x:f t="shared" si="95"/>
        <x:v/>
      </x:c>
      <x:c r="R40" s="2789" t="str">
        <x:f t="shared" si="96"/>
        <x:v/>
      </x:c>
      <x:c r="S40" s="2826" t="str">
        <x:f t="shared" si="97"/>
        <x:v/>
      </x:c>
      <x:c r="T40" s="2788" t="str">
        <x:f t="shared" si="114"/>
        <x:v/>
      </x:c>
      <x:c r="U40" s="2789" t="str">
        <x:f t="shared" si="115"/>
        <x:v/>
      </x:c>
      <x:c r="V40" s="2785" t="str">
        <x:f t="shared" si="116"/>
        <x:v/>
      </x:c>
      <x:c r="W40" s="2789" t="str">
        <x:f t="shared" si="117"/>
        <x:v/>
      </x:c>
      <x:c r="X40" s="2823">
        <x:f t="shared" si="118"/>
        <x:v>0</x:v>
      </x:c>
      <x:c r="Y40" s="2850" t="str">
        <x:f t="shared" si="98"/>
        <x:v/>
      </x:c>
      <x:c r="Z40" s="2851" t="str">
        <x:f t="shared" si="99"/>
        <x:v/>
      </x:c>
      <x:c r="AA40" s="2852" t="s">
        <x:v>116</x:v>
      </x:c>
      <x:c r="AB40" s="1413"/>
      <x:c r="AC40" s="964" t="b">
        <x:v>0</x:v>
      </x:c>
      <x:c r="AD40" s="441">
        <x:f t="shared" si="1"/>
        <x:v>0</x:v>
      </x:c>
      <x:c r="AE40" s="442">
        <x:f t="shared" si="2"/>
        <x:v>0</x:v>
      </x:c>
      <x:c r="AF40" s="442">
        <x:f t="shared" si="3"/>
        <x:v>0</x:v>
      </x:c>
      <x:c r="AG40" s="442">
        <x:f t="shared" si="4"/>
        <x:v>0</x:v>
      </x:c>
      <x:c r="AH40" s="443">
        <x:f t="shared" si="5"/>
        <x:v>0</x:v>
      </x:c>
      <x:c r="AI40" s="444" t="b">
        <x:v>0</x:v>
      </x:c>
      <x:c r="AJ40" s="238">
        <x:f t="shared" si="108"/>
        <x:v>0</x:v>
      </x:c>
      <x:c r="AK40" s="238" t="str">
        <x:f t="shared" si="6"/>
        <x:v/>
      </x:c>
      <x:c r="AL40" s="1290" t="str">
        <x:f t="shared" si="7"/>
        <x:v/>
      </x:c>
      <x:c r="AM40" s="238" t="str">
        <x:f t="shared" si="8"/>
        <x:v/>
      </x:c>
      <x:c r="AN40" s="238" t="str">
        <x:f t="shared" si="9"/>
        <x:v/>
      </x:c>
      <x:c r="AO40" s="238" t="str">
        <x:f t="shared" si="10"/>
        <x:v/>
      </x:c>
      <x:c r="AP40" s="830" t="b">
        <x:f>IF(ISERROR(AJ40),FALSE,IF(OR(AJ40=0,ISERROR(AL40),ISERROR(AM40),ISERROR(AN40),ISERROR(AO40)),FALSE,IF(AL40&lt;&gt;"",IF(ISERROR(VLOOKUP(SUBSTITUTE(SUBSTITUTE(C40,"R",""),"A",""),TblJoistSize!$A:$A,1,FALSE)),FALSE,TRUE),TRUE)))</x:f>
        <x:v>0</x:v>
      </x:c>
      <x:c r="AQ40" s="1038" t="e">
        <x:f t="shared" si="11"/>
        <x:v>#N/A</x:v>
      </x:c>
      <x:c r="AR40" s="945" t="b">
        <x:f t="shared" si="83"/>
        <x:v>0</x:v>
      </x:c>
      <x:c r="AS40" s="1038" t="e">
        <x:f t="shared" si="12"/>
        <x:v>#N/A</x:v>
      </x:c>
      <x:c r="AT40" s="945" t="b">
        <x:f t="shared" si="84"/>
        <x:v>0</x:v>
      </x:c>
      <x:c r="AU40" s="1291" t="str">
        <x:f t="shared" si="13"/>
        <x:v/>
      </x:c>
      <x:c r="AV40" s="830" t="str">
        <x:f t="shared" si="14"/>
        <x:v/>
      </x:c>
      <x:c r="AW40" s="830" t="str">
        <x:f t="shared" si="81"/>
        <x:v/>
      </x:c>
      <x:c r="AX40" s="830" t="str">
        <x:f t="shared" si="85"/>
        <x:v/>
      </x:c>
      <x:c r="AY40" s="464" t="b">
        <x:f t="shared" si="15"/>
        <x:v>0</x:v>
      </x:c>
      <x:c r="AZ40" s="856" t="str">
        <x:f t="shared" si="82"/>
        <x:v/>
      </x:c>
      <x:c r="BA40" s="549"/>
      <x:c r="BB40" s="681"/>
      <x:c r="BC40" s="1685"/>
      <x:c r="BD40" s="807"/>
      <x:c r="BE40" s="808"/>
      <x:c r="BF40" s="809"/>
      <x:c r="BG40" s="681"/>
      <x:c r="BH40" s="985"/>
      <x:c r="BI40" s="986"/>
      <x:c r="BJ40" s="1626"/>
      <x:c r="BK40" s="985"/>
      <x:c r="BL40" s="986"/>
      <x:c r="BM40" s="1571"/>
      <x:c r="BN40" s="1572"/>
      <x:c r="BO40" s="1618" t="str">
        <x:f>IF(ISERROR(CU40),"",IF(CU40="","",IF(VLOOKUP(BG40,SectInfo!$B:$N,10,FALSE)="","","X")))</x:f>
        <x:v/>
      </x:c>
      <x:c r="BP40" s="1564"/>
      <x:c r="BQ40" s="1565" t="str">
        <x:f t="shared" si="16"/>
        <x:v/>
      </x:c>
      <x:c r="BR40" s="1566"/>
      <x:c r="BS40" s="681"/>
      <x:c r="BT40" s="985"/>
      <x:c r="BU40" s="986"/>
      <x:c r="BV40" s="1626"/>
      <x:c r="BW40" s="985"/>
      <x:c r="BX40" s="986"/>
      <x:c r="BY40" s="1571"/>
      <x:c r="BZ40" s="1572"/>
      <x:c r="CA40" s="1618" t="str">
        <x:f>IF(ISERROR(DE40),"",IF(DE40="","",IF(VLOOKUP(BS40,SectInfo!$B:$N,10,FALSE)="","","X")))</x:f>
        <x:v/>
      </x:c>
      <x:c r="CB40" s="1564"/>
      <x:c r="CC40" s="1565" t="str">
        <x:f t="shared" si="17"/>
        <x:v/>
      </x:c>
      <x:c r="CD40" s="1566"/>
      <x:c r="CE40" s="1575"/>
      <x:c r="CF40" s="739"/>
      <x:c r="CG40" s="740"/>
      <x:c r="CH40" s="801" t="str">
        <x:f t="shared" si="18"/>
        <x:v/>
      </x:c>
      <x:c r="CI40" s="802" t="str">
        <x:f t="shared" si="19"/>
        <x:v/>
      </x:c>
      <x:c r="CJ40" s="803" t="str">
        <x:f t="shared" si="20"/>
        <x:v/>
      </x:c>
      <x:c r="CK40" s="853" t="str">
        <x:f t="shared" si="21"/>
        <x:v/>
      </x:c>
      <x:c r="CL40" s="849" t="str">
        <x:f t="shared" si="22"/>
        <x:v/>
      </x:c>
      <x:c r="CM40" s="850" t="str">
        <x:f t="shared" si="23"/>
        <x:v/>
      </x:c>
      <x:c r="CN40" s="804" t="str">
        <x:f t="shared" si="24"/>
        <x:v/>
      </x:c>
      <x:c r="CO40" s="805" t="str">
        <x:f t="shared" si="25"/>
        <x:v/>
      </x:c>
      <x:c r="CP40" s="617" t="str">
        <x:f t="shared" si="26"/>
        <x:v/>
      </x:c>
      <x:c r="CQ40" s="618" t="str">
        <x:f t="shared" si="27"/>
        <x:v/>
      </x:c>
      <x:c r="CR40" s="752" t="str">
        <x:f t="shared" si="28"/>
        <x:v/>
      </x:c>
      <x:c r="CS40" s="753" t="str">
        <x:f t="shared" si="29"/>
        <x:v/>
      </x:c>
      <x:c r="CU40" s="209" t="str">
        <x:f>IF(BG40="","",VLOOKUP(BG40,SectInfo!$B:$N,12,FALSE))</x:f>
        <x:v/>
      </x:c>
      <x:c r="CV40" s="210" t="str">
        <x:f>IF(BG40="","",IF(ISBLANK(BP40),VLOOKUP(BG40,SectInfo!$B:$N,13,FALSE),BP40))</x:f>
        <x:v/>
      </x:c>
      <x:c r="CW40" s="210" t="str">
        <x:f>IF(BG40="","",IF(VLOOKUP(BG40,SectInfo!$B:$N,5,FALSE)="","R",UPPER(VLOOKUP(BG40,SectInfo!$B:$N,5,FALSE))))</x:f>
        <x:v/>
      </x:c>
      <x:c r="CX40" s="834" t="str">
        <x:f>IF(BG40="","",IF(ISBLANK(BR40),VLOOKUP(BG40,SectInfo!$B:$N,6,FALSE),BR40))</x:f>
        <x:v/>
      </x:c>
      <x:c r="CY40" s="1287" t="str">
        <x:f>IF(BG40="","",IF(VLOOKUP(BG40,SectInfo!$B:$N,10,FALSE)="","",(IF(BO40="X",VLOOKUP(BG40,SectInfo!$B:$N,10,FALSE),VALUE(BO40))*-1)))</x:f>
        <x:v/>
      </x:c>
      <x:c r="CZ40" s="1123" t="str">
        <x:f>IF(BG40="","",IF(VLOOKUP(BG40,SectInfo!$B:$N,11,FALSE)="","2",(VLOOKUP(BG40,SectInfo!$B:$N,11,FALSE))))</x:f>
        <x:v/>
      </x:c>
      <x:c r="DA40" s="210" t="str">
        <x:f>IF(BG40="","",IF(VLOOKUP(BG40,SectInfo!$B:$N,7,FALSE)="","",(VLOOKUP(BG40,SectInfo!$B:$N,7,FALSE)*-1)))</x:f>
        <x:v/>
      </x:c>
      <x:c r="DB40" s="834" t="str">
        <x:f>IF(BG40="","",IF(VLOOKUP(BG40,SectInfo!$B:$N,8,FALSE)="",VLOOKUP(AU40,$DF$2:$DN$9,6,FALSE),(VLOOKUP(BG40,SectInfo!$B:$N,8,FALSE))))</x:f>
        <x:v/>
      </x:c>
      <x:c r="DC40" s="834" t="str">
        <x:f>IF(BG40="","",VLOOKUP(BG40,SectInfo!$B:$N,9,FALSE))</x:f>
        <x:v/>
      </x:c>
      <x:c r="DD40" s="835">
        <x:f t="shared" si="30"/>
        <x:v>0</x:v>
      </x:c>
      <x:c r="DE40" s="836" t="str">
        <x:f>IF(BS40="","",VLOOKUP(BS40,SectInfo!$B:$N,12,FALSE))</x:f>
        <x:v/>
      </x:c>
      <x:c r="DF40" s="834" t="str">
        <x:f>IF(BS40="","",IF(ISBLANK(CB40),VLOOKUP(BS40,SectInfo!$B:$N,13,FALSE),CB40))</x:f>
        <x:v/>
      </x:c>
      <x:c r="DG40" s="834" t="str">
        <x:f>IF(BS40="","",IF(VLOOKUP(BS40,SectInfo!$B:$N,5,FALSE)="","R",UPPER(VLOOKUP(BS40,SectInfo!$B:$N,5,FALSE))))</x:f>
        <x:v/>
      </x:c>
      <x:c r="DH40" s="834" t="str">
        <x:f>IF(BS40="","",IF(ISBLANK(CD40),VLOOKUP(BS40,SectInfo!$B:$N,6,FALSE),CD40))</x:f>
        <x:v/>
      </x:c>
      <x:c r="DI40" s="1287" t="str">
        <x:f>IF(BS40="","",IF(VLOOKUP(BS40,SectInfo!$B:$N,10,FALSE)="","",(IF(CA40="X",VLOOKUP(BS40,SectInfo!$B:$N,10,FALSE),VALUE(CA40))*-1)))</x:f>
        <x:v/>
      </x:c>
      <x:c r="DJ40" s="1123" t="str">
        <x:f>IF(BS40="","",IF(VLOOKUP(BS40,SectInfo!$B:$N,11,FALSE)="","2",(VLOOKUP(BS40,SectInfo!$B:$N,11,FALSE))))</x:f>
        <x:v/>
      </x:c>
      <x:c r="DK40" s="834" t="str">
        <x:f>IF(BS40="","",IF(VLOOKUP(BS40,SectInfo!$B:$N,7,FALSE)="","",(VLOOKUP(BS40,SectInfo!$B:$N,7,FALSE)*-1)))</x:f>
        <x:v/>
      </x:c>
      <x:c r="DL40" s="834" t="str">
        <x:f>IF(BS40="","",IF(VLOOKUP(BS40,SectInfo!$B:$N,8,FALSE)="",VLOOKUP(AU40,$DF$2:$DN$9,6,FALSE),(VLOOKUP(BS40,SectInfo!$B:$N,8,FALSE))))</x:f>
        <x:v/>
      </x:c>
      <x:c r="DM40" s="834" t="str">
        <x:f>IF(BS40="","",VLOOKUP(BS40,SectInfo!$B:$N,9,FALSE))</x:f>
        <x:v/>
      </x:c>
      <x:c r="DN40" s="835">
        <x:f t="shared" si="31"/>
        <x:v>0</x:v>
      </x:c>
      <x:c r="DO40" s="837">
        <x:f t="shared" si="32"/>
        <x:v>0</x:v>
      </x:c>
      <x:c r="DP40" s="838" t="str">
        <x:f t="shared" si="33"/>
        <x:v/>
      </x:c>
      <x:c r="DQ40" s="838" t="str">
        <x:f t="shared" si="34"/>
        <x:v/>
      </x:c>
      <x:c r="DR40" s="838" t="str">
        <x:f t="shared" si="35"/>
        <x:v/>
      </x:c>
      <x:c r="DS40" s="839">
        <x:f t="shared" si="36"/>
        <x:v>0</x:v>
      </x:c>
      <x:c r="DT40" s="839">
        <x:f t="shared" si="37"/>
        <x:v>0</x:v>
      </x:c>
      <x:c r="DU40" s="839" t="str">
        <x:f t="shared" si="38"/>
        <x:v/>
      </x:c>
      <x:c r="DV40" s="838" t="str">
        <x:f t="shared" si="39"/>
        <x:v/>
      </x:c>
      <x:c r="DW40" s="1128" t="str">
        <x:f t="shared" si="40"/>
        <x:v/>
      </x:c>
      <x:c r="DX40" s="1007">
        <x:f t="shared" si="100"/>
        <x:v>0</x:v>
      </x:c>
      <x:c r="DY40" s="838">
        <x:f t="shared" si="41"/>
        <x:v>0</x:v>
      </x:c>
      <x:c r="DZ40" s="839">
        <x:f t="shared" si="42"/>
        <x:v>0</x:v>
      </x:c>
      <x:c r="EA40" s="839" t="str">
        <x:f t="shared" si="43"/>
        <x:v/>
      </x:c>
      <x:c r="EB40" s="838" t="str">
        <x:f t="shared" si="101"/>
        <x:v/>
      </x:c>
      <x:c r="EC40" s="1128" t="str">
        <x:f t="shared" si="44"/>
        <x:v/>
      </x:c>
      <x:c r="ED40" s="1007">
        <x:f t="shared" si="102"/>
        <x:v>0</x:v>
      </x:c>
      <x:c r="EE40" s="1294" t="str">
        <x:f t="shared" si="45"/>
        <x:v/>
      </x:c>
      <x:c r="EF40" s="838" t="str">
        <x:f t="shared" si="103"/>
        <x:v/>
      </x:c>
      <x:c r="EG40" s="838" t="str">
        <x:f t="shared" si="104"/>
        <x:v/>
      </x:c>
      <x:c r="EH40" s="856" t="e">
        <x:f t="shared" si="46"/>
        <x:v>#N/A</x:v>
      </x:c>
      <x:c r="EI40" s="856" t="e">
        <x:f t="shared" si="47"/>
        <x:v>#N/A</x:v>
      </x:c>
      <x:c r="EJ40" s="838" t="str">
        <x:f t="shared" si="119"/>
        <x:v/>
      </x:c>
      <x:c r="EK40" s="838" t="str">
        <x:f t="shared" si="119"/>
        <x:v/>
      </x:c>
      <x:c r="EL40" s="1294" t="str">
        <x:f t="shared" si="49"/>
        <x:v/>
      </x:c>
      <x:c r="EM40" s="838" t="str">
        <x:f t="shared" si="105"/>
        <x:v/>
      </x:c>
      <x:c r="EN40" s="838" t="str">
        <x:f t="shared" si="106"/>
        <x:v/>
      </x:c>
      <x:c r="EO40" s="856" t="e">
        <x:f t="shared" si="50"/>
        <x:v>#N/A</x:v>
      </x:c>
      <x:c r="EP40" s="856" t="e">
        <x:f t="shared" si="51"/>
        <x:v>#N/A</x:v>
      </x:c>
      <x:c r="EQ40" s="838" t="str">
        <x:f t="shared" si="52"/>
        <x:v/>
      </x:c>
      <x:c r="ER40" s="838" t="str">
        <x:f t="shared" si="52"/>
        <x:v/>
      </x:c>
      <x:c r="ES40" s="838" t="str">
        <x:f t="shared" si="53"/>
        <x:v/>
      </x:c>
      <x:c r="ET40" s="838" t="str">
        <x:f t="shared" si="54"/>
        <x:v/>
      </x:c>
      <x:c r="EU40" s="840" t="str">
        <x:f t="shared" si="55"/>
        <x:v/>
      </x:c>
      <x:c r="EV40" s="956" t="str">
        <x:f t="shared" si="107"/>
        <x:v/>
      </x:c>
      <x:c r="EW40" s="840"/>
      <x:c r="EX40" s="840" t="str">
        <x:f>IF(AND(CU40="G", ISBLANK(BK40), ISBLANK(BL40)),VLOOKUP(MIN(BH40:BI40),TblJoistSize!$M$3:$N$10,2),IF(OR(CU40="B",CU40="G"),MIN(BK40:BL40),""))</x:f>
        <x:v/>
      </x:c>
      <x:c r="EY40" s="840" t="str">
        <x:f>IF(AND(CU40="G", ISBLANK(BK40), ISBLANK(BL40)),VLOOKUP(MAX(BH40:BI40),TblJoistSize!$M$3:$N$10,2),IF(OR(CU40="B",CU40="G"),MAX(BK40:BL40),""))</x:f>
        <x:v/>
      </x:c>
      <x:c r="EZ40" s="840" t="str">
        <x:f t="shared" si="56"/>
        <x:v/>
      </x:c>
      <x:c r="FA40" s="840" t="str">
        <x:f>IF(AND(DE40="G", ISBLANK(BW40), ISBLANK(BX40)),VLOOKUP(MIN(BT40:BU40),TblJoistSize!$M$3:$N$10,2),IF(OR(DE40="B", DE40="G"),MIN(BW40:BX40),""))</x:f>
        <x:v/>
      </x:c>
      <x:c r="FB40" s="840" t="str">
        <x:f>IF(AND(DE40="G", ISBLANK(BW40), ISBLANK(BX40)),VLOOKUP(MAX(BT40:BU40),TblJoistSize!$M$3:$N$10,2),IF(OR(DE40="B", DE40="G"),MAX(BW40:BX40),""))</x:f>
        <x:v/>
      </x:c>
      <x:c r="FC40" s="840" t="str">
        <x:f t="shared" si="57"/>
        <x:v/>
      </x:c>
      <x:c r="FD40" s="838">
        <x:f t="shared" si="58"/>
        <x:v>0</x:v>
      </x:c>
      <x:c r="FE40" s="838">
        <x:f t="shared" si="59"/>
        <x:v>0</x:v>
      </x:c>
      <x:c r="FF40" s="839">
        <x:f t="shared" si="60"/>
        <x:v>0</x:v>
      </x:c>
      <x:c r="FG40" s="839" t="str">
        <x:f t="shared" si="61"/>
        <x:v/>
      </x:c>
      <x:c r="FH40" s="838" t="str">
        <x:f t="shared" si="62"/>
        <x:v/>
      </x:c>
      <x:c r="FI40" s="838">
        <x:f t="shared" si="63"/>
        <x:v>0</x:v>
      </x:c>
      <x:c r="FJ40" s="838">
        <x:f t="shared" si="64"/>
        <x:v>0</x:v>
      </x:c>
      <x:c r="FK40" s="839">
        <x:f t="shared" si="65"/>
        <x:v>0</x:v>
      </x:c>
      <x:c r="FL40" s="839" t="str">
        <x:f t="shared" si="66"/>
        <x:v/>
      </x:c>
      <x:c r="FM40" s="838" t="str">
        <x:f t="shared" si="67"/>
        <x:v/>
      </x:c>
      <x:c r="FN40" s="838" t="e">
        <x:f t="shared" si="68"/>
        <x:v>#VALUE!</x:v>
      </x:c>
      <x:c r="FO40" s="1387" t="e">
        <x:f t="shared" si="69"/>
        <x:v>#VALUE!</x:v>
      </x:c>
      <x:c r="FP40" s="1387" t="e">
        <x:f t="shared" si="70"/>
        <x:v>#VALUE!</x:v>
      </x:c>
      <x:c r="FQ40" s="841" t="e">
        <x:f t="shared" si="71"/>
        <x:v>#VALUE!</x:v>
      </x:c>
      <x:c r="FR40" s="842" t="e">
        <x:f t="shared" si="72"/>
        <x:v>#VALUE!</x:v>
      </x:c>
      <x:c r="FS40" s="843" t="str">
        <x:f t="shared" si="73"/>
        <x:v/>
      </x:c>
      <x:c r="FT40" s="844" t="str">
        <x:f t="shared" si="74"/>
        <x:v/>
      </x:c>
      <x:c r="FU40" s="1011">
        <x:f t="shared" si="75"/>
        <x:v>0</x:v>
      </x:c>
      <x:c r="FV40" s="1012">
        <x:f t="shared" si="76"/>
        <x:v>0</x:v>
      </x:c>
      <x:c r="GA40" s="1791" t="str">
        <x:f t="shared" si="120"/>
        <x:v/>
      </x:c>
      <x:c r="GB40" s="1792" t="str">
        <x:f t="shared" si="121"/>
        <x:v/>
      </x:c>
      <x:c r="GC40" s="1793" t="str">
        <x:f t="shared" si="122"/>
        <x:v/>
      </x:c>
      <x:c r="GD40" s="1794" t="str">
        <x:f t="shared" si="123"/>
        <x:v/>
      </x:c>
      <x:c r="GE40" s="1795" t="str">
        <x:f t="shared" si="77"/>
        <x:v/>
      </x:c>
      <x:c r="GF40" s="600" t="str">
        <x:f t="shared" si="78"/>
        <x:v/>
      </x:c>
      <x:c r="GG40" s="1132"/>
      <x:c r="GH40" s="1133"/>
      <x:c r="GI40" s="1132"/>
      <x:c r="GJ40" s="1133"/>
      <x:c r="GK40" s="1636">
        <x:f t="shared" si="79"/>
        <x:v>0</x:v>
      </x:c>
      <x:c r="GL40" s="1636" t="e">
        <x:f t="shared" si="80"/>
        <x:v>#VALUE!</x:v>
      </x:c>
      <x:c r="GM40" s="1637" t="e">
        <x:f>IF(ABS(GK40-GL40)&gt;='Job Info.'!$L$22,ABS(GK40-GL40),0)</x:f>
        <x:v>#VALUE!</x:v>
      </x:c>
      <x:c r="GZ40" s="415"/>
      <x:c r="HA40" s="1397"/>
      <x:c r="HB40" s="1398"/>
      <x:c r="HC40" s="1398"/>
      <x:c r="HD40" s="1399"/>
      <x:c r="HE40" s="1400"/>
      <x:c r="HF40" s="1398"/>
      <x:c r="HG40" s="1398"/>
      <x:c r="HH40" s="1398"/>
      <x:c r="HI40" s="1401"/>
      <x:c r="HJ40" s="1398"/>
      <x:c r="HK40" s="1398"/>
      <x:c r="HL40" s="1398"/>
      <x:c r="HM40" s="1398"/>
      <x:c r="HN40" s="1398"/>
      <x:c r="HO40" s="1398"/>
      <x:c r="HP40" s="1398"/>
      <x:c r="HQ40" s="1401"/>
      <x:c r="HR40" s="1398"/>
      <x:c r="HS40" s="1398"/>
      <x:c r="HT40" s="1398"/>
      <x:c r="HU40" s="1398"/>
      <x:c r="HV40" s="1398"/>
      <x:c r="HW40" s="1400"/>
      <x:c r="HX40" s="1400"/>
      <x:c r="HY40" s="1400"/>
      <x:c r="HZ40" s="1400"/>
      <x:c r="IA40" s="1400"/>
      <x:c r="IB40" s="1400"/>
      <x:c r="IC40" s="1400"/>
      <x:c r="ID40" s="1400"/>
      <x:c r="IE40" s="1400"/>
      <x:c r="IF40" s="1402"/>
    </x:row>
    <x:row r="41" spans="1:240" ht="15" customHeight="1" thickTop="1" thickBot="1" x14ac:dyDescent="0.25">
      <x:c r="A41" s="1143"/>
      <x:c r="B41" s="1143"/>
      <x:c r="C41" s="1143"/>
      <x:c r="D41" s="1143"/>
      <x:c r="E41" s="1143"/>
      <x:c r="F41" s="1143"/>
      <x:c r="G41" s="1143"/>
      <x:c r="H41" s="1143"/>
      <x:c r="I41" s="1143"/>
      <x:c r="J41" s="1143"/>
      <x:c r="K41" s="1143"/>
      <x:c r="L41" s="1143"/>
      <x:c r="M41" s="1143"/>
      <x:c r="N41" s="1143"/>
      <x:c r="O41" s="1143"/>
      <x:c r="P41" s="1143"/>
      <x:c r="Q41" s="1143"/>
      <x:c r="R41" s="1143"/>
      <x:c r="S41" s="1143"/>
      <x:c r="T41" s="1143"/>
      <x:c r="U41" s="1143"/>
      <x:c r="V41" s="1143"/>
      <x:c r="W41" s="1143"/>
      <x:c r="X41" s="1143"/>
      <x:c r="Y41" s="1143"/>
      <x:c r="Z41" s="1143"/>
      <x:c r="AA41" s="1143"/>
      <x:c r="AD41" s="452">
        <x:f>SUM(AD23:AD40)</x:f>
        <x:v>0</x:v>
      </x:c>
      <x:c r="AE41" s="453">
        <x:f>SUM(AE23:AE40)</x:f>
        <x:v>88</x:v>
      </x:c>
      <x:c r="AF41" s="453">
        <x:f>SUM(AF23:AF40)</x:f>
        <x:v>0</x:v>
      </x:c>
      <x:c r="AG41" s="453">
        <x:f>SUM(AG23:AG40)</x:f>
        <x:v>0</x:v>
      </x:c>
      <x:c r="AH41" s="454">
        <x:f>SUM(AH23:AH40)</x:f>
        <x:v>0</x:v>
      </x:c>
      <x:c r="CN41" s="246"/>
      <x:c r="CO41" s="246"/>
      <x:c r="DK41" s="455"/>
      <x:c r="EO41" s="1008"/>
      <x:c r="EP41" s="1008"/>
      <x:c r="FU41" s="455"/>
      <x:c r="FV41" s="455"/>
      <x:c r="GA41" s="455"/>
      <x:c r="GB41" s="455"/>
      <x:c r="GC41" s="455"/>
      <x:c r="GD41" s="455"/>
      <x:c r="GE41" s="455"/>
      <x:c r="GF41" s="455"/>
      <x:c r="HA41" s="117"/>
      <x:c r="HB41" s="117"/>
      <x:c r="HC41" s="117"/>
      <x:c r="HD41" s="242"/>
      <x:c r="HE41" s="248"/>
      <x:c r="HF41" s="117"/>
      <x:c r="HG41" s="117"/>
      <x:c r="HH41" s="117"/>
      <x:c r="HI41" s="117"/>
      <x:c r="HJ41" s="117"/>
      <x:c r="HK41" s="117"/>
      <x:c r="HL41" s="117"/>
      <x:c r="HM41" s="117"/>
      <x:c r="HN41" s="117"/>
      <x:c r="HO41" s="117"/>
      <x:c r="HP41" s="117"/>
      <x:c r="HQ41" s="117"/>
      <x:c r="HR41" s="117"/>
      <x:c r="HS41" s="117"/>
      <x:c r="HT41" s="117"/>
      <x:c r="HU41" s="117"/>
      <x:c r="HV41" s="117"/>
      <x:c r="HW41" s="117"/>
      <x:c r="HX41" s="117"/>
    </x:row>
    <x:row r="42" spans="1:240" ht="15" customHeight="1" x14ac:dyDescent="0.2">
      <x:c r="EB42" s="1028"/>
    </x:row>
    <x:row r="43" spans="1:240" ht="15" customHeight="1" x14ac:dyDescent="0.2">
      <x:c r="AZ43" s="633"/>
      <x:c r="CH43" s="504"/>
      <x:c r="EB43" s="1028"/>
      <x:c r="EF43" s="856" t="str">
        <x:f>IF(EE43="ERR","ERR",IF(EE43="","",IF(DB43*TAN(DS43)&lt;=(VLOOKUP(AU43,$DF$2:$DN$9,8,FALSE)-(VLOOKUP(AU43,$DF$2:$DN$9,7,FALSE)-0.0625)),CV43-(EE43-FH43)/IF(OR(CU43="C",AND(CU43="M",$DD$1="N")),1,COS(DS43))-IF(OR(MID(CW43,1,1)="R",CW43="Q"),0,DW43),(ABS(EE43-FH43)/IF(OR(CU43="C",AND(CU43="M",$DD$1="N")),1,COS(DS43))+CV43)-((DB43/2)*TAN(DS43))-IF(OR(MID(CW43,1,1)="R",CW43="Q"),0,DW43))))</x:f>
        <x:v/>
      </x:c>
      <x:c r="EG43" s="856" t="str">
        <x:f>IF(EE43="ERR","ERR",IF(EE43="","",IF(DB43*TAN(DS43)&lt;=(VLOOKUP(AU43,$DF$2:$DN$9,8,FALSE)-(VLOOKUP(AU43,$DF$2:$DN$9,7,FALSE)-0.0625)),CV43-(EE43-FH43)/IF(OR(CU43="C",AND(CU43="M",$DD$1="N")),1,COS(DS43))-IF(OR(MID(CW43,1,1)="R",CW43="Q"),0,DW43),(ABS(EE43-FH43)/IF(OR(CU43="C",AND(CU43="M",$DD$1="N")),1,COS(DS43))+CV43)+((DB43/2)*TAN(DS43))-IF(OR(MID(CW43,1,1)="R",CW43="Q"),0,DW43))))</x:f>
        <x:v/>
      </x:c>
    </x:row>
    <x:row r="44" spans="1:240" ht="15" customHeight="1" x14ac:dyDescent="0.2">
      <x:c r="DP44" s="247"/>
      <x:c r="DQ44" s="562"/>
      <x:c r="DR44" s="378"/>
      <x:c r="DS44" s="378"/>
    </x:row>
    <x:row r="45" spans="1:240" ht="15" customHeight="1" x14ac:dyDescent="0.2">
      <x:c r="BI45" s="1028"/>
      <x:c r="BP45" s="1028"/>
      <x:c r="BQ45" s="633"/>
    </x:row>
    <x:row r="46" spans="1:240" ht="15" customHeight="1" x14ac:dyDescent="0.2"/>
    <x:row r="47" spans="1:240" ht="15" customHeight="1" thickBot="1" x14ac:dyDescent="0.25">
      <x:c r="A47" s="907" t="s">
        <x:v>720</x:v>
      </x:c>
      <x:c r="AD47" s="906">
        <x:f>SUM(AD41:AH41)</x:f>
        <x:v>88</x:v>
      </x:c>
      <x:c r="EK47" s="2301" t="s">
        <x:v>1060</x:v>
      </x:c>
      <x:c r="EL47" s="2301"/>
      <x:c r="EM47" s="2301"/>
      <x:c r="EN47" s="2301"/>
      <x:c r="EO47" s="2301"/>
    </x:row>
    <x:row r="48" spans="1:240" s="1008" customFormat="1" ht="15" hidden="1" customHeight="1" x14ac:dyDescent="0.2">
      <x:c r="AA48" s="1194"/>
      <x:c r="AI48" s="1085"/>
      <x:c r="HD48" s="1195"/>
      <x:c r="HE48" s="1196"/>
    </x:row>
    <x:row r="49" spans="1:192" ht="15" hidden="1" customHeight="1" x14ac:dyDescent="0.2"/>
    <x:row r="50" spans="1:192" ht="11.25" hidden="1" customHeight="1" x14ac:dyDescent="0.2">
      <x:c r="A50" s="1320"/>
      <x:c r="B50" s="1320"/>
      <x:c r="C50" s="1320"/>
      <x:c r="D50" s="1320"/>
      <x:c r="E50" s="1320"/>
      <x:c r="F50" s="1320"/>
      <x:c r="G50" s="1320"/>
      <x:c r="H50" s="1320"/>
      <x:c r="I50" s="1320"/>
      <x:c r="J50" s="1320"/>
      <x:c r="K50" s="1320"/>
      <x:c r="L50" s="1320"/>
      <x:c r="M50" s="1320"/>
      <x:c r="N50" s="1320"/>
      <x:c r="O50" s="1320"/>
      <x:c r="P50" s="1320"/>
      <x:c r="Q50" s="1320"/>
      <x:c r="R50" s="1320"/>
      <x:c r="S50" s="1320"/>
      <x:c r="T50" s="1320"/>
      <x:c r="U50" s="1320"/>
      <x:c r="V50" s="1320"/>
      <x:c r="W50" s="1320"/>
      <x:c r="X50" s="1320"/>
      <x:c r="Y50" s="1320"/>
      <x:c r="Z50" s="1320"/>
      <x:c r="AA50" s="1320"/>
    </x:row>
    <x:row r="51" spans="1:192" ht="11.25" hidden="1" customHeight="1" x14ac:dyDescent="0.2"/>
    <x:row r="52" spans="1:192" ht="15" hidden="1" customHeight="1" x14ac:dyDescent="0.2"/>
    <x:row r="53" spans="1:192" ht="15" hidden="1" customHeight="1" x14ac:dyDescent="0.2"/>
    <x:row r="54" spans="1:192" ht="15" hidden="1" customHeight="1" x14ac:dyDescent="0.2"/>
    <x:row r="55" spans="1:192" ht="15" hidden="1" customHeight="1" x14ac:dyDescent="0.2"/>
    <x:row r="56" spans="1:192" ht="15" hidden="1" customHeight="1" x14ac:dyDescent="0.2">
      <x:c r="AA56" s="1144"/>
    </x:row>
    <x:row r="57" spans="1:192" ht="15" hidden="1" customHeight="1" x14ac:dyDescent="0.25">
      <x:c r="A57" s="1001" t="e">
        <x:f>IF(#REF!="","",UPPER(#REF!))</x:f>
        <x:v>#REF!</x:v>
      </x:c>
      <x:c r="B57" s="1679" t="e">
        <x:f>IF(#REF!="","",#REF!)</x:f>
        <x:v>#REF!</x:v>
      </x:c>
      <x:c r="C57" s="1002" t="e">
        <x:f>IF(#REF!="","",UPPER(#REF!))</x:f>
        <x:v>#REF!</x:v>
      </x:c>
      <x:c r="D57" s="998" t="str">
        <x:f>IF(DP57="","",TRUNC(DP57/12))</x:f>
        <x:v/>
      </x:c>
      <x:c r="E57" s="1097" t="str">
        <x:f>IF(DP57="","",DP57-(D57*12))</x:f>
        <x:v/>
      </x:c>
      <x:c r="F57" s="1000" t="str">
        <x:f>IF(DX57=0,"",TRUNC(DX57/12))</x:f>
        <x:v/>
      </x:c>
      <x:c r="G57" s="999" t="str">
        <x:f>IF(DX57=0,"",DX57-(F57*12))</x:f>
        <x:v/>
      </x:c>
      <x:c r="H57" s="1003" t="str">
        <x:f>IF(DX57=0,"",CW57)</x:f>
        <x:v/>
      </x:c>
      <x:c r="I57" s="998" t="str">
        <x:f>IF(ED57=0,"",TRUNC(ED57/12))</x:f>
        <x:v/>
      </x:c>
      <x:c r="J57" s="999" t="str">
        <x:f>IF(ED57=0,"",ED57-(I57*12))</x:f>
        <x:v/>
      </x:c>
      <x:c r="K57" s="1098" t="str">
        <x:f>IF(ED57=0,"",DG57)</x:f>
        <x:v/>
      </x:c>
      <x:c r="L57" s="1045">
        <x:f>DQ57</x:f>
        <x:v>0</x:v>
      </x:c>
      <x:c r="M57" s="1047">
        <x:f>DR57</x:f>
        <x:v>0</x:v>
      </x:c>
      <x:c r="N57" s="1000" t="str">
        <x:f>IF(ES57="","",IF(AND(ES57&lt;0,ES57&gt;-12),TRUNC(ES57/12)-0.0000001,TRUNC(ES57/12)))</x:f>
        <x:v/>
      </x:c>
      <x:c r="O57" s="999" t="str">
        <x:f>IF(ES57="","",IF(AND(ES57-(N57*12)=0,ES57&lt;0),-0.000001,ES57-(N57*12)))</x:f>
        <x:v/>
      </x:c>
      <x:c r="P57" s="1317" t="str">
        <x:f>IF(ES57="","",IF(OR(CW57="Q",CW57="C"),3,CZ57))</x:f>
        <x:v/>
      </x:c>
      <x:c r="Q57" s="998" t="str">
        <x:f>IF(ET57="","",IF(AND(ET57&lt;0,ET57&gt;-12),TRUNC(ET57/12)-0.0000001,TRUNC(ET57/12)))</x:f>
        <x:v/>
      </x:c>
      <x:c r="R57" s="999" t="str">
        <x:f>IF(ET57="","",IF(AND(ET57-(Q57*12)=0,ET57&lt;0),-0.000001,ET57-(Q57*12)))</x:f>
        <x:v/>
      </x:c>
      <x:c r="S57" s="1318" t="str">
        <x:f>IF(ET57="","",IF(OR(DG57="Q",DG57="C"),3,DJ57))</x:f>
        <x:v/>
      </x:c>
      <x:c r="T57" s="1000"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95">
        <x:f>IF(EV57="",0,EV57)</x:f>
        <x:v>0</x:v>
      </x:c>
      <x:c r="Y57" s="1069">
        <x:f>FG57</x:f>
        <x:v>0</x:v>
      </x:c>
      <x:c r="Z57" s="1070">
        <x:f>FL57</x:f>
        <x:v>0</x:v>
      </x:c>
      <x:c r="AA57" s="1068" t="e">
        <x:f>CONCATENATE(IF(#REF!="","",CONCATENATE("[",SUBSTITUTE(#REF!," ",""),"]")),IF(#REF!="","",CONCATENATE("(",SUBSTITUTE(#REF!," ",""),") ")))</x:f>
        <x:v>#REF!</x:v>
      </x:c>
      <x:c r="GA57" s="599" t="str">
        <x:f t="shared" ref="GA57" si="124">IF(GF57="","",BE57)</x:f>
        <x:v/>
      </x:c>
      <x:c r="GB57" s="619" t="str">
        <x:f t="shared" ref="GB57" si="125">IF(GF57="","",BF57)</x:f>
        <x:v/>
      </x:c>
      <x:c r="GC57" s="621" t="str">
        <x:f t="shared" ref="GC57" si="126">IF(GF57="","",IF(CV57="",0,CV57))</x:f>
        <x:v/>
      </x:c>
      <x:c r="GD57" s="622" t="str">
        <x:f t="shared" ref="GD57" si="127">IF(GF57="","",IF(DF57="",0,DF57))</x:f>
        <x:v/>
      </x:c>
      <x:c r="GE57" s="620"/>
      <x:c r="GF57" s="600"/>
      <x:c r="GG57" s="1646"/>
      <x:c r="GH57" s="1647"/>
      <x:c r="GI57" s="1646"/>
      <x:c r="GJ57" s="1647"/>
    </x:row>
    <x:row r="58" spans="1:192" ht="15" hidden="1" customHeight="1" x14ac:dyDescent="0.2">
      <x:c r="AA58" s="1145"/>
    </x:row>
    <x:row r="59" spans="1:192" ht="15" hidden="1" customHeight="1" x14ac:dyDescent="0.2"/>
    <x:row r="60" spans="1:192" ht="15" hidden="1" customHeight="1" x14ac:dyDescent="0.2">
      <x:c r="A60" s="892" t="s">
        <x:v>1176</x:v>
      </x:c>
    </x:row>
    <x:row r="61" spans="1:192" ht="15" hidden="1" customHeight="1" x14ac:dyDescent="0.2">
      <x:c r="A61" s="894" t="s">
        <x:v>1645</x:v>
      </x:c>
    </x:row>
    <x:row r="62" spans="1:192" ht="15" hidden="1" customHeight="1" x14ac:dyDescent="0.2"/>
    <x:row r="63" spans="1:192" ht="15" hidden="1" customHeight="1" x14ac:dyDescent="0.2"/>
    <x:row r="64" spans="1:192" ht="15" hidden="1" customHeight="1" x14ac:dyDescent="0.2"/>
    <x:row r="65" spans="1:213" ht="15" hidden="1" customHeight="1" x14ac:dyDescent="0.2"/>
    <x:row r="66" spans="1:213" ht="15" hidden="1" customHeight="1" x14ac:dyDescent="0.2"/>
    <x:row r="67" spans="1:213" ht="15" hidden="1" customHeight="1" x14ac:dyDescent="0.2">
      <x:c r="CB67" s="245" t="s">
        <x:v>799</x:v>
      </x:c>
    </x:row>
    <x:row r="68" spans="1:213" ht="15" hidden="1" customHeight="1" x14ac:dyDescent="0.2">
      <x:c r="CA68" s="245" t="s">
        <x:v>800</x:v>
      </x:c>
      <x:c r="CB68" s="567">
        <x:f>IF(ISBLANK(BD68),0,IF(CX68&gt;VLOOKUP($DF$2:$DN$9,AU68,3,FALSE),"X",0))</x:f>
        <x:v>0</x:v>
      </x:c>
      <x:c r="CC68" s="568">
        <x:f>IF(FV68&gt;0.0625,CEILING(FV68-0.0625,0.125),FV68)</x:f>
        <x:v>0</x:v>
      </x:c>
    </x:row>
    <x:row r="69" spans="1:213" ht="15" hidden="1" customHeight="1" x14ac:dyDescent="0.25">
      <x:c r="CA69" s="245" t="s">
        <x:v>801</x:v>
      </x:c>
      <x:c r="CB69" s="569" t="e">
        <x:f>IF(FU69&gt;0.0625,CEILING(FU69-0.0625,0.125),FU69)</x:f>
        <x:v>#REF!</x:v>
      </x:c>
      <x:c r="CC69" s="570" t="e">
        <x:f>IF(FV69&gt;0.0625,CEILING(FV69-0.0625,0.125),FV69)</x:f>
        <x:v>#REF!</x:v>
      </x:c>
      <x:c r="CS69" s="2323">
        <x:v>40961</x:v>
      </x:c>
      <x:c r="CT69" s="2324"/>
      <x:c r="CU69" s="115" t="e">
        <x:f>IF(#REF!="","",IF(VLOOKUP(#REF!,SectInfo!$B:$N,5,FALSE)="","R",UPPER(VLOOKUP(#REF!,SectInfo!$B:$N,5,FALSE))))</x:f>
        <x:v>#REF!</x:v>
      </x:c>
      <x:c r="CV69" s="115" t="e">
        <x:f>IF(#REF!="","",VLOOKUP(#REF!,SectInfo!$B:$N,6,FALSE))</x:f>
        <x:v>#REF!</x:v>
      </x:c>
      <x:c r="CW69" s="115" t="e">
        <x:f>IF(#REF!="","",IF(VLOOKUP(#REF!,SectInfo!$B:$N,10,FALSE)="","",(VLOOKUP(#REF!,SectInfo!$B:$N,10,FALSE)*-1)))</x:f>
        <x:v>#REF!</x:v>
      </x:c>
      <x:c r="CX69" s="118" t="e">
        <x:f>IF(#REF!="","",IF(VLOOKUP(#REF!,SectInfo!$B:$N,11,FALSE)="","",(VLOOKUP(#REF!,SectInfo!$B:$N,11,FALSE))))</x:f>
        <x:v>#REF!</x:v>
      </x:c>
      <x:c r="CY69" s="115" t="e">
        <x:f>IF(#REF!="","",IF(VLOOKUP(#REF!,SectInfo!$B:$N,7,FALSE)="","",(VLOOKUP(#REF!,SectInfo!$B:$N,7,FALSE)*-1)))</x:f>
        <x:v>#REF!</x:v>
      </x:c>
      <x:c r="CZ69" s="115" t="e">
        <x:f>IF(#REF!="","",IF(VLOOKUP(#REF!,SectInfo!$B:$N,8,FALSE)="",IF(OR(DM69="K",DM69="KCS",DM69="JS"),$CZ$4,$CZ$5),(VLOOKUP(#REF!,SectInfo!$B:$N,8,FALSE))))</x:f>
        <x:v>#REF!</x:v>
      </x:c>
      <x:c r="DA69" s="115" t="e">
        <x:f>IF(#REF!="","",VLOOKUP(#REF!,SectInfo!$B:$N,9,FALSE))</x:f>
        <x:v>#REF!</x:v>
      </x:c>
      <x:c r="DB69" s="107" t="e">
        <x:f>#REF!</x:f>
        <x:v>#REF!</x:v>
      </x:c>
      <x:c r="DC69" s="114" t="e">
        <x:f>IF(#REF!="","",VLOOKUP(#REF!,SectInfo!$B:$N,12,FALSE))</x:f>
        <x:v>#REF!</x:v>
      </x:c>
      <x:c r="DD69" s="115" t="e">
        <x:f>IF(#REF!="","",IF(ISBLANK(#REF!),VLOOKUP(#REF!,SectInfo!$B:$N,13,FALSE),#REF!))</x:f>
        <x:v>#REF!</x:v>
      </x:c>
      <x:c r="DE69" s="115" t="e">
        <x:f>IF(#REF!="","",IF(VLOOKUP(#REF!,SectInfo!$B:$N,5,FALSE)="","R",UPPER(VLOOKUP(#REF!,SectInfo!$B:$N,5,FALSE))))</x:f>
        <x:v>#REF!</x:v>
      </x:c>
      <x:c r="DF69" s="115" t="e">
        <x:f>IF(#REF!="","",VLOOKUP(#REF!,SectInfo!$B:$N,6,FALSE))</x:f>
        <x:v>#REF!</x:v>
      </x:c>
      <x:c r="DG69" s="115" t="e">
        <x:f>IF(#REF!="","",IF(VLOOKUP(#REF!,SectInfo!$B:$N,10,FALSE)="","",(VLOOKUP(#REF!,SectInfo!$B:$N,10,FALSE)*-1)))</x:f>
        <x:v>#REF!</x:v>
      </x:c>
      <x:c r="DH69" s="118" t="e">
        <x:f>IF(#REF!="","",IF(VLOOKUP(#REF!,SectInfo!$B:$N,11,FALSE)="","",(VLOOKUP(#REF!,SectInfo!$B:$N,11,FALSE))))</x:f>
        <x:v>#REF!</x:v>
      </x:c>
      <x:c r="DI69" s="115" t="e">
        <x:f>IF(#REF!="","",IF(VLOOKUP(#REF!,SectInfo!$B:$N,7,FALSE)="","",(VLOOKUP(#REF!,SectInfo!$B:$N,7,FALSE)*-1)))</x:f>
        <x:v>#REF!</x:v>
      </x:c>
      <x:c r="DJ69" s="115" t="e">
        <x:f>IF(#REF!="","",IF(VLOOKUP(#REF!,SectInfo!$B:$N,8,FALSE)="",IF(OR(DM69="K",DM69="KCS",DM69="JS"),$CZ$4,$CZ$5),(VLOOKUP(#REF!,SectInfo!$B:$N,8,FALSE))))</x:f>
        <x:v>#REF!</x:v>
      </x:c>
      <x:c r="DK69" s="115" t="e">
        <x:f>IF(#REF!="","",VLOOKUP(#REF!,SectInfo!$B:$N,9,FALSE))</x:f>
        <x:v>#REF!</x:v>
      </x:c>
      <x:c r="DL69" s="107" t="e">
        <x:f>#REF!</x:f>
        <x:v>#REF!</x:v>
      </x:c>
      <x:c r="DM69" s="116">
        <x:f>IF(IF(AX62="",AW62,AX62)="SLH","DLH",IF(IF(AX62="",AW62,AX62)="CJ","LH",IF(AX62="",AW62,AX62)))</x:f>
        <x:v>0</x:v>
      </x:c>
      <x:c r="DN69" s="125" t="e">
        <x:f>IF(#REF!="",0,ATAN(#REF!/12))</x:f>
        <x:v>#REF!</x:v>
      </x:c>
      <x:c r="DO69" s="109" t="e">
        <x:f>IF(OR(CT69="",#REF!="",DD69=""),"",CEILING(IF(AND(#REF!="",#REF!=""),"",((#REF!*12+#REF!)+CT69+DD69)/COS(FO69))-0.0625,0.125))</x:f>
        <x:v>#REF!</x:v>
      </x:c>
      <x:c r="DP69" s="109" t="e">
        <x:f>IF(OR(CV69="",#REF!="",DF69=""),"",CEILING(IF(AND(#REF!="",#REF!=""),"",((#REF!*12+#REF!)+CV69+DF69)/COS(FN69))-0.0625,0.125))</x:f>
        <x:v>#REF!</x:v>
      </x:c>
      <x:c r="DQ69" s="109" t="str">
        <x:f>IF(AU54="","",IF(ABS(FF69)&lt;ABS($CX$2),CX69,IF(FF69=0,CX69,CEILING((CX69+((DW69-CV69)/12)*FF69)-0.0625,0.125))))</x:f>
        <x:v/>
      </x:c>
      <x:c r="DR69" s="109" t="str">
        <x:f>IF(AU54="","",IF(ABS(FK69)&lt;ABS($CX$2),DH69,IF(FK69=0,DH69,CEILING((DH69+((EC69-DF69)/12)*FK69)-0.0625,0.125))))</x:f>
        <x:v/>
      </x:c>
      <x:c r="DS69" s="110" t="e">
        <x:f>IF(#REF!="",0,RADIANS(ABS(#REF!)))</x:f>
        <x:v>#REF!</x:v>
      </x:c>
      <x:c r="DT69" s="110" t="e">
        <x:f>MIN(IF(#REF!&gt;0,#REF!/2,MAX(#REF!/2,DC69)),IF(#REF!&gt;0,#REF!/2,MAX(#REF!/2,DC69)),IF(DC69&gt;0,DC69,MAX(#REF!/2,#REF!/2)))/COS(DS69)</x:f>
        <x:v>#REF!</x:v>
      </x:c>
      <x:c r="DU69" s="110" t="e">
        <x:f>IF(CV69="","",IF(DC69&gt;=0,MAX(#REF!/2,#REF!/2,DC69),DC69)/COS(DS69))</x:f>
        <x:v>#REF!</x:v>
      </x:c>
      <x:c r="DV69" s="109" t="e">
        <x:f>IF(CV69="","",CV69+DU69+IF(OR(AU54="K",AU54="KCS"),$CV$4/2,$CV$5/2)*TAN(DS69))</x:f>
        <x:v>#REF!</x:v>
      </x:c>
      <x:c r="DW69" s="501" t="e">
        <x: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x:f>
        <x:v>#REF!</x:v>
      </x:c>
      <x:c r="DX69" s="111" t="e">
        <x:f>IF(CV69="",0,IF(DW69/COS(FN69)&lt;0.0625,0,CEILING(DW69/COS(FN69)-0.0625,0.125)))</x:f>
        <x:v>#REF!</x:v>
      </x:c>
      <x:c r="DY69" s="109" t="e">
        <x:f>RADIANS(ABS(#REF!))</x:f>
        <x:v>#REF!</x:v>
      </x:c>
      <x:c r="DZ69" s="110" t="e">
        <x:f>MIN(IF(#REF!&gt;0,#REF!/2,MAX(#REF!/2,DM69)),IF(#REF!&gt;0,#REF!/2,MAX(#REF!/2,DM69)),IF(DM69&gt;0,DM69,MAX(#REF!/2,#REF!/2)))/COS(DY69)</x:f>
        <x:v>#REF!</x:v>
      </x:c>
      <x:c r="EA69" s="110" t="e">
        <x:f>IF(DF69="","",IF(DM69&gt;=0,MAX(#REF!/2,#REF!/2,DM69),DM69)/COS(DY69))</x:f>
        <x:v>#REF!</x:v>
      </x:c>
      <x:c r="EB69" s="109" t="e">
        <x:f>IF(DF69="","",DF69+EA69+IF(OR(AU54="K",AU54="KCS"),$CV$4/2,$CV$5/2)*TAN(DY69))</x:f>
        <x:v>#REF!</x:v>
      </x:c>
      <x:c r="EC69" s="501" t="e">
        <x: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x:f>
        <x:v>#REF!</x:v>
      </x:c>
      <x:c r="ED69" s="111" t="e">
        <x:f>IF(DF69="",0,IF(EC69/COS(FN69)&lt;0.0625,0,CEILING(EC69/COS(FN69)-0.0625,0.125)))</x:f>
        <x:v>#REF!</x:v>
      </x:c>
      <x:c r="EE69" s="109" t="e">
        <x:f>IF(AND(EZ69="",DA69=""),"",IF(EZ69="ERR","ERR",IF(ISNUMBER(EZ69),(EZ69/2)*-1,DA69)))</x:f>
        <x:v>#REF!</x:v>
      </x:c>
      <x:c r="EF69" s="109" t="e">
        <x:f>IF(EE69="ERR","ERR",IF(EE69="","",IF(OR(AND(OR(AU54="K",AU54="KCS"),(DB69*TAN(DS69)&lt;=($DB$4-($DA$4-0.0625)))),AND(OR(AU54="LH",AU54="DLH"),(DB69*TAN(DS69)&lt;=($DB$5-($DA$5-0.0625))))),CV69-(EE69-FH69)/COS(DS69)-IF(MID(CW69,1,1)="R",0,DW69),(ABS(EE69-FH69)/COS(DS69)+CV69)-((DB69/2)*TAN(DS69))-IF(MID(CW69,1,1)="R",0,DW69))))</x:f>
        <x:v>#REF!</x:v>
      </x:c>
      <x:c r="EG69" s="109" t="e">
        <x:f>IF(EE69="ERR","ERR",IF(EE69="","",IF(OR(AND(OR(AU54="K",AU54="KCS"),(DB69*TAN(DS69)&lt;=($DB$4-($DA$4-0.0625)))),AND(OR(AU54="LH",AU54="DLH"),(DB69*TAN(DS69)&lt;=($DB$5-($DA$5-0.0625))))),CV69-(EE69-FH69)/COS(DS69)-IF(MID(CW69,1,1)="R",0,DW69),(ABS(EE69-FH69)/COS(DS69)+CV69)+((DB69/2)*TAN(DS69))-IF(MID(CW69,1,1)="R",0,DW69))))</x:f>
        <x:v>#REF!</x:v>
      </x:c>
      <x:c r="EH69" s="109" t="e">
        <x: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x:f>
        <x:v>#REF!</x:v>
      </x:c>
      <x:c r="EI69" s="109" t="e">
        <x: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x:f>
        <x:v>#REF!</x:v>
      </x:c>
      <x:c r="EJ69" s="109" t="str">
        <x:f>IF(ISERROR(EF69),"ERR",IF(EF69="","",IF(EH69="ERR","ERR",CEILING(EH69-0.0625,0.125))))</x:f>
        <x:v>ERR</x:v>
      </x:c>
      <x:c r="EK69" s="109" t="str">
        <x:f>IF(ISERROR(EG69),"ERR",IF(EG69="","",IF(EI69="ERR","ERR",CEILING(EI69-0.0625,0.125))))</x:f>
        <x:v>ERR</x:v>
      </x:c>
      <x:c r="EL69" s="109" t="e">
        <x:f>IF(AND(FC69="",DK69=""),"",IF(FC69="ERR","ERR",IF(ISNUMBER(FC69),(FC69/2)*-1,DK69)))</x:f>
        <x:v>#REF!</x:v>
      </x:c>
      <x:c r="EM69" s="109" t="e">
        <x:f>IF(EL69="ERR","ERR",IF(EL69="","",IF(OR(AND(OR(AU54="K",AU54="KCS"),(DL69*TAN(DY69)&lt;=($DB$4-($DA$4-0.0625)))),AND(OR(AU54="LH",AU54="DLH"),(DL69*TAN(DY69)&lt;=($DB$5-($DA$5-0.0625))))),DF69-(EL69-FM69)/COS(DY69)-IF(MID(DG69,1,1)="R",0,EC69),(ABS(EL69-FM69)/COS(DY69)+DF69)-((DL69/2)*TAN(DY69))-IF(MID(DG69,1,1)="R",0,EC69))))</x:f>
        <x:v>#REF!</x:v>
      </x:c>
      <x:c r="EN69" s="109" t="e">
        <x:f>IF(EL69="ERR","ERR",IF(EL69="","",IF(OR(AND(OR(AU54="K",AU54="KCS"),(DL69*TAN(DY69)&lt;=($DB$4-($DA$4-0.0625)))),AND(OR(AU54="LH",AU54="DLH"),(DL69*TAN(DY69)&lt;=($DB$5-($DA$5-0.0625))))),DF69-(EL69-FM69)/COS(DY69)-IF(MID(DG69,1,1)="R",0,EC69),(ABS(EL69-FM69)/COS(DY69)+DF69)+((DL69/2)*TAN(DY69))-IF(MID(DG69,1,1)="R",0,EC69))))</x:f>
        <x:v>#REF!</x:v>
      </x:c>
      <x:c r="EO69" s="109" t="e">
        <x: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x:f>
        <x:v>#REF!</x:v>
      </x:c>
      <x:c r="EP69" s="109" t="e">
        <x: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x:f>
        <x:v>#REF!</x:v>
      </x:c>
      <x:c r="EQ69" s="109" t="str">
        <x:f>IF(ISERROR(EM69),"ERR",IF(EM69="","",IF(EO69="ERR","ERR",CEILING(EO69-0.0625,0.125))))</x:f>
        <x:v>ERR</x:v>
      </x:c>
      <x:c r="ER69" s="109" t="str">
        <x:f>IF(ISERROR(EN69),"ERR",IF(EN69="","",IF(EP69="ERR","ERR",CEILING(EP69-0.0625,0.125))))</x:f>
        <x:v>ERR</x:v>
      </x:c>
      <x:c r="ES69" s="501" t="e">
        <x:f>IF(OR(CY69="",AU54="JS",AU54="HDR",#REF!=""),"",IF((CV69-CY69)/COS(DO69)-FS69&lt;=-0.0625,CEILING((CV69-CY69)/COS(DO69)-FS69+0.0625,-0.125),IF((CV69-CY69)/COS(DO69)-FS69&gt;=0.0625,CEILING((CV69-CY69)/COS(DO69)-FS69-0.0625,0.125),0)))</x:f>
        <x:v>#REF!</x:v>
      </x:c>
      <x:c r="ET69" s="501" t="e">
        <x:f>IF(OR(DI69="",AU54="JS",AU54="HDR",#REF!=""),"",IF((DF69-DI69)/COS(DO69)-FT69&lt;=-0.0625,CEILING((DF69-DI69)/COS(DO69)-FT69+0.0625,-0.125),IF((DF69-DI69)/COS(DO69)-FT69&gt;=0.0625,CEILING((DF69-DI69)/COS(DO69)-FT69-0.0625,0.125),0)))</x:f>
        <x:v>#REF!</x:v>
      </x:c>
      <x:c r="EU69" s="112" t="str">
        <x:f>IF(AU54="","",IF(OR(AU54="K",AU54="KCS",AU54="JS"),$CZ$4,$CZ$5))</x:f>
        <x:v/>
      </x:c>
      <x:c r="EV69" s="113" t="e">
        <x:f>IF(AND(EK69="",ER69=""),"",IF(OR(IF(ISBLANK(#REF!),FALSE,DB69=EU69),IF(ISBLANK(#REF!),FALSE,DL69=EU69)),EU69,DB69))</x:f>
        <x:v>#REF!</x:v>
      </x:c>
      <x:c r="EW69" s="112" t="e">
        <x:f>IF(#REF!="","",CEILING(IF(OR(AU54="K",AU54="KCS"),2.5/COS(DO69)+$CX$4/12*ABS(#REF!)+0.5,IF(OR(AU54="LH",AU54="DLH"),5/COS(DO69)+$CX$5/12*ABS(#REF!)+0.5,0)),0.125))</x:f>
        <x:v>#REF!</x:v>
      </x:c>
      <x:c r="EX69" s="112" t="e">
        <x:f>(IF(CU69="G",VLOOKUP(MIN(#REF!),TblJoistSize!$M$3:$N$10,2),IF(CU69="B",MIN(#REF!),"")))</x:f>
        <x:v>#REF!</x:v>
      </x:c>
      <x:c r="EY69" s="112" t="e">
        <x:f>(IF(CU69="G",VLOOKUP(MAX(#REF!),TblJoistSize!$M$3:$N$10,2),IF(CU69="B",MAX(#REF!),"")))</x:f>
        <x:v>#REF!</x:v>
      </x:c>
      <x:c r="EZ69" s="112" t="e">
        <x:f>IF(#REF!="X",IF((EY69-EX69)/2&lt;=IF(OR(AU54="K",AU54="KCS",AU54="JS"),($DB$4-($DA$4-0.0625)),($DB$5-($DA$5-0.0625))),(EX69+EY69)/2,"ERR"),"")</x:f>
        <x:v>#REF!</x:v>
      </x:c>
      <x:c r="FA69" s="112" t="e">
        <x:f>(IF(DE69="G",VLOOKUP(MIN(#REF!),TblJoistSize!$M$3:$N$10,2),IF(DE69="B",MIN(#REF!),"")))</x:f>
        <x:v>#REF!</x:v>
      </x:c>
      <x:c r="FB69" s="112" t="e">
        <x:f>(IF(DE69="G",VLOOKUP(MAX(#REF!),TblJoistSize!$M$3:$N$10,2),IF(DE69="B",MAX(#REF!),"")))</x:f>
        <x:v>#REF!</x:v>
      </x:c>
      <x:c r="FC69" s="112" t="e">
        <x:f>IF(#REF!="X",IF((FB69-FA69)/2&lt;=IF(OR(AU54="K",AU54="KCS",AU54="JS"),($DB$4-($DA$4-0.0625)),($DB$5-($DA$5-0.0625))),(FA69+FB69)/2,"ERR"),"")</x:f>
        <x:v>#REF!</x:v>
      </x:c>
      <x:c r="FD69" s="110" t="e">
        <x:f>IF(DD69="",0,ATAN(DD69/12))</x:f>
        <x:v>#REF!</x:v>
      </x:c>
      <x:c r="FE69" s="110" t="e">
        <x:f>DO69-FD69</x:f>
        <x:v>#REF!</x:v>
      </x:c>
      <x:c r="FF69" s="110" t="e">
        <x:f>TAN(FE69)*12</x:f>
        <x:v>#REF!</x:v>
      </x:c>
      <x:c r="FG69" s="110" t="e">
        <x:f>IF(FF69=0,"",IF(ABS(FF69)&lt;$CX$2,IF(AND(ABS(MIN(DV69,FQ69)/12*FF69)&gt;$DD$2,FF69&gt;0),IF(FF69&gt;0,CEILING(FF69-0.0625,0.125),CEILING(FF69+0.0625,-0.125)),""),IF(FF69&gt;0,CEILING(FF69-0.0625,0.125),CEILING(FF69+0.0625,-0.125))))</x:f>
        <x:v>#REF!</x:v>
      </x:c>
      <x:c r="FH69" s="109" t="e">
        <x:f>IF(CX69="","",CX69*TAN(FD69))</x:f>
        <x:v>#REF!</x:v>
      </x:c>
      <x:c r="FI69" s="110" t="e">
        <x:f>IF(DN69="",0,ATAN(DN69/12))</x:f>
        <x:v>#REF!</x:v>
      </x:c>
      <x:c r="FJ69" s="110" t="e">
        <x:f>DO69+FI69</x:f>
        <x:v>#REF!</x:v>
      </x:c>
      <x:c r="FK69" s="110" t="e">
        <x:f>TAN(FJ69)*-12</x:f>
        <x:v>#REF!</x:v>
      </x:c>
      <x:c r="FL69" s="110" t="e">
        <x:f>IF(FK69=0,"",IF(ABS(FK69)&lt;$CX$2,IF(AND(ABS(MIN(EB69,FR69)/12*FK69)&gt;$DD$2,FK69&gt;0),IF(FK69&gt;0,CEILING(FK69-0.0625,0.125),CEILING(FK69+0.0625,-0.125)),""),IF(FK69&gt;0,CEILING(FK69-0.0625,0.125),CEILING(FK69+0.0625,-0.125))))</x:f>
        <x:v>#REF!</x:v>
      </x:c>
      <x:c r="FM69" s="109" t="e">
        <x:f>IF(DH69="","",DH69*TAN(FI69))</x:f>
        <x:v>#REF!</x:v>
      </x:c>
      <x:c r="FN69" s="109" t="e">
        <x:f>IF((#REF!*12+#REF!)/COS(DO69)-(#REF!*12+#REF!)&lt;$DB$2,0,DO69)</x:f>
        <x:v>#REF!</x:v>
      </x:c>
      <x:c r="FO69" s="134" t="e">
        <x:f>CEILING(MIN(IF(#REF!&gt;0,#REF!/2,MAX(#REF!/2,DC69)),IF(#REF!&gt;0,#REF!/2,MAX(#REF!/2,DC69)),IF(DC69&gt;0,DC69,MAX(#REF!/2,#REF!/2)))/COS(DS69)+CV69-DW69-0.0625,0.125)</x:f>
        <x:v>#REF!</x:v>
      </x:c>
      <x:c r="FP69" s="134" t="e">
        <x:f>CEILING(MIN(IF(#REF!&gt;0,#REF!/2,MAX(#REF!/2,DM69)),IF(#REF!&gt;0,#REF!/2,MAX(#REF!/2,DM69)),IF(DM69&gt;0,DM69,MAX(#REF!/2,#REF!/2)))/COS(DY69)+DF69-EC69-0.0625,0.125)</x:f>
        <x:v>#REF!</x:v>
      </x:c>
      <x:c r="FQ69" s="238" t="e">
        <x:f>IF(OR(CU69="M", CU69="B",CU69="G"),MAX(#REF!,#REF!),DC69+CY69)</x:f>
        <x:v>#REF!</x:v>
      </x:c>
      <x:c r="FR69" s="449" t="e">
        <x:f>IF(OR(DE69="M", DE69="B",DE69="G"),MAX(#REF!,#REF!),DM69+DI69)</x:f>
        <x:v>#REF!</x:v>
      </x:c>
      <x:c r="FS69" s="558" t="e">
        <x:f>IF(CY69="","",IF(ABS(#REF!*((AJ54-IF(#REF!&gt;0,VLOOKUP(AU54,$DF$2:$DN$9,9,FALSE),0))/12))&gt;$CZ$2,#REF!*((AJ54-IF(#REF!&gt;0,VLOOKUP(AU54,$DF$2:$DN$9,9,FALSE),0))/12),0))</x:f>
        <x:v>#REF!</x:v>
      </x:c>
      <x:c r="FT69" s="559" t="e">
        <x:f>IF(DI69="","",IF(ABS(#REF!*((AJ54-IF(#REF!&lt;0,VLOOKUP(AU54,$DF$2:$DN$9,9,FALSE),0))/12))&gt;$CZ$2,#REF!*((AJ54-IF(#REF!&lt;0,VLOOKUP(AU54,$DF$2:$DN$9,9,FALSE),0))/12)*-1,0))</x:f>
        <x:v>#REF!</x:v>
      </x:c>
      <x:c r="FU69" s="560" t="e">
        <x:f>IF(CX69="",0,MAX(0,MIN(DV69-VLOOKUP(AU54,DF$2:DN$9,4,FALSE),(MAX(0,CX69-VLOOKUP(AU54,DF$2:DN$9,3,FALSE))+VLOOKUP(AU54,DF$2:DN$9,4,FALSE))*COS(DO69)+((MAX(0,CX69-VLOOKUP(AU54,DF$2:DN$9,3,FALSE))+VLOOKUP(AU54,DF$2:DN$9,4,FALSE))*COS(PI()/2-DO69))/TAN(PI()/2-(DO69+PI()/4))-VLOOKUP(AU54,DF$2:DN$9,4,FALSE))))</x:f>
        <x:v>#REF!</x:v>
      </x:c>
      <x:c r="FV69" s="561" t="e">
        <x:f>IF(DH69="",0,MAX(0,MIN(EB69-VLOOKUP(AU54,DF$2:DN$9,4,FALSE),(MAX(0,DH69-VLOOKUP(AU54,DF$2:DN$9,3,FALSE))+VLOOKUP(AU54,DF$2:DN$9,4,FALSE))*COS(DO69)+((MAX(0,DH69-VLOOKUP(AU54,DF$2:DN$9,3,FALSE))+VLOOKUP(AU54,DF$2:DN$9,4,FALSE))*COS(PI()/2-DO69))/TAN(PI()/2-(DO69+PI()/4))-VLOOKUP(AU54,DF$2:DN$9,4,FALSE))))</x:f>
        <x:v>#REF!</x:v>
      </x:c>
    </x:row>
    <x:row r="70" spans="1:213" s="1008" customFormat="1" ht="15" hidden="1" customHeight="1" thickBot="1" x14ac:dyDescent="0.25">
      <x:c r="AI70" s="1085"/>
      <x:c r="HD70" s="1195"/>
      <x:c r="HE70" s="1196"/>
    </x:row>
    <x:row r="71" spans="1:213" ht="15" customHeight="1" x14ac:dyDescent="0.2">
      <x:c r="A71" s="907" t="s">
        <x:v>721</x:v>
      </x:c>
      <x:c r="EL71" s="2326" t="s">
        <x:v>524</x:v>
      </x:c>
      <x:c r="EM71" s="2327"/>
      <x:c r="EN71" s="2327"/>
      <x:c r="EO71" s="2328"/>
    </x:row>
    <x:row r="73" spans="1:213" ht="12.75" customHeight="1" x14ac:dyDescent="0.2"/>
    <x:row r="74" spans="1:213" ht="12.75" customHeight="1" x14ac:dyDescent="0.2"/>
    <x:row r="75" spans="1:213" ht="12.75" customHeight="1" x14ac:dyDescent="0.2"/>
    <x:row r="76" spans="1:213" ht="13.5" customHeight="1" x14ac:dyDescent="0.2"/>
  </x:sheetData>
  <x:sheetProtection algorithmName="SHA-512" hashValue="U8ddArm/EaWic4zwYdzgXzJNNB5ZswOPDwqSRSWxpgrgB7QmzdH6YTGtH/lxWhg0s54nlvkCmvaJLLBRCAmJJw==" saltValue="5Q4pV/i5PlamGgKqR4lG5w==" spinCount="100000" sheet="1" objects="1" scenarios="1" selectLockedCells="1"/>
  <x:dataConsolidate link="1"/>
  <x:mergeCells count="192">
    <x:mergeCell ref="GZ17:GZ18"/>
    <x:mergeCell ref="M7:S7"/>
    <x:mergeCell ref="C9:O9"/>
    <x:mergeCell ref="S9:AA9"/>
    <x:mergeCell ref="C10:O10"/>
    <x:mergeCell ref="S10:W10"/>
    <x:mergeCell ref="Z10:AA10"/>
    <x:mergeCell ref="P1:S1"/>
    <x:mergeCell ref="P2:S3"/>
    <x:mergeCell ref="P4:S4"/>
    <x:mergeCell ref="A5:M5"/>
    <x:mergeCell ref="M6:T6"/>
    <x:mergeCell ref="Y6:Z6"/>
    <x:mergeCell ref="BB21:BB22"/>
    <x:mergeCell ref="BC21:BC22"/>
    <x:mergeCell ref="BD21:BD22"/>
    <x:mergeCell ref="BE21:BF22"/>
    <x:mergeCell ref="EQ13:EQ14"/>
    <x:mergeCell ref="EU13:EU14"/>
    <x:mergeCell ref="EV13:EV14"/>
    <x:mergeCell ref="EW13:EW14"/>
    <x:mergeCell ref="CC15:CF15"/>
    <x:mergeCell ref="BO21:BO22"/>
    <x:mergeCell ref="BP21:BR21"/>
    <x:mergeCell ref="BS21:BS22"/>
    <x:mergeCell ref="BT21:BU22"/>
    <x:mergeCell ref="BV21:BV22"/>
    <x:mergeCell ref="BW21:BX22"/>
    <x:mergeCell ref="BG21:BG22"/>
    <x:mergeCell ref="BH21:BI22"/>
    <x:mergeCell ref="BJ21:BJ22"/>
    <x:mergeCell ref="BK21:BL22"/>
    <x:mergeCell ref="BM21:BM22"/>
    <x:mergeCell ref="BN21:BN22"/>
    <x:mergeCell ref="CL21:CM21"/>
    <x:mergeCell ref="CU21:CU22"/>
    <x:mergeCell ref="CV21:CV22"/>
    <x:mergeCell ref="A21:A22"/>
    <x:mergeCell ref="B21:B22"/>
    <x:mergeCell ref="C21:C22"/>
    <x:mergeCell ref="D21:E22"/>
    <x:mergeCell ref="F21:H21"/>
    <x:mergeCell ref="I21:K21"/>
    <x:mergeCell ref="FN19:FN22"/>
    <x:mergeCell ref="FQ19:FR20"/>
    <x:mergeCell ref="HA19:IF20"/>
    <x:mergeCell ref="AU20:AU22"/>
    <x:mergeCell ref="AV20:AW22"/>
    <x:mergeCell ref="BB20:BF20"/>
    <x:mergeCell ref="BG20:BR20"/>
    <x:mergeCell ref="BS20:CD20"/>
    <x:mergeCell ref="CE20:CE22"/>
    <x:mergeCell ref="CF20:CG21"/>
    <x:mergeCell ref="FH19:FH22"/>
    <x:mergeCell ref="FI19:FI22"/>
    <x:mergeCell ref="FJ19:FJ22"/>
    <x:mergeCell ref="FK19:FK22"/>
    <x:mergeCell ref="FL19:FL22"/>
    <x:mergeCell ref="FM19:FM22"/>
    <x:mergeCell ref="FB19:FB22"/>
    <x:mergeCell ref="FC19:FC22"/>
    <x:mergeCell ref="L21:M21"/>
    <x:mergeCell ref="N21:P21"/>
    <x:mergeCell ref="Q21:S21"/>
    <x:mergeCell ref="T21:X21"/>
    <x:mergeCell ref="Y21:Z21"/>
    <x:mergeCell ref="AZ21:AZ22"/>
    <x:mergeCell ref="CU20:DD20"/>
    <x:mergeCell ref="DE20:DN20"/>
    <x:mergeCell ref="GA20:GJ20"/>
    <x:mergeCell ref="FD19:FD22"/>
    <x:mergeCell ref="FE19:FE22"/>
    <x:mergeCell ref="FF19:FF22"/>
    <x:mergeCell ref="FG19:FG22"/>
    <x:mergeCell ref="EV19:EV22"/>
    <x:mergeCell ref="EW19:EW22"/>
    <x:mergeCell ref="EX19:EX22"/>
    <x:mergeCell ref="EY19:EY22"/>
    <x:mergeCell ref="EZ19:EZ22"/>
    <x:mergeCell ref="FA19:FA22"/>
    <x:mergeCell ref="BB18:CB19"/>
    <x:mergeCell ref="CD18:CG19"/>
    <x:mergeCell ref="CN19:CO21"/>
    <x:mergeCell ref="CP19:CQ21"/>
    <x:mergeCell ref="CR19:CR22"/>
    <x:mergeCell ref="CW21:CW22"/>
    <x:mergeCell ref="CX21:CX22"/>
    <x:mergeCell ref="CY21:CY22"/>
    <x:mergeCell ref="BY21:BY22"/>
    <x:mergeCell ref="BZ21:BZ22"/>
    <x:mergeCell ref="CA21:CA22"/>
    <x:mergeCell ref="CB21:CD21"/>
    <x:mergeCell ref="CH21:CJ21"/>
    <x:mergeCell ref="CK21:CK22"/>
    <x:mergeCell ref="CS19:CS22"/>
    <x:mergeCell ref="DF21:DF22"/>
    <x:mergeCell ref="DG21:DG22"/>
    <x:mergeCell ref="DH21:DH22"/>
    <x:mergeCell ref="DI21:DI22"/>
    <x:mergeCell ref="DJ21:DJ22"/>
    <x:mergeCell ref="DK21:DK22"/>
    <x:mergeCell ref="CZ21:CZ22"/>
    <x:mergeCell ref="DA21:DA22"/>
    <x:mergeCell ref="DB21:DB22"/>
    <x:mergeCell ref="DC21:DC22"/>
    <x:mergeCell ref="DD21:DD22"/>
    <x:mergeCell ref="DE21:DE22"/>
    <x:mergeCell ref="DR21:DR22"/>
    <x:mergeCell ref="DS21:DS22"/>
    <x:mergeCell ref="DT21:DU21"/>
    <x:mergeCell ref="DV21:DV22"/>
    <x:mergeCell ref="DW21:DW22"/>
    <x:mergeCell ref="DX21:DX22"/>
    <x:mergeCell ref="DL21:DL22"/>
    <x:mergeCell ref="DM21:DM22"/>
    <x:mergeCell ref="DN21:DN22"/>
    <x:mergeCell ref="DO21:DO22"/>
    <x:mergeCell ref="DP21:DP22"/>
    <x:mergeCell ref="DQ21:DQ22"/>
    <x:mergeCell ref="EF21:EG21"/>
    <x:mergeCell ref="EH21:EI21"/>
    <x:mergeCell ref="EJ21:EK21"/>
    <x:mergeCell ref="EL21:EL22"/>
    <x:mergeCell ref="EM21:EN21"/>
    <x:mergeCell ref="EO21:EP21"/>
    <x:mergeCell ref="DY21:DY22"/>
    <x:mergeCell ref="DZ21:EA21"/>
    <x:mergeCell ref="EB21:EB22"/>
    <x:mergeCell ref="EC21:EC22"/>
    <x:mergeCell ref="ED21:ED22"/>
    <x:mergeCell ref="EE21:EE22"/>
    <x:mergeCell ref="FQ21:FQ22"/>
    <x:mergeCell ref="FR21:FR22"/>
    <x:mergeCell ref="FS21:FS22"/>
    <x:mergeCell ref="FT21:FT22"/>
    <x:mergeCell ref="FU21:FV21"/>
    <x:mergeCell ref="GA21:GB21"/>
    <x:mergeCell ref="EQ21:ER21"/>
    <x:mergeCell ref="ES21:ES22"/>
    <x:mergeCell ref="ET21:ET22"/>
    <x:mergeCell ref="EU21:EU22"/>
    <x:mergeCell ref="FO21:FO22"/>
    <x:mergeCell ref="FP21:FP22"/>
    <x:mergeCell ref="GL21:GL22"/>
    <x:mergeCell ref="GM21:GM22"/>
    <x:mergeCell ref="HA21:HA22"/>
    <x:mergeCell ref="HB21:HB22"/>
    <x:mergeCell ref="HC21:HC22"/>
    <x:mergeCell ref="HD21:HE22"/>
    <x:mergeCell ref="GC21:GD21"/>
    <x:mergeCell ref="GE21:GE22"/>
    <x:mergeCell ref="GF21:GF22"/>
    <x:mergeCell ref="GG21:GH21"/>
    <x:mergeCell ref="GI21:GJ21"/>
    <x:mergeCell ref="GK21:GK22"/>
    <x:mergeCell ref="GZ20:GZ22"/>
    <x:mergeCell ref="HL21:HL22"/>
    <x:mergeCell ref="HM21:HM22"/>
    <x:mergeCell ref="HN21:HN22"/>
    <x:mergeCell ref="HO21:HO22"/>
    <x:mergeCell ref="HP21:HP22"/>
    <x:mergeCell ref="HQ21:HQ22"/>
    <x:mergeCell ref="HF21:HF22"/>
    <x:mergeCell ref="HG21:HG22"/>
    <x:mergeCell ref="HH21:HH22"/>
    <x:mergeCell ref="HI21:HI22"/>
    <x:mergeCell ref="HJ21:HJ22"/>
    <x:mergeCell ref="HK21:HK22"/>
    <x:mergeCell ref="EK47:EO47"/>
    <x:mergeCell ref="CS69:CT69"/>
    <x:mergeCell ref="EL71:EO71"/>
    <x:mergeCell ref="ID21:ID22"/>
    <x:mergeCell ref="IE21:IE22"/>
    <x:mergeCell ref="IF21:IF22"/>
    <x:mergeCell ref="F22:G22"/>
    <x:mergeCell ref="I22:J22"/>
    <x:mergeCell ref="N22:O22"/>
    <x:mergeCell ref="Q22:R22"/>
    <x:mergeCell ref="T22:U22"/>
    <x:mergeCell ref="V22:W22"/>
    <x:mergeCell ref="HX21:HX22"/>
    <x:mergeCell ref="HY21:HY22"/>
    <x:mergeCell ref="HZ21:HZ22"/>
    <x:mergeCell ref="IA21:IA22"/>
    <x:mergeCell ref="IB21:IB22"/>
    <x:mergeCell ref="IC21:IC22"/>
    <x:mergeCell ref="HR21:HR22"/>
    <x:mergeCell ref="HS21:HS22"/>
    <x:mergeCell ref="HT21:HT22"/>
    <x:mergeCell ref="HU21:HU22"/>
    <x:mergeCell ref="HV21:HV22"/>
    <x:mergeCell ref="HW21:HW22"/>
  </x:mergeCells>
  <x:conditionalFormatting sqref="BD23:BD40">
    <x:cfRule type="expression" dxfId="335" priority="32">
      <x:formula>AND(NOT($AY23),NOT($AP23))</x:formula>
    </x:cfRule>
  </x:conditionalFormatting>
  <x:conditionalFormatting sqref="EF69 EF23:EF40">
    <x:cfRule type="cellIs" dxfId="334" priority="33" stopIfTrue="1" operator="notEqual">
      <x:formula>$EG23</x:formula>
    </x:cfRule>
  </x:conditionalFormatting>
  <x:conditionalFormatting sqref="EM69 EM23:EM40">
    <x:cfRule type="cellIs" dxfId="333" priority="34" stopIfTrue="1" operator="notEqual">
      <x:formula>$EN23</x:formula>
    </x:cfRule>
  </x:conditionalFormatting>
  <x:conditionalFormatting sqref="CB69:CC69">
    <x:cfRule type="cellIs" dxfId="332" priority="35" stopIfTrue="1" operator="equal">
      <x:formula>0</x:formula>
    </x:cfRule>
    <x:cfRule type="expression" dxfId="331" priority="36" stopIfTrue="1">
      <x:formula>OR(CB69&lt;0,CB69&gt;FU69)</x:formula>
    </x:cfRule>
  </x:conditionalFormatting>
  <x:conditionalFormatting sqref="P2:S4">
    <x:cfRule type="cellIs" dxfId="330" priority="37" stopIfTrue="1" operator="equal">
      <x:formula>""</x:formula>
    </x:cfRule>
  </x:conditionalFormatting>
  <x:conditionalFormatting sqref="CC16">
    <x:cfRule type="expression" dxfId="329" priority="38" stopIfTrue="1">
      <x:formula>ISBLANK($CC$16)</x:formula>
    </x:cfRule>
  </x:conditionalFormatting>
  <x:conditionalFormatting sqref="CC15">
    <x:cfRule type="expression" dxfId="328" priority="39" stopIfTrue="1">
      <x:formula>ISBLANK($CC$15)</x:formula>
    </x:cfRule>
  </x:conditionalFormatting>
  <x:conditionalFormatting sqref="M7">
    <x:cfRule type="expression" dxfId="327" priority="40" stopIfTrue="1">
      <x:formula>NOT(OR(COUNTIF(masterFinishList, $M$7) &gt; 0, COUNTIF($M$7, "Other:*") &gt; 0))</x:formula>
    </x:cfRule>
  </x:conditionalFormatting>
  <x:conditionalFormatting sqref="U23:U40">
    <x:cfRule type="expression" dxfId="326" priority="29">
      <x:formula>AND(NOT($AY23),NOT(AR23),$P23&lt;&gt;3)</x:formula>
    </x:cfRule>
  </x:conditionalFormatting>
  <x:conditionalFormatting sqref="W23:W40">
    <x:cfRule type="expression" dxfId="325" priority="31">
      <x:formula>AND(NOT($AY23),NOT(AT23),$S23&lt;&gt;3)</x:formula>
    </x:cfRule>
  </x:conditionalFormatting>
  <x:conditionalFormatting sqref="A23:B40">
    <x:cfRule type="expression" dxfId="324" priority="16">
      <x:formula>AND(NOT($AE$1),$B23=0,$AD$1="M")</x:formula>
    </x:cfRule>
  </x:conditionalFormatting>
  <x:conditionalFormatting sqref="T23:T40">
    <x:cfRule type="expression" dxfId="323" priority="28">
      <x:formula>AND(NOT($AY23),NOT(AR23),$P23&lt;&gt;3)</x:formula>
    </x:cfRule>
  </x:conditionalFormatting>
  <x:conditionalFormatting sqref="V23:V40">
    <x:cfRule type="expression" dxfId="322" priority="30">
      <x:formula>AND(NOT($AY23),NOT(AT23),$S23&lt;&gt;3)</x:formula>
    </x:cfRule>
  </x:conditionalFormatting>
  <x:conditionalFormatting sqref="C23:C40">
    <x:cfRule type="expression" dxfId="321" priority="17">
      <x:formula>AND(NOT($AY23),NOT($AP23))</x:formula>
    </x:cfRule>
  </x:conditionalFormatting>
  <x:conditionalFormatting sqref="M7:S7">
    <x:cfRule type="expression" dxfId="320" priority="27">
      <x:formula>OR(ISBLANK($M$7),$M$7="")</x:formula>
    </x:cfRule>
  </x:conditionalFormatting>
  <x:conditionalFormatting sqref="X23:X40">
    <x:cfRule type="expression" dxfId="319" priority="14">
      <x:formula>$X23=0</x:formula>
    </x:cfRule>
  </x:conditionalFormatting>
  <x:conditionalFormatting sqref="BO23:BO40">
    <x:cfRule type="expression" dxfId="318" priority="23">
      <x:formula>AND(BO23="X",CY23="")</x:formula>
    </x:cfRule>
    <x:cfRule type="expression" dxfId="317" priority="24">
      <x:formula>AND(BO23="",CY23&lt;&gt;"")</x:formula>
    </x:cfRule>
  </x:conditionalFormatting>
  <x:conditionalFormatting sqref="CA23:CA40">
    <x:cfRule type="expression" dxfId="316" priority="25">
      <x:formula>AND(CA23="X",DI23="")</x:formula>
    </x:cfRule>
    <x:cfRule type="expression" dxfId="315" priority="26">
      <x:formula>AND(CA23="",DI23&lt;&gt;"")</x:formula>
    </x:cfRule>
  </x:conditionalFormatting>
  <x:conditionalFormatting sqref="BQ23:BQ40">
    <x:cfRule type="expression" dxfId="314" priority="22">
      <x:formula>CP23&lt;&gt;""</x:formula>
    </x:cfRule>
  </x:conditionalFormatting>
  <x:conditionalFormatting sqref="CC23:CC40">
    <x:cfRule type="expression" dxfId="313" priority="21">
      <x:formula>CQ23&lt;&gt;""</x:formula>
    </x:cfRule>
  </x:conditionalFormatting>
  <x:conditionalFormatting sqref="CG23:CG40">
    <x:cfRule type="expression" dxfId="312" priority="41">
      <x:formula>OR(CH23&lt;&gt;"",CI23&lt;&gt;"",CJ23&lt;&gt;"",CK23&lt;&gt;"",CL23&lt;&gt;"",CM23&lt;&gt;"",CP23&lt;&gt;"",CQ23&lt;&gt;"")</x:formula>
    </x:cfRule>
  </x:conditionalFormatting>
  <x:conditionalFormatting sqref="BE23:BF40">
    <x:cfRule type="expression" dxfId="311" priority="42">
      <x:formula>AND(NOT($AY23),AND($AZ23,AND($AK23&lt;&gt;"HDR",$AK23&lt;&gt;"JS",$AJ23&gt;=8)))</x:formula>
    </x:cfRule>
  </x:conditionalFormatting>
  <x:conditionalFormatting sqref="D23:E40">
    <x:cfRule type="expression" dxfId="310" priority="20">
      <x:formula>AND(NOT($AY23),AND($AZ23,AND($AK23&lt;&gt;"HDR",$AK23&lt;&gt;"JS",$AJ23&gt;=8)))</x:formula>
    </x:cfRule>
  </x:conditionalFormatting>
  <x:conditionalFormatting sqref="CF23:CG40">
    <x:cfRule type="expression" dxfId="309" priority="19">
      <x:formula>LEN($AA23)&gt;31</x:formula>
    </x:cfRule>
  </x:conditionalFormatting>
  <x:conditionalFormatting sqref="AA12">
    <x:cfRule type="expression" dxfId="308" priority="18">
      <x:formula>OR(ISBLANK(AA12),AA12="")</x:formula>
    </x:cfRule>
  </x:conditionalFormatting>
  <x:conditionalFormatting sqref="A23:AA40">
    <x:cfRule type="expression" dxfId="307" priority="43">
      <x:formula>$AC23</x:formula>
    </x:cfRule>
  </x:conditionalFormatting>
  <x:conditionalFormatting sqref="AA23:AA40">
    <x:cfRule type="expression" dxfId="306" priority="15">
      <x:formula>AND(NOT($AY23),LEN(AA23)&gt;31)</x:formula>
    </x:cfRule>
  </x:conditionalFormatting>
  <x:conditionalFormatting sqref="GA23:GB40">
    <x:cfRule type="expression" dxfId="305" priority="13" stopIfTrue="1">
      <x:formula>$GM23&gt;=0.125</x:formula>
    </x:cfRule>
  </x:conditionalFormatting>
  <x:conditionalFormatting sqref="EF43">
    <x:cfRule type="cellIs" dxfId="304" priority="12" stopIfTrue="1" operator="notEqual">
      <x:formula>$EG43</x:formula>
    </x:cfRule>
  </x:conditionalFormatting>
  <x:conditionalFormatting sqref="U57">
    <x:cfRule type="expression" dxfId="303" priority="8">
      <x:formula>AND(NOT($AY57),NOT(AR57),$P57&lt;&gt;3)</x:formula>
    </x:cfRule>
  </x:conditionalFormatting>
  <x:conditionalFormatting sqref="W57">
    <x:cfRule type="expression" dxfId="302" priority="10">
      <x:formula>AND(NOT($AY57),NOT(AT57),$S57&lt;&gt;3)</x:formula>
    </x:cfRule>
  </x:conditionalFormatting>
  <x:conditionalFormatting sqref="A57:B57">
    <x:cfRule type="expression" dxfId="301" priority="4">
      <x:formula>AND(NOT($AE$1),$B57=0,$AD$1="M")</x:formula>
    </x:cfRule>
  </x:conditionalFormatting>
  <x:conditionalFormatting sqref="T57">
    <x:cfRule type="expression" dxfId="300" priority="7">
      <x:formula>AND(NOT($AY57),NOT(AR57),$P57&lt;&gt;3)</x:formula>
    </x:cfRule>
  </x:conditionalFormatting>
  <x:conditionalFormatting sqref="V57">
    <x:cfRule type="expression" dxfId="299" priority="9">
      <x:formula>AND(NOT($AY57),NOT(AT57),$S57&lt;&gt;3)</x:formula>
    </x:cfRule>
  </x:conditionalFormatting>
  <x:conditionalFormatting sqref="C57">
    <x:cfRule type="expression" dxfId="298" priority="5">
      <x:formula>AND(NOT($AY57),NOT($AP57))</x:formula>
    </x:cfRule>
  </x:conditionalFormatting>
  <x:conditionalFormatting sqref="X57">
    <x:cfRule type="expression" dxfId="297" priority="2">
      <x:formula>$X57=0</x:formula>
    </x:cfRule>
  </x:conditionalFormatting>
  <x:conditionalFormatting sqref="D57:E57">
    <x:cfRule type="expression" dxfId="296" priority="6">
      <x:formula>AND(NOT($AY57),AND($AZ57,AND($AK57&lt;&gt;"HDR",$AK57&lt;&gt;"JS",$AJ57&gt;=8)))</x:formula>
    </x:cfRule>
  </x:conditionalFormatting>
  <x:conditionalFormatting sqref="A57:AA57">
    <x:cfRule type="expression" dxfId="295" priority="11">
      <x:formula>$AC57</x:formula>
    </x:cfRule>
  </x:conditionalFormatting>
  <x:conditionalFormatting sqref="AA57">
    <x:cfRule type="expression" dxfId="294" priority="3">
      <x:formula>AND(NOT($AY57),LEN(AA57)&gt;31)</x:formula>
    </x:cfRule>
  </x:conditionalFormatting>
  <x:conditionalFormatting sqref="BB23:BC40">
    <x:cfRule type="expression" dxfId="293" priority="44">
      <x:formula>AND(NOT($AE$1),$B23=0,$AD$1="M")</x:formula>
    </x:cfRule>
  </x:conditionalFormatting>
  <x:conditionalFormatting sqref="CE23:CG40">
    <x:cfRule type="expression" dxfId="292" priority="45">
      <x:formula>$AC23</x:formula>
    </x:cfRule>
  </x:conditionalFormatting>
  <x:conditionalFormatting sqref="BB23:CD40">
    <x:cfRule type="expression" dxfId="291" priority="46">
      <x:formula>$AC23</x:formula>
    </x:cfRule>
  </x:conditionalFormatting>
  <x:conditionalFormatting sqref="BS23:BS40">
    <x:cfRule type="expression" dxfId="290" priority="47">
      <x:formula>AND(NOT($AY23),ISERROR(DE23))</x:formula>
    </x:cfRule>
    <x:cfRule type="expression" dxfId="289" priority="48">
      <x:formula>AND(NOT($AY23),OR(DE23="", CQ23&lt;&gt;""))</x:formula>
    </x:cfRule>
  </x:conditionalFormatting>
  <x:conditionalFormatting sqref="BG23:BG40">
    <x:cfRule type="expression" dxfId="288" priority="49">
      <x:formula>AND(NOT($AY23),ISERROR(CU23))</x:formula>
    </x:cfRule>
    <x:cfRule type="expression" dxfId="287" priority="50">
      <x:formula>AND(NOT($AY23),OR(CP23&lt;&gt;"", CU23=""))</x:formula>
    </x:cfRule>
  </x:conditionalFormatting>
  <x:conditionalFormatting sqref="BH23:BH40">
    <x:cfRule type="expression" dxfId="286" priority="51">
      <x:formula>AND(NOT($AY23),OR($CU23="M",$CU23="C",AND($CU23="B",$DC23&gt;0)))</x:formula>
    </x:cfRule>
    <x:cfRule type="expression" dxfId="285" priority="52">
      <x:formula>AND(NOT($AY23),AND(BH23="",BI23="",OR($CU23="B",$CU23="G")))</x:formula>
    </x:cfRule>
    <x:cfRule type="expression" dxfId="284" priority="53">
      <x:formula>AND(NOT($AY23),(BH23/2)/COS(RADIANS(BM23))+CV23-DW23&lt;VLOOKUP(AU23,$DF$2:$DJ$9,5,FALSE))</x:formula>
    </x:cfRule>
  </x:conditionalFormatting>
  <x:conditionalFormatting sqref="BI23:BI40">
    <x:cfRule type="expression" dxfId="283" priority="54">
      <x:formula>AND(NOT($AY23),OR($CU23="M",$CU23="C",AND($CU23="B",$DC23&gt;0)))</x:formula>
    </x:cfRule>
    <x:cfRule type="expression" dxfId="282" priority="55">
      <x:formula>AND(NOT($AY23),AND(BH23="",BI23="",OR($CU23="B",$CU23="G")))</x:formula>
    </x:cfRule>
    <x:cfRule type="expression" dxfId="281" priority="56">
      <x:formula>AND(NOT($AY23),(BI23/2)/COS(RADIANS(BM23))+CV23-DW23&lt;VLOOKUP(AU23,$DF$2:$DJ$9,5,FALSE))</x:formula>
    </x:cfRule>
  </x:conditionalFormatting>
  <x:conditionalFormatting sqref="BK23:BK40">
    <x:cfRule type="expression" dxfId="280" priority="57">
      <x:formula>AND(NOT($AY23),OR($CU23="M",$CU23="C",AND($CU23="B",$DA23&lt;&gt;"")))</x:formula>
    </x:cfRule>
    <x:cfRule type="expression" dxfId="279" priority="58">
      <x:formula>AND(NOT($AY23),AND(BJ23="X",BK23="",BL23=""))</x:formula>
    </x:cfRule>
    <x:cfRule type="expression" dxfId="278" priority="59">
      <x:formula>AND(NOT($AY23),EZ23="ERR")</x:formula>
    </x:cfRule>
  </x:conditionalFormatting>
  <x:conditionalFormatting sqref="BL23:BL40">
    <x:cfRule type="expression" dxfId="277" priority="60">
      <x:formula>AND(NOT($AY23),OR($CU23="M",$CU23="C",AND($CU23="B",$DA23&lt;&gt;"")))</x:formula>
    </x:cfRule>
    <x:cfRule type="expression" dxfId="276" priority="61">
      <x:formula>AND(NOT($AY23),AND(BJ23="X",BK23="",BL23=""))</x:formula>
    </x:cfRule>
    <x:cfRule type="expression" dxfId="275" priority="62">
      <x:formula>AND(NOT($AY23),EZ23="ERR")</x:formula>
    </x:cfRule>
  </x:conditionalFormatting>
  <x:conditionalFormatting sqref="BW23:BW40">
    <x:cfRule type="expression" dxfId="274" priority="63">
      <x:formula>AND(NOT($AY23),OR($DE23="M",$DE23="C",AND($DE23="B",$DK23&lt;&gt;"")))</x:formula>
    </x:cfRule>
    <x:cfRule type="expression" dxfId="273" priority="64">
      <x:formula>AND(NOT($AY23),AND(BV23="X",BW23="",BX23=""))</x:formula>
    </x:cfRule>
    <x:cfRule type="expression" dxfId="272" priority="65">
      <x:formula>AND(NOT($AY23),FC23="ERR")</x:formula>
    </x:cfRule>
  </x:conditionalFormatting>
  <x:conditionalFormatting sqref="BX23:BX40">
    <x:cfRule type="expression" dxfId="271" priority="66">
      <x:formula>AND(NOT($AY23),OR($DE23="M",$DE23="C",AND($DE23="B",$DK23&lt;&gt;"")))</x:formula>
    </x:cfRule>
    <x:cfRule type="expression" dxfId="270" priority="67">
      <x:formula>AND(NOT($AY23),AND(BV23="X",BW23="",BX23=""))</x:formula>
    </x:cfRule>
    <x:cfRule type="expression" dxfId="269" priority="68">
      <x:formula>AND(NOT($AY23),FC23="ERR")</x:formula>
    </x:cfRule>
  </x:conditionalFormatting>
  <x:conditionalFormatting sqref="BT23:BT40">
    <x:cfRule type="expression" dxfId="268" priority="69">
      <x:formula>AND(NOT($AY23),OR($DE23="M",$DE23="C",AND($DE23="B",$DM23&gt;0)))</x:formula>
    </x:cfRule>
    <x:cfRule type="expression" dxfId="267" priority="70">
      <x:formula>AND(NOT($AY23),AND(BT23="",BU23="",OR($DE23="B",$DE23="G")))</x:formula>
    </x:cfRule>
    <x:cfRule type="expression" dxfId="266" priority="71">
      <x:formula>AND(NOT($AY23),(BT23/2)/COS(RADIANS(BY23))+DF23-EC23&lt;VLOOKUP(AU23,$DF$2:$DJ$9,5,FALSE))</x:formula>
    </x:cfRule>
  </x:conditionalFormatting>
  <x:conditionalFormatting sqref="BU23:BU40">
    <x:cfRule type="expression" dxfId="265" priority="72">
      <x:formula>AND(NOT($AY23),OR($DE23="M",$DE23="C",AND($DE23="B",$DM23&gt;0)))</x:formula>
    </x:cfRule>
    <x:cfRule type="expression" dxfId="264" priority="73">
      <x:formula>AND(NOT($AY23),AND(BT23="",BU23="",OR($DE23="B",$DE23="G")))</x:formula>
    </x:cfRule>
    <x:cfRule type="expression" dxfId="263" priority="74">
      <x:formula>AND(NOT($AY23),(BU23/2)/COS(RADIANS(BY23))+DF23-EC23&lt;VLOOKUP(AU23,$DF$2:$DJ$9,5,FALSE))</x:formula>
    </x:cfRule>
  </x:conditionalFormatting>
  <x:conditionalFormatting sqref="BZ23:BZ40 BN23:BN40">
    <x:cfRule type="expression" dxfId="262" priority="75">
      <x:formula>AND(NOT($AY23),AND(ISBLANK(BN23),AND(NOT(ISBLANK(BM23)),$CE23&lt;&gt;0)))</x:formula>
    </x:cfRule>
  </x:conditionalFormatting>
  <x:conditionalFormatting sqref="BJ23:BJ40">
    <x:cfRule type="expression" dxfId="261" priority="76">
      <x:formula>AND(NOT($AY23),OR($CU23="C",AND($CU23="M",$DA23&gt;0)))</x:formula>
    </x:cfRule>
    <x:cfRule type="expression" dxfId="260" priority="77">
      <x:formula>AND(NOT($AY23),OR(NOT(IF(AND(OR(MID($BB23,1,1)="T",($BE23+$BF23/12)/IF(ABS($CE23)&gt;$DQ$1,COS($DO23),1)&gt;=40),OR($CU23="B",$CU23="G")),"X","")="X"),$EZ23="ERR"))</x:formula>
    </x:cfRule>
    <x:cfRule type="expression" dxfId="259" priority="78">
      <x:formula>AND(NOT($AY23),$BJ23&lt;&gt;"X",$BJ23&lt;&gt;IF(AND(OR(MID(BB23,1,1)="T",($BE23+$BF23/12)/IF(ABS($CE23)&gt;$DQ$1,COS($DO23),1)&gt;=40),OR($CU23="B",$CU23="G")),"X",""))</x:formula>
    </x:cfRule>
  </x:conditionalFormatting>
  <x:conditionalFormatting sqref="BV23:BV40">
    <x:cfRule type="expression" dxfId="258" priority="79">
      <x:formula>AND(NOT($AY23),OR($DE23="C",AND($DE23="M",$DK23&gt;0)))</x:formula>
    </x:cfRule>
    <x:cfRule type="expression" dxfId="257" priority="80">
      <x:formula>AND(NOT($AY23),OR(NOT(IF(AND(OR(MID($BB23,1,1)="T",($BE23+$BF23/12)/IF(ABS($CE23)&gt;$DQ$1,COS($DO23),1)&gt;=40),OR($DE23="B",$DE23="G")),"X","")="X"),$FC23="ERR"))</x:formula>
    </x:cfRule>
    <x:cfRule type="expression" dxfId="256" priority="81">
      <x:formula>AND(NOT($AY23),$BV23&lt;&gt;"X",$BV23&lt;&gt;IF(AND(OR(MID(BB23,1,1)="T",($BE23+$BF23/12)/IF(ABS($CE23)&gt;$DQ$1,COS($DO23),1)&gt;=40),OR($DE23="B",$DE23="G")),"X",""))</x:formula>
    </x:cfRule>
  </x:conditionalFormatting>
  <x:conditionalFormatting sqref="GA57:GB57">
    <x:cfRule type="expression" dxfId="255" priority="1" stopIfTrue="1">
      <x:formula>$GM57&gt;=0.125</x:formula>
    </x:cfRule>
  </x:conditionalFormatting>
  <x:conditionalFormatting sqref="D23:E40">
    <x:cfRule type="expression" dxfId="254" priority="82" stopIfTrue="1">
      <x:formula xml:space="preserve"> AND($GM23 &gt;= 0.125, $GL23 &gt; 0)</x:formula>
    </x:cfRule>
  </x:conditionalFormatting>
  <x:dataValidations count="15">
    <x:dataValidation type="whole" operator="greaterThan" allowBlank="1" showInputMessage="1" showErrorMessage="1" errorTitle="Quantity Error" error="Value must be an integer greater than -1000." sqref="B23:B40 BC23:BC40" xr:uid="{8837CED9-84CF-4C35-9EDD-83F6206D8B9E}">
      <x:formula1>-1001</x:formula1>
    </x:dataValidation>
    <x:dataValidation type="decimal" operator="greaterThan" allowBlank="1" showInputMessage="1" showErrorMessage="1" errorTitle="Input Error" error="Positive Numeric Values Only!" sqref="BR23:BR40 CD23:CD40" xr:uid="{FA8A8DEF-6724-4FA0-B57D-02EBFF5506DF}">
      <x:formula1>0</x:formula1>
    </x:dataValidation>
    <x:dataValidation type="whole" operator="greaterThanOrEqual" allowBlank="1" showInputMessage="1" showErrorMessage="1" errorTitle="Input Error" error="Positive Integers Only!" sqref="GA23:GA40 GA57" xr:uid="{0DE0C9B8-401B-48BD-9F5A-FC9B77C429D2}">
      <x:formula1>0</x:formula1>
    </x:dataValidation>
    <x:dataValidation type="decimal" allowBlank="1" showInputMessage="1" showErrorMessage="1" errorTitle="Input Error" error="Numbers from 0&quot; to 11 7/8&quot; only!" sqref="GB23:GB40 GB57" xr:uid="{EFA0BC3C-D3CE-45A5-90A4-300F27473067}">
      <x:formula1>0</x:formula1>
      <x:formula2>11.875</x:formula2>
    </x:dataValidation>
    <x:dataValidation type="decimal" allowBlank="1" showInputMessage="1" showErrorMessage="1" errorTitle="Input Error" error="Numeric Values Only!" sqref="GC23:GD40 GC57:GD57 BP23:BP40 CB23:CB40" xr:uid="{42A4FD48-4B4F-4AA0-ACC6-386F033DA903}">
      <x:formula1>-1200</x:formula1>
      <x:formula2>1200</x:formula2>
    </x:dataValidation>
    <x:dataValidation type="custom" allowBlank="1" showInputMessage="1" showErrorMessage="1" errorTitle="Input Error:" error="Value must be &quot;X&quot; or a Number that Over-rides the BCX Dimension in the Section." sqref="BO23:BO40 CA23:CA40" xr:uid="{46CAFEA3-73E7-4FAF-9ADF-0BD00E239183}">
      <x:formula1>IF(ISTEXT(BO23),BO23="X",ISNUMBER(BO23))</x:formula1>
    </x:dataValidation>
    <x:dataValidation type="decimal" operator="lessThanOrEqual" allowBlank="1" showInputMessage="1" errorTitle="BL Over-Ride Error!" error="Base Length can't be past Joist Overall Length!  See section for Maximum Over-Ride Dimension." sqref="CC23:CC40" xr:uid="{CB077563-EC2C-44B1-AB81-2EA7019AF1F2}">
      <x:formula1>$DF23</x:formula1>
    </x:dataValidation>
    <x:dataValidation type="decimal" operator="lessThanOrEqual" allowBlank="1" showInputMessage="1" errorTitle="BL Over-Ride Error!" error="Base Length can't be past Joist Overall Length!  See section for Maximum Over-Ride Dimension." sqref="BQ23:BQ40" xr:uid="{8DC2DD95-038C-4FE0-B385-FB11085D08C1}">
      <x:formula1>$CV23</x:formula1>
    </x:dataValidation>
    <x:dataValidation type="decimal" operator="greaterThan" allowBlank="1" showInputMessage="1" showErrorMessage="1" errorTitle="Dimensional Error" error="Only positive numeric values permitted here." sqref="L23:M40 L57:M57" xr:uid="{DD3B2D01-F922-46C0-AA46-DAC00C9A8E2C}">
      <x:formula1>0</x:formula1>
    </x:dataValidation>
    <x:dataValidation type="whole" operator="notBetween" allowBlank="1" showInputMessage="1" showErrorMessage="1" sqref="B57" xr:uid="{FCB9AC24-7B0F-4938-8678-3258666CA0EF}">
      <x:formula1>-10001</x:formula1>
      <x:formula2>-10000</x:formula2>
    </x:dataValidation>
    <x:dataValidation type="decimal" operator="notEqual" allowBlank="1" showInputMessage="1" showErrorMessage="1" errorTitle="Input Error" error="Enter + or - Numbers Only._x000a_Do NOT use &quot;&lt;&quot; or &quot;&gt;&quot;." sqref="Y23:Z40 Y57:Z57" xr:uid="{602BB548-F276-4255-B9E4-A30ADA12A25E}">
      <x:formula1>0</x:formula1>
    </x:dataValidation>
    <x:dataValidation type="decimal" operator="greaterThanOrEqual" allowBlank="1" showInputMessage="1" showErrorMessage="1" errorTitle="Dimensional Error" error="&quot;Inches&quot; must be a number." sqref="BH23:BI40 BK23:BL40 BT23:BU40 BW23:BX40" xr:uid="{E38B7667-DC1A-4E7A-9C1B-162160AB81C5}">
      <x:formula1>0</x:formula1>
    </x:dataValidation>
    <x:dataValidation type="decimal" allowBlank="1" showInputMessage="1" showErrorMessage="1" errorTitle="Dimensional Error" error="&quot;Inches&quot; must be a number from 0 to 11.875." sqref="BF23:BF40 E23:E40 W23:W40 G23:G40 J23:J40 U23:U40 E57 W57 G57 J57 U57" xr:uid="{8917C1CF-7011-4E70-BABD-A6D33C5BC4EF}">
      <x:formula1>0</x:formula1>
      <x:formula2>11.875</x:formula2>
    </x:dataValidation>
    <x:dataValidation type="whole" operator="greaterThanOrEqual" allowBlank="1" showErrorMessage="1" errorTitle="Dimensional Error" error="&quot;Feet&quot; can only be whole numbers." sqref="D23:D40 F23:F40 I23:I40 T23:T40 V23:V40 BE23:BE40 D57 F57 I57 T57 V57" xr:uid="{FFEA9D27-E231-4F66-9664-553D4ECE3C94}">
      <x:formula1>0</x:formula1>
    </x:dataValidation>
    <x:dataValidation type="list" allowBlank="1" showInputMessage="1" sqref="M7:S7 CC15:CF15" xr:uid="{EB731A14-B24C-487D-BFA2-CB0795A3C1F3}">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colBreaks count="1" manualBreakCount="1">
    <x:brk id="85" max="39" man="1"/>
  </x:colBreaks>
  <x:drawing r:id="rId2"/>
  <x:legacyDrawing r:id="rId3"/>
</x:worksheet>
</file>

<file path=xl/worksheets/sheet34.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31F66D5-30CE-4DA0-9090-6900AA046CD0}" mc:Ignorable="x14ac xr xr2 xr3">
  <x:sheetPr codeName="Sheet33">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3.7109375" style="245" customWidth="1"/>
    <x:col min="29" max="29" width="5.7109375" style="245" hidden="1" customWidth="1"/>
    <x:col min="30" max="30" width="3.7109375" style="245" hidden="1" customWidth="1"/>
    <x:col min="31" max="31" width="6.7109375" style="245" hidden="1" customWidth="1"/>
    <x:col min="32" max="34" width="3.7109375" style="245" hidden="1" customWidth="1"/>
    <x:col min="35" max="35" width="3.7109375" style="378" hidden="1" customWidth="1"/>
    <x:col min="36" max="43" width="3.7109375" style="245" hidden="1" customWidth="1"/>
    <x:col min="44" max="44" width="6.7109375" style="245" hidden="1" customWidth="1"/>
    <x:col min="45" max="45" width="3.7109375" style="245" hidden="1" customWidth="1"/>
    <x:col min="46" max="46" width="6.7109375" style="245" hidden="1" customWidth="1"/>
    <x:col min="47" max="49" width="4.7109375" style="245" hidden="1" customWidth="1"/>
    <x:col min="50" max="51" width="5.7109375" style="245" hidden="1" customWidth="1"/>
    <x:col min="52" max="52" width="10.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4.7109375" style="245" customWidth="1"/>
    <x:col min="180" max="180" width="6.7109375" style="245" hidden="1" customWidth="1"/>
    <x:col min="181" max="181" width="8.7109375" style="245" hidden="1" customWidth="1"/>
    <x:col min="182" max="182" width="4.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4.7109375" style="245" customWidth="1"/>
    <x:col min="197" max="206" width="8.7109375" style="245" hidden="1" customWidth="1"/>
    <x:col min="207" max="207" width="8.7109375" style="245" customWidth="1"/>
    <x:col min="208" max="208" width="8.7109375" style="245" hidden="1" customWidth="1"/>
    <x:col min="209" max="211" width="6.7109375" style="245" hidden="1" customWidth="1"/>
    <x:col min="212" max="212" width="6.7109375" style="247" hidden="1" customWidth="1"/>
    <x:col min="213" max="213" width="6.7109375" style="381" hidden="1" customWidth="1"/>
    <x:col min="214" max="236" width="6.7109375" style="245" hidden="1" customWidth="1"/>
    <x:col min="237" max="237" width="4.7109375" style="245" hidden="1" customWidth="1"/>
    <x:col min="238" max="240" width="6.7109375" style="245" hidden="1" customWidth="1"/>
    <x:col min="241" max="241" width="8.7109375" style="245" customWidth="1"/>
    <x:col min="242" max="16384" width="4.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291"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463</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0">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t="s">
        <x:v>523</x:v>
      </x:c>
      <x:c r="CW3" s="573" t="s">
        <x:v>171</x:v>
      </x:c>
      <x:c r="CX3" s="574" t="s">
        <x:v>462</x:v>
      </x:c>
      <x:c r="CY3" s="575" t="s">
        <x:v>463</x:v>
      </x:c>
      <x:c r="CZ3" s="574" t="s">
        <x:v>464</x:v>
      </x:c>
      <x:c r="DA3" s="574" t="s">
        <x:v>465</x:v>
      </x:c>
      <x:c r="DB3" s="574" t="s">
        <x:v>466</x:v>
      </x:c>
      <x:c r="DC3" s="576" t="s">
        <x:v>681</x:v>
      </x:c>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6">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244"/>
      <x:c r="CJ4" s="203"/>
      <x:c r="CK4" s="374"/>
      <x:c r="CL4" s="374"/>
      <x:c r="CM4" s="374"/>
      <x:c r="CN4" s="374"/>
      <x:c r="CO4" s="374"/>
      <x:c r="CP4" s="244"/>
      <x:c r="CQ4" s="244"/>
      <x:c r="CR4" s="374"/>
      <x:c r="CS4" s="374"/>
      <x:c r="CU4" s="577" t="s">
        <x:v>73</x:v>
      </x:c>
      <x:c r="CV4" s="1660">
        <x:f>'Job Info.'!$N$7</x:f>
        <x:v>1</x:v>
      </x:c>
      <x:c r="CW4" s="1661">
        <x:f>'Job Info.'!$H$7</x:f>
        <x:v>2.5</x:v>
      </x:c>
      <x:c r="CX4" s="1662">
        <x:f>'Job Info.'!$J$7</x:f>
        <x:v>4</x:v>
      </x:c>
      <x:c r="CY4" s="1662">
        <x:f>'Job Info.'!$I$7</x:f>
        <x:v>2.5</x:v>
      </x:c>
      <x:c r="CZ4" s="1662">
        <x:f>'Job Info.'!$K$7</x:f>
        <x:v>3.5</x:v>
      </x:c>
      <x:c r="DA4" s="1663">
        <x:f>'Job Info.'!$M$7</x:f>
        <x:v>0.5625</x:v>
      </x:c>
      <x:c r="DB4" s="1662">
        <x:f>'Job Info.'!$L$7</x:f>
        <x:v>1.5</x:v>
      </x:c>
      <x:c r="DC4" s="1664">
        <x:f>'Job Info.'!$O$7</x:f>
        <x:v>2.5</x:v>
      </x:c>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6">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t="s">
        <x:v>74</x:v>
      </x:c>
      <x:c r="CV5" s="1665">
        <x:f>'Job Info.'!$N$8</x:f>
        <x:v>1</x:v>
      </x:c>
      <x:c r="CW5" s="1666">
        <x:f>'Job Info.'!$H$8</x:f>
        <x:v>2.5</x:v>
      </x:c>
      <x:c r="CX5" s="1666">
        <x:f>'Job Info.'!$J$8</x:f>
        <x:v>4</x:v>
      </x:c>
      <x:c r="CY5" s="1666">
        <x:f>'Job Info.'!$I$8</x:f>
        <x:v>2.5</x:v>
      </x:c>
      <x:c r="CZ5" s="1666">
        <x:f>'Job Info.'!$K$8</x:f>
        <x:v>3.5</x:v>
      </x:c>
      <x:c r="DA5" s="1667">
        <x:f>'Job Info.'!$M$8</x:f>
        <x:v>0.5625</x:v>
      </x:c>
      <x:c r="DB5" s="1666">
        <x:f>'Job Info.'!$L$8</x:f>
        <x:v>1.5</x:v>
      </x:c>
      <x:c r="DC5" s="1668">
        <x:f>'Job Info.'!$O$8</x:f>
        <x:v>2.5</x:v>
      </x:c>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6">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376"/>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393" t="s">
        <x:v>678</x:v>
      </x:c>
      <x:c r="CC6" s="2406"/>
      <x:c r="CD6" s="1924"/>
      <x:c r="CE6" s="1924"/>
      <x:c r="CF6" s="1924"/>
      <x:c r="CG6" s="244"/>
      <x:c r="CH6" s="244"/>
      <x:c r="CI6" s="244"/>
      <x:c r="CJ6" s="544"/>
      <x:c r="CK6" s="544"/>
      <x:c r="CL6" s="544"/>
      <x:c r="CM6" s="544"/>
      <x:c r="CN6" s="544"/>
      <x:c r="CO6" s="544"/>
      <x:c r="CP6" s="244"/>
      <x:c r="CQ6" s="244"/>
      <x:c r="CR6" s="374"/>
      <x:c r="CS6" s="244"/>
      <x:c r="CU6" s="579" t="s">
        <x:v>415</x:v>
      </x:c>
      <x:c r="CV6" s="1669">
        <x:f>'Job Info.'!$N$8</x:f>
        <x:v>1</x:v>
      </x:c>
      <x:c r="CW6" s="1670">
        <x:f>'Job Info.'!$H$8</x:f>
        <x:v>2.5</x:v>
      </x:c>
      <x:c r="CX6" s="1670">
        <x:f>'Job Info.'!$J$8</x:f>
        <x:v>4</x:v>
      </x:c>
      <x:c r="CY6" s="1670">
        <x:f>'Job Info.'!$I$8</x:f>
        <x:v>2.5</x:v>
      </x:c>
      <x:c r="CZ6" s="1670">
        <x:f>'Job Info.'!$K$8</x:f>
        <x:v>3.5</x:v>
      </x:c>
      <x:c r="DA6" s="1671">
        <x:f>'Job Info.'!$M$8</x:f>
        <x:v>0.5625</x:v>
      </x:c>
      <x:c r="DB6" s="1670">
        <x:f>'Job Info.'!$L$8</x:f>
        <x:v>1.5</x:v>
      </x:c>
      <x:c r="DC6" s="1672">
        <x:f>'Job Info.'!$O$15</x:f>
        <x:v>5</x:v>
      </x:c>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6">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627"/>
      <x:c r="EY6" s="251"/>
      <x:c r="EZ6" s="251"/>
      <x:c r="FA6" s="251"/>
      <x:c r="FB6" s="246"/>
      <x:c r="FC6" s="246"/>
      <x:c r="FD6" s="246"/>
      <x:c r="FE6" s="246"/>
      <x:c r="FF6" s="246"/>
      <x:c r="FG6" s="246"/>
      <x:c r="FH6" s="246"/>
      <x:c r="FI6" s="246"/>
      <x:c r="GA6" s="374"/>
      <x:c r="GB6" s="374"/>
      <x:c r="GC6" s="374"/>
      <x:c r="GD6" s="374"/>
      <x:c r="GE6" s="374"/>
      <x:c r="GF6" s="374"/>
      <x:c r="GG6" s="374"/>
      <x:c r="GH6" s="374"/>
      <x:c r="GI6" s="374"/>
      <x:c r="GJ6" s="374"/>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16 of 19</x:v>
      </x:c>
      <x:c r="Z7" s="658"/>
      <x:c r="AA7" s="374"/>
      <x:c r="AC7" s="1083">
        <x:v>16</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393" t="s">
        <x:v>657</x:v>
      </x:c>
      <x:c r="CC7" s="777"/>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114</x:v>
      </x:c>
      <x:c r="DG7" s="1654">
        <x:f>'Job Info.'!$N12/2</x:f>
        <x:v>1</x:v>
      </x:c>
      <x:c r="DH7" s="1656">
        <x:f>'Job Info.'!$H12</x:f>
        <x:v>5</x:v>
      </x:c>
      <x:c r="DI7" s="1656">
        <x:f>'Job Info.'!$J12</x:f>
        <x:v>6</x:v>
      </x:c>
      <x:c r="DJ7" s="1656">
        <x:f>'Job Info.'!$I12</x:f>
        <x:v>4</x:v>
      </x:c>
      <x:c r="DK7" s="1656">
        <x:f>'Job Info.'!$K12</x:f>
        <x:v>4</x:v>
      </x:c>
      <x:c r="DL7" s="1657">
        <x:f>'Job Info.'!$M12</x:f>
        <x:v>0.8125</x:v>
      </x:c>
      <x:c r="DM7" s="1656">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2.8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415</x:v>
      </x:c>
      <x:c r="DG8" s="1654">
        <x:f>'Job Info.'!$N13/2</x:f>
        <x:v>1</x:v>
      </x:c>
      <x:c r="DH8" s="1656">
        <x:f>'Job Info.'!$H13</x:f>
        <x:v>5</x:v>
      </x:c>
      <x:c r="DI8" s="1656">
        <x:f>'Job Info.'!$J13</x:f>
        <x:v>6</x:v>
      </x:c>
      <x:c r="DJ8" s="1656">
        <x:f>'Job Info.'!$I13</x:f>
        <x:v>4</x:v>
      </x:c>
      <x:c r="DK8" s="1656">
        <x:f>'Job Info.'!$K13</x:f>
        <x:v>4</x:v>
      </x:c>
      <x:c r="DL8" s="1657">
        <x:f>'Job Info.'!$M13</x:f>
        <x:v>0.8125</x:v>
      </x:c>
      <x:c r="DM8" s="1656">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399"/>
      <x:c r="BA9" s="246"/>
      <x:c r="BB9" s="400"/>
      <x:c r="BC9" s="244"/>
      <x:c r="BD9" s="244"/>
      <x:c r="BE9" s="949">
        <x:v>4.5</x:v>
      </x:c>
      <x:c r="BF9" s="949">
        <x:v>5.5</x:v>
      </x:c>
      <x:c r="BG9" s="950">
        <x:v>5</x:v>
      </x:c>
      <x:c r="BH9" s="950">
        <x:v>5</x:v>
      </x:c>
      <x:c r="BI9" s="950">
        <x:v>5</x:v>
      </x:c>
      <x:c r="BJ9" s="950">
        <x:v>3</x:v>
      </x:c>
      <x:c r="BK9" s="950">
        <x:v>5</x:v>
      </x:c>
      <x:c r="BL9" s="950">
        <x:v>5</x:v>
      </x:c>
      <x:c r="BM9" s="950">
        <x:v>5</x:v>
      </x:c>
      <x:c r="BN9" s="950">
        <x:v>6</x:v>
      </x:c>
      <x:c r="BO9" s="950">
        <x:v>5</x:v>
      </x:c>
      <x:c r="BP9" s="950">
        <x:v>5</x:v>
      </x:c>
      <x:c r="BQ9" s="950">
        <x:v>5</x:v>
      </x:c>
      <x:c r="BR9" s="950">
        <x:v>3</x:v>
      </x:c>
      <x:c r="BS9" s="950">
        <x:v>5</x:v>
      </x:c>
      <x:c r="BT9" s="950">
        <x:v>5</x:v>
      </x:c>
      <x:c r="BU9" s="950">
        <x:v>5</x:v>
      </x:c>
      <x:c r="BV9" s="950">
        <x:v>6</x:v>
      </x:c>
      <x:c r="BW9" s="951"/>
      <x:c r="BX9" s="949">
        <x:v>24</x:v>
      </x:c>
      <x:c r="BY9" s="949">
        <x:v>24</x:v>
      </x:c>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416</x:v>
      </x:c>
      <x:c r="DG9" s="1673">
        <x:f>'Job Info.'!$N14/2</x:f>
        <x:v>1</x:v>
      </x:c>
      <x:c r="DH9" s="1674">
        <x:f>'Job Info.'!$H14</x:f>
        <x:v>5</x:v>
      </x:c>
      <x:c r="DI9" s="1674">
        <x:f>'Job Info.'!$J14</x:f>
        <x:v>6</x:v>
      </x:c>
      <x:c r="DJ9" s="1674">
        <x:f>'Job Info.'!$I14</x:f>
        <x:v>4</x:v>
      </x:c>
      <x:c r="DK9" s="1674">
        <x:f>'Job Info.'!$K14</x:f>
        <x:v>4</x:v>
      </x:c>
      <x:c r="DL9" s="1675">
        <x:f>'Job Info.'!$M14</x:f>
        <x:v>0.8125</x:v>
      </x:c>
      <x:c r="DM9" s="1674">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thickBot="1" x14ac:dyDescent="0.25">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399"/>
      <x:c r="BA10" s="246"/>
      <x:c r="BB10" s="1622">
        <x:f>J_A!BB17</x:f>
        <x:v>6</x:v>
      </x:c>
      <x:c r="BC10" s="1622">
        <x:f>J_A!BC17</x:f>
        <x:v>4</x:v>
      </x:c>
      <x:c r="BD10" s="1622">
        <x:f>J_A!BD17</x:f>
        <x:v>13</x:v>
      </x:c>
      <x:c r="BE10" s="1622">
        <x:f>J_A!BE17</x:f>
        <x:v>4</x:v>
      </x:c>
      <x:c r="BF10" s="1622">
        <x:f>J_A!BF17</x:f>
        <x:v>5</x:v>
      </x:c>
      <x:c r="BG10" s="1623">
        <x:f>J_A!BG17</x:f>
        <x:v>3</x:v>
      </x:c>
      <x:c r="BH10" s="1623">
        <x:f>J_A!BH17</x:f>
        <x:v>4.57</x:v>
      </x:c>
      <x:c r="BI10" s="1623">
        <x:f>J_A!BI17</x:f>
        <x:v>4.57</x:v>
      </x:c>
      <x:c r="BJ10" s="1623">
        <x:f>J_A!BJ17</x:f>
        <x:v>2.71</x:v>
      </x:c>
      <x:c r="BK10" s="1623">
        <x:f>J_A!BK17</x:f>
        <x:v>4.57</x:v>
      </x:c>
      <x:c r="BL10" s="1623">
        <x:f>J_A!BL17</x:f>
        <x:v>4.57</x:v>
      </x:c>
      <x:c r="BM10" s="1623">
        <x:f>J_A!BM17</x:f>
        <x:v>4</x:v>
      </x:c>
      <x:c r="BN10" s="1623">
        <x:f>J_A!BN17</x:f>
        <x:v>5</x:v>
      </x:c>
      <x:c r="BO10" s="1623">
        <x:f>J_A!BO17</x:f>
        <x:v>2.71</x:v>
      </x:c>
      <x:c r="BP10" s="1623">
        <x:f>J_A!BP17</x:f>
        <x:v>5.29</x:v>
      </x:c>
      <x:c r="BQ10" s="1623">
        <x:f>J_A!BQ17</x:f>
        <x:v>5.29</x:v>
      </x:c>
      <x:c r="BR10" s="1623">
        <x:f>J_A!BR17</x:f>
        <x:v>4</x:v>
      </x:c>
      <x:c r="BS10" s="1623">
        <x:f>J_A!BS17</x:f>
        <x:v>3</x:v>
      </x:c>
      <x:c r="BT10" s="1623">
        <x:f>J_A!BT17</x:f>
        <x:v>4.57</x:v>
      </x:c>
      <x:c r="BU10" s="1623">
        <x:f>J_A!BU17</x:f>
        <x:v>4.57</x:v>
      </x:c>
      <x:c r="BV10" s="1623">
        <x:f>J_A!BV17</x:f>
        <x:v>2.71</x:v>
      </x:c>
      <x:c r="BW10" s="1622">
        <x:f>J_A!BW17</x:f>
        <x:v>4.57</x:v>
      </x:c>
      <x:c r="BX10" s="1622">
        <x:f>J_A!BX17</x:f>
        <x:v>4.57</x:v>
      </x:c>
      <x:c r="BY10" s="1622">
        <x:f>J_A!BY17</x:f>
        <x:v>4</x:v>
      </x:c>
      <x:c r="BZ10" s="1622">
        <x:f>J_A!BZ17</x:f>
        <x:v>5</x:v>
      </x:c>
      <x:c r="CA10" s="1622">
        <x:f>J_A!CA17</x:f>
        <x:v>2.71</x:v>
      </x:c>
      <x:c r="CB10" s="1623">
        <x:f>J_A!CB17</x:f>
        <x:v>5.29</x:v>
      </x:c>
      <x:c r="CC10" s="1622">
        <x:f>J_A!CC17</x:f>
        <x:v>5.29</x:v>
      </x:c>
      <x:c r="CD10" s="1622">
        <x:f>J_A!CD17</x:f>
        <x:v>4</x:v>
      </x:c>
      <x:c r="CE10" s="1622">
        <x:f>J_A!CE17</x:f>
        <x:v>5</x:v>
      </x:c>
      <x:c r="CF10" s="1622">
        <x:f>J_A!CF17</x:f>
        <x:v>17.14</x:v>
      </x:c>
      <x:c r="CG10" s="1623">
        <x:f>J_A!CG17</x:f>
        <x:v>17.14</x:v>
      </x:c>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12.6" customHeight="1" thickTop="1" thickBot="1" x14ac:dyDescent="0.25">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359" t="s">
        <x:v>592</x:v>
      </x:c>
      <x:c r="BC11" s="2360"/>
      <x:c r="BD11" s="2360"/>
      <x:c r="BE11" s="2360"/>
      <x:c r="BF11" s="2360"/>
      <x:c r="BG11" s="2360"/>
      <x:c r="BH11" s="2360"/>
      <x:c r="BI11" s="2360"/>
      <x:c r="BJ11" s="2360"/>
      <x:c r="BK11" s="2360"/>
      <x:c r="BL11" s="2360"/>
      <x:c r="BM11" s="2360"/>
      <x:c r="BN11" s="2360"/>
      <x:c r="BO11" s="2360"/>
      <x:c r="BP11" s="2360"/>
      <x:c r="BQ11" s="2360"/>
      <x:c r="BR11" s="2360"/>
      <x:c r="BS11" s="2360"/>
      <x:c r="BT11" s="2360"/>
      <x:c r="BU11" s="2360"/>
      <x:c r="BV11" s="2360"/>
      <x:c r="BW11" s="2360"/>
      <x:c r="BX11" s="2360"/>
      <x:c r="BY11" s="2360"/>
      <x:c r="BZ11" s="2360"/>
      <x:c r="CA11" s="2360"/>
      <x:c r="CB11" s="2360"/>
      <x:c r="CC11" s="1557"/>
      <x:c r="CD11" s="2363"/>
      <x:c r="CE11" s="2363"/>
      <x:c r="CF11" s="2363"/>
      <x:c r="CG11" s="236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c r="HA11" s="255">
        <x:v>1</x:v>
      </x:c>
      <x:c r="HB11" s="255">
        <x:f>HA11+1</x:f>
        <x:v>2</x:v>
      </x:c>
      <x:c r="HC11" s="255">
        <x:f t="shared" ref="HC11:IF11" si="0">HB11+1</x:f>
        <x:v>3</x:v>
      </x:c>
      <x:c r="HD11" s="255">
        <x:f t="shared" si="0"/>
        <x:v>4</x:v>
      </x:c>
      <x:c r="HE11" s="255">
        <x:f t="shared" si="0"/>
        <x:v>5</x:v>
      </x:c>
      <x:c r="HF11" s="255">
        <x:f t="shared" si="0"/>
        <x:v>6</x:v>
      </x:c>
      <x:c r="HG11" s="255">
        <x:f t="shared" si="0"/>
        <x:v>7</x:v>
      </x:c>
      <x:c r="HH11" s="255">
        <x:f t="shared" si="0"/>
        <x:v>8</x:v>
      </x:c>
      <x:c r="HI11" s="255">
        <x:f t="shared" si="0"/>
        <x:v>9</x:v>
      </x:c>
      <x:c r="HJ11" s="255">
        <x:f t="shared" si="0"/>
        <x:v>10</x:v>
      </x:c>
      <x:c r="HK11" s="255">
        <x:f t="shared" si="0"/>
        <x:v>11</x:v>
      </x:c>
      <x:c r="HL11" s="255">
        <x:f t="shared" si="0"/>
        <x:v>12</x:v>
      </x:c>
      <x:c r="HM11" s="255">
        <x:f t="shared" si="0"/>
        <x:v>13</x:v>
      </x:c>
      <x:c r="HN11" s="255">
        <x:f t="shared" si="0"/>
        <x:v>14</x:v>
      </x:c>
      <x:c r="HO11" s="255">
        <x:f t="shared" si="0"/>
        <x:v>15</x:v>
      </x:c>
      <x:c r="HP11" s="255">
        <x:f t="shared" si="0"/>
        <x:v>16</x:v>
      </x:c>
      <x:c r="HQ11" s="255">
        <x:f t="shared" si="0"/>
        <x:v>17</x:v>
      </x:c>
      <x:c r="HR11" s="255">
        <x:f t="shared" si="0"/>
        <x:v>18</x:v>
      </x:c>
      <x:c r="HS11" s="255">
        <x:f t="shared" si="0"/>
        <x:v>19</x:v>
      </x:c>
      <x:c r="HT11" s="255">
        <x:f t="shared" si="0"/>
        <x:v>20</x:v>
      </x:c>
      <x:c r="HU11" s="255">
        <x:f t="shared" si="0"/>
        <x:v>21</x:v>
      </x:c>
      <x:c r="HV11" s="255">
        <x:f t="shared" si="0"/>
        <x:v>22</x:v>
      </x:c>
      <x:c r="HW11" s="255">
        <x:f t="shared" si="0"/>
        <x:v>23</x:v>
      </x:c>
      <x:c r="HX11" s="255">
        <x:f t="shared" si="0"/>
        <x:v>24</x:v>
      </x:c>
      <x:c r="HY11" s="255">
        <x:f t="shared" si="0"/>
        <x:v>25</x:v>
      </x:c>
      <x:c r="HZ11" s="255">
        <x:f t="shared" si="0"/>
        <x:v>26</x:v>
      </x:c>
      <x:c r="IA11" s="255">
        <x:f t="shared" si="0"/>
        <x:v>27</x:v>
      </x:c>
      <x:c r="IB11" s="255">
        <x:f t="shared" si="0"/>
        <x:v>28</x:v>
      </x:c>
      <x:c r="IC11" s="255">
        <x:f t="shared" si="0"/>
        <x:v>29</x:v>
      </x:c>
      <x:c r="ID11" s="255">
        <x:f t="shared" si="0"/>
        <x:v>30</x:v>
      </x:c>
      <x:c r="IE11" s="255">
        <x:f t="shared" si="0"/>
        <x:v>31</x:v>
      </x:c>
      <x:c r="IF11" s="255">
        <x:f t="shared" si="0"/>
        <x:v>32</x:v>
      </x:c>
    </x:row>
    <x:row r="12" spans="1:241" ht="12.6" customHeight="1" thickBot="1" x14ac:dyDescent="0.25">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IF(ISBLANK(CC7),"",CC7)</x:f>
        <x:v/>
      </x:c>
      <x:c r="AB12" s="405" t="str">
        <x:f>AA12</x:f>
        <x:v/>
      </x:c>
      <x:c r="BA12" s="246"/>
      <x:c r="BB12" s="2361"/>
      <x:c r="BC12" s="2362"/>
      <x:c r="BD12" s="2362"/>
      <x:c r="BE12" s="2362"/>
      <x:c r="BF12" s="2362"/>
      <x:c r="BG12" s="2362"/>
      <x:c r="BH12" s="2362"/>
      <x:c r="BI12" s="2362"/>
      <x:c r="BJ12" s="2362"/>
      <x:c r="BK12" s="2362"/>
      <x:c r="BL12" s="2362"/>
      <x:c r="BM12" s="2362"/>
      <x:c r="BN12" s="2362"/>
      <x:c r="BO12" s="2362"/>
      <x:c r="BP12" s="2362"/>
      <x:c r="BQ12" s="2362"/>
      <x:c r="BR12" s="2362"/>
      <x:c r="BS12" s="2362"/>
      <x:c r="BT12" s="2362"/>
      <x:c r="BU12" s="2362"/>
      <x:c r="BV12" s="2362"/>
      <x:c r="BW12" s="2362"/>
      <x:c r="BX12" s="2362"/>
      <x:c r="BY12" s="2362"/>
      <x:c r="BZ12" s="2362"/>
      <x:c r="CA12" s="2362"/>
      <x:c r="CB12" s="2362"/>
      <x:c r="CC12" s="1556"/>
      <x:c r="CD12" s="2365"/>
      <x:c r="CE12" s="2366"/>
      <x:c r="CF12" s="2366"/>
      <x:c r="CG12" s="2367"/>
      <x:c r="CH12" s="244"/>
      <x:c r="CI12" s="244"/>
      <x:c r="CJ12" s="244"/>
      <x:c r="CK12" s="244"/>
      <x:c r="CL12" s="244"/>
      <x:c r="CM12" s="933"/>
      <x:c r="CN12" s="2432" t="s">
        <x:v>679</x:v>
      </x:c>
      <x:c r="CO12" s="2433"/>
      <x:c r="CP12" s="2104" t="s">
        <x:v>615</x:v>
      </x:c>
      <x:c r="CQ12" s="2427"/>
      <x:c r="CR12" s="2394" t="s">
        <x:v>482</x:v>
      </x:c>
      <x:c r="CS12" s="2386" t="s">
        <x:v>483</x:v>
      </x:c>
      <x:c r="CU12" s="246"/>
      <x:c r="CV12" s="246"/>
      <x:c r="CW12" s="246"/>
      <x:c r="CX12" s="246"/>
      <x:c r="CY12" s="246"/>
      <x:c r="CZ12" s="246"/>
      <x:c r="DA12" s="246"/>
      <x:c r="DB12" s="246"/>
      <x:c r="DC12" s="246"/>
      <x:c r="DD12" s="246"/>
      <x:c r="DE12" s="246"/>
      <x:c r="DF12" s="246"/>
      <x:c r="DG12" s="246"/>
      <x:c r="DH12" s="246"/>
      <x:c r="DI12" s="246"/>
      <x:c r="DJ12" s="246"/>
      <x:c r="DK12" s="246"/>
      <x:c r="DL12" s="246"/>
      <x:c r="DM12" s="246"/>
      <x:c r="DN12" s="246"/>
      <x:c r="DO12" s="251"/>
      <x:c r="DQ12" s="418"/>
      <x:c r="DR12" s="246"/>
      <x:c r="DS12" s="246"/>
      <x:c r="DT12" s="246"/>
      <x:c r="DU12" s="246"/>
      <x:c r="DV12" s="246"/>
      <x:c r="DW12" s="404"/>
      <x:c r="DX12" s="404"/>
      <x:c r="DY12" s="404"/>
      <x:c r="DZ12" s="404"/>
      <x:c r="EA12" s="246"/>
      <x:c r="EB12" s="251"/>
      <x:c r="EC12" s="246"/>
      <x:c r="ED12" s="246"/>
      <x:c r="EE12" s="246"/>
      <x:c r="EF12" s="246"/>
      <x:c r="EG12" s="246"/>
      <x:c r="EH12" s="246"/>
      <x:c r="EI12" s="246"/>
      <x:c r="EJ12" s="246"/>
      <x:c r="EK12" s="246"/>
      <x:c r="EL12" s="246"/>
      <x:c r="EM12" s="246"/>
      <x:c r="EN12" s="246"/>
      <x:c r="EO12" s="246"/>
      <x:c r="EP12" s="246"/>
      <x:c r="EQ12" s="246"/>
      <x:c r="ER12" s="246"/>
      <x:c r="ES12" s="246"/>
      <x:c r="ET12" s="246"/>
      <x:c r="EU12" s="246"/>
      <x:c r="EV12" s="2348" t="s">
        <x:v>581</x:v>
      </x:c>
      <x:c r="EW12" s="2346" t="s">
        <x:v>472</x:v>
      </x:c>
      <x:c r="EX12" s="2346" t="s">
        <x:v>525</x:v>
      </x:c>
      <x:c r="EY12" s="2346" t="s">
        <x:v>526</x:v>
      </x:c>
      <x:c r="EZ12" s="2346" t="s">
        <x:v>527</x:v>
      </x:c>
      <x:c r="FA12" s="2346" t="s">
        <x:v>528</x:v>
      </x:c>
      <x:c r="FB12" s="2346" t="s">
        <x:v>529</x:v>
      </x:c>
      <x:c r="FC12" s="2346" t="s">
        <x:v>530</x:v>
      </x:c>
      <x:c r="FD12" s="2346" t="s">
        <x:v>531</x:v>
      </x:c>
      <x:c r="FE12" s="2346" t="s">
        <x:v>473</x:v>
      </x:c>
      <x:c r="FF12" s="2346" t="s">
        <x:v>532</x:v>
      </x:c>
      <x:c r="FG12" s="2346" t="s">
        <x:v>583</x:v>
      </x:c>
      <x:c r="FH12" s="2346" t="s">
        <x:v>474</x:v>
      </x:c>
      <x:c r="FI12" s="2346" t="s">
        <x:v>533</x:v>
      </x:c>
      <x:c r="FJ12" s="2346" t="s">
        <x:v>475</x:v>
      </x:c>
      <x:c r="FK12" s="2346" t="s">
        <x:v>534</x:v>
      </x:c>
      <x:c r="FL12" s="2346" t="s">
        <x:v>584</x:v>
      </x:c>
      <x:c r="FM12" s="2346" t="s">
        <x:v>476</x:v>
      </x:c>
      <x:c r="FN12" s="2346" t="s">
        <x:v>477</x:v>
      </x:c>
      <x:c r="FQ12" s="2319" t="s">
        <x:v>656</x:v>
      </x:c>
      <x:c r="FR12" s="2320"/>
      <x:c r="GA12" s="374"/>
      <x:c r="GB12" s="374"/>
      <x:c r="GC12" s="374"/>
      <x:c r="GD12" s="374"/>
      <x:c r="GE12" s="374"/>
      <x:c r="GF12" s="374"/>
      <x:c r="GG12" s="374"/>
      <x:c r="GH12" s="374"/>
      <x:c r="GI12" s="374"/>
      <x:c r="GJ12" s="374"/>
      <x:c r="HA12" s="2454" t="s">
        <x:v>621</x:v>
      </x:c>
      <x:c r="HB12" s="2455"/>
      <x:c r="HC12" s="2455"/>
      <x:c r="HD12" s="2455"/>
      <x:c r="HE12" s="2455"/>
      <x:c r="HF12" s="2455"/>
      <x:c r="HG12" s="2455"/>
      <x:c r="HH12" s="2455"/>
      <x:c r="HI12" s="2455"/>
      <x:c r="HJ12" s="2455"/>
      <x:c r="HK12" s="2455"/>
      <x:c r="HL12" s="2455"/>
      <x:c r="HM12" s="2455"/>
      <x:c r="HN12" s="2455"/>
      <x:c r="HO12" s="2455"/>
      <x:c r="HP12" s="2455"/>
      <x:c r="HQ12" s="2455"/>
      <x:c r="HR12" s="2455"/>
      <x:c r="HS12" s="2455"/>
      <x:c r="HT12" s="2455"/>
      <x:c r="HU12" s="2455"/>
      <x:c r="HV12" s="2456"/>
      <x:c r="HW12" s="2456"/>
      <x:c r="HX12" s="2456"/>
      <x:c r="HY12" s="2457"/>
      <x:c r="HZ12" s="2457"/>
      <x:c r="IA12" s="2457"/>
      <x:c r="IB12" s="2457"/>
      <x:c r="IC12" s="2457"/>
      <x:c r="ID12" s="2457"/>
      <x:c r="IE12" s="2457"/>
      <x:c r="IF12" s="2458"/>
    </x:row>
    <x:row r="13" spans="1:241" ht="12.2" customHeight="1" thickTop="1" thickBot="1" x14ac:dyDescent="0.25">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AU13" s="2466" t="s">
        <x:v>450</x:v>
      </x:c>
      <x:c r="AV13" s="2319" t="s">
        <x:v>451</x:v>
      </x:c>
      <x:c r="AW13" s="2320"/>
      <x:c r="AX13" s="465"/>
      <x:c r="BA13" s="246"/>
      <x:c r="BB13" s="2477"/>
      <x:c r="BC13" s="2478"/>
      <x:c r="BD13" s="2478"/>
      <x:c r="BE13" s="2478"/>
      <x:c r="BF13" s="1950"/>
      <x:c r="BG13" s="2414" t="s">
        <x:v>469</x:v>
      </x:c>
      <x:c r="BH13" s="2415"/>
      <x:c r="BI13" s="2415"/>
      <x:c r="BJ13" s="2415"/>
      <x:c r="BK13" s="2415"/>
      <x:c r="BL13" s="2416"/>
      <x:c r="BM13" s="2417"/>
      <x:c r="BN13" s="2417"/>
      <x:c r="BO13" s="2418"/>
      <x:c r="BP13" s="2418"/>
      <x:c r="BQ13" s="2418"/>
      <x:c r="BR13" s="2419"/>
      <x:c r="BS13" s="2414" t="s">
        <x:v>470</x:v>
      </x:c>
      <x:c r="BT13" s="2416"/>
      <x:c r="BU13" s="2416"/>
      <x:c r="BV13" s="2416"/>
      <x:c r="BW13" s="2416"/>
      <x:c r="BX13" s="2416"/>
      <x:c r="BY13" s="2417"/>
      <x:c r="BZ13" s="2417"/>
      <x:c r="CA13" s="2418"/>
      <x:c r="CB13" s="2418"/>
      <x:c r="CC13" s="2418"/>
      <x:c r="CD13" s="2419"/>
      <x:c r="CE13" s="2468" t="s">
        <x:v>804</x:v>
      </x:c>
      <x:c r="CF13" s="2447"/>
      <x:c r="CG13" s="2448"/>
      <x:c r="CH13" s="244"/>
      <x:c r="CI13" s="244"/>
      <x:c r="CJ13" s="244"/>
      <x:c r="CK13" s="244"/>
      <x:c r="CL13" s="934"/>
      <x:c r="CM13" s="935"/>
      <x:c r="CN13" s="2434"/>
      <x:c r="CO13" s="2435"/>
      <x:c r="CP13" s="2428"/>
      <x:c r="CQ13" s="2429"/>
      <x:c r="CR13" s="2395"/>
      <x:c r="CS13" s="2387"/>
      <x:c r="CU13" s="2397" t="s">
        <x:v>471</x:v>
      </x:c>
      <x:c r="CV13" s="2398"/>
      <x:c r="CW13" s="2398"/>
      <x:c r="CX13" s="2398"/>
      <x:c r="CY13" s="2398"/>
      <x:c r="CZ13" s="2398"/>
      <x:c r="DA13" s="2398"/>
      <x:c r="DB13" s="2398"/>
      <x:c r="DC13" s="2398"/>
      <x:c r="DD13" s="2399"/>
      <x:c r="DE13" s="2397" t="s">
        <x:v>470</x:v>
      </x:c>
      <x:c r="DF13" s="2398"/>
      <x:c r="DG13" s="2398"/>
      <x:c r="DH13" s="2398"/>
      <x:c r="DI13" s="2398"/>
      <x:c r="DJ13" s="2398"/>
      <x:c r="DK13" s="2398"/>
      <x:c r="DL13" s="2398"/>
      <x:c r="DM13" s="2398"/>
      <x:c r="DN13" s="2399"/>
      <x:c r="DQ13" s="424"/>
      <x:c r="DR13" s="246"/>
      <x:c r="DS13" s="419"/>
      <x:c r="DT13" s="419"/>
      <x:c r="DU13" s="419"/>
      <x:c r="DV13" s="419"/>
      <x:c r="DW13" s="246"/>
      <x:c r="DX13" s="246"/>
      <x:c r="DY13" s="246"/>
      <x:c r="DZ13" s="246"/>
      <x:c r="EA13" s="246"/>
      <x:c r="EB13" s="246"/>
      <x:c r="EC13" s="246"/>
      <x:c r="ED13" s="416"/>
      <x:c r="EE13" s="424"/>
      <x:c r="EF13" s="424"/>
      <x:c r="EG13" s="424"/>
      <x:c r="EH13" s="424"/>
      <x:c r="EI13" s="424"/>
      <x:c r="EJ13" s="424"/>
      <x:c r="EK13" s="424"/>
      <x:c r="EL13" s="424"/>
      <x:c r="EM13" s="424"/>
      <x:c r="EN13" s="424"/>
      <x:c r="EO13" s="424"/>
      <x:c r="EP13" s="424"/>
      <x:c r="EQ13" s="424"/>
      <x:c r="ER13" s="424"/>
      <x:c r="ES13" s="424"/>
      <x:c r="ET13" s="424"/>
      <x:c r="EU13" s="425"/>
      <x:c r="EV13" s="2349"/>
      <x:c r="EW13" s="2307"/>
      <x:c r="EX13" s="2347"/>
      <x:c r="EY13" s="2347"/>
      <x:c r="EZ13" s="2422"/>
      <x:c r="FA13" s="2347"/>
      <x:c r="FB13" s="2347"/>
      <x:c r="FC13" s="2347"/>
      <x:c r="FD13" s="2423"/>
      <x:c r="FE13" s="2423"/>
      <x:c r="FF13" s="2423"/>
      <x:c r="FG13" s="2423"/>
      <x:c r="FH13" s="2423"/>
      <x:c r="FI13" s="2423"/>
      <x:c r="FJ13" s="2423"/>
      <x:c r="FK13" s="2423"/>
      <x:c r="FL13" s="2423"/>
      <x:c r="FM13" s="2423"/>
      <x:c r="FN13" s="2423"/>
      <x:c r="FQ13" s="2321"/>
      <x:c r="FR13" s="2322"/>
      <x:c r="GA13" s="2318" t="s">
        <x:v>1140</x:v>
      </x:c>
      <x:c r="GB13" s="2318"/>
      <x:c r="GC13" s="2318"/>
      <x:c r="GD13" s="2318"/>
      <x:c r="GE13" s="2318"/>
      <x:c r="GF13" s="2318"/>
      <x:c r="GG13" s="1935"/>
      <x:c r="GH13" s="1935"/>
      <x:c r="GI13" s="1935"/>
      <x:c r="GJ13" s="1935"/>
      <x:c r="HA13" s="2459"/>
      <x:c r="HB13" s="2460"/>
      <x:c r="HC13" s="2460"/>
      <x:c r="HD13" s="2460"/>
      <x:c r="HE13" s="2460"/>
      <x:c r="HF13" s="2460"/>
      <x:c r="HG13" s="2460"/>
      <x:c r="HH13" s="2460"/>
      <x:c r="HI13" s="2460"/>
      <x:c r="HJ13" s="2460"/>
      <x:c r="HK13" s="2460"/>
      <x:c r="HL13" s="2460"/>
      <x:c r="HM13" s="2460"/>
      <x:c r="HN13" s="2460"/>
      <x:c r="HO13" s="2460"/>
      <x:c r="HP13" s="2460"/>
      <x:c r="HQ13" s="2460"/>
      <x:c r="HR13" s="2460"/>
      <x:c r="HS13" s="2460"/>
      <x:c r="HT13" s="2460"/>
      <x:c r="HU13" s="2460"/>
      <x:c r="HV13" s="2461"/>
      <x:c r="HW13" s="2461"/>
      <x:c r="HX13" s="2461"/>
      <x:c r="HY13" s="2462"/>
      <x:c r="HZ13" s="2462"/>
      <x:c r="IA13" s="2462"/>
      <x:c r="IB13" s="2462"/>
      <x:c r="IC13" s="2462"/>
      <x:c r="ID13" s="2462"/>
      <x:c r="IE13" s="2462"/>
      <x:c r="IF13" s="2463"/>
    </x:row>
    <x:row r="14" spans="1:241" ht="12.6" customHeight="1" thickTop="1" thickBot="1" x14ac:dyDescent="0.25">
      <x:c r="A14" s="2410" t="s">
        <x:v>40</x:v>
      </x:c>
      <x:c r="B14" s="2384" t="s">
        <x:v>28</x:v>
      </x:c>
      <x:c r="C14" s="2384" t="s">
        <x:v>24</x:v>
      </x:c>
      <x:c r="D14" s="2384" t="s">
        <x:v>25</x:v>
      </x:c>
      <x:c r="E14" s="2464"/>
      <x:c r="F14" s="2076" t="s">
        <x:v>9</x:v>
      </x:c>
      <x:c r="G14" s="2077"/>
      <x:c r="H14" s="2077"/>
      <x:c r="I14" s="2077" t="s">
        <x:v>10</x:v>
      </x:c>
      <x:c r="J14" s="2077"/>
      <x:c r="K14" s="2078"/>
      <x:c r="L14" s="2076" t="s">
        <x:v>11</x:v>
      </x:c>
      <x:c r="M14" s="2078"/>
      <x:c r="N14" s="1969" t="s">
        <x:v>12</x:v>
      </x:c>
      <x:c r="O14" s="2077"/>
      <x:c r="P14" s="2077"/>
      <x:c r="Q14" s="2077" t="s">
        <x:v>13</x:v>
      </x:c>
      <x:c r="R14" s="2077"/>
      <x:c r="S14" s="1967"/>
      <x:c r="T14" s="2076" t="s">
        <x:v>14</x:v>
      </x:c>
      <x:c r="U14" s="2077"/>
      <x:c r="V14" s="2077"/>
      <x:c r="W14" s="2077"/>
      <x:c r="X14" s="2078"/>
      <x:c r="Y14" s="2071" t="s">
        <x:v>111</x:v>
      </x:c>
      <x:c r="Z14" s="2072"/>
      <x:c r="AA14" s="1059" t="s">
        <x:v>15</x:v>
      </x:c>
      <x:c r="AB14" s="1411"/>
      <x:c r="AD14" s="426"/>
      <x:c r="AE14" s="426"/>
      <x:c r="AF14" s="426"/>
      <x:c r="AG14" s="426"/>
      <x:c r="AH14" s="426"/>
      <x:c r="AI14" s="426"/>
      <x:c r="AJ14" s="426"/>
      <x:c r="AK14" s="426"/>
      <x:c r="AL14" s="426"/>
      <x:c r="AM14" s="426"/>
      <x:c r="AN14" s="426"/>
      <x:c r="AO14" s="426"/>
      <x:c r="AP14" s="426"/>
      <x:c r="AQ14" s="426"/>
      <x:c r="AR14" s="426"/>
      <x:c r="AS14" s="426"/>
      <x:c r="AT14" s="426"/>
      <x:c r="AU14" s="1897"/>
      <x:c r="AV14" s="2321"/>
      <x:c r="AW14" s="2322"/>
      <x:c r="AX14" s="502"/>
      <x:c r="AY14" s="426"/>
      <x:c r="AZ14" s="2337" t="s">
        <x:v>1059</x:v>
      </x:c>
      <x:c r="BA14" s="246"/>
      <x:c r="BB14" s="2420" t="s">
        <x:v>539</x:v>
      </x:c>
      <x:c r="BC14" s="2400" t="s">
        <x:v>130</x:v>
      </x:c>
      <x:c r="BD14" s="2401" t="s">
        <x:v>540</x:v>
      </x:c>
      <x:c r="BE14" s="2402" t="s">
        <x:v>1290</x:v>
      </x:c>
      <x:c r="BF14" s="2403"/>
      <x:c r="BG14" s="2226" t="s">
        <x:v>1282</x:v>
      </x:c>
      <x:c r="BH14" s="2401" t="s">
        <x:v>803</x:v>
      </x:c>
      <x:c r="BI14" s="2229"/>
      <x:c r="BJ14" s="2368" t="s">
        <x:v>541</x:v>
      </x:c>
      <x:c r="BK14" s="2401" t="s">
        <x:v>1072</x:v>
      </x:c>
      <x:c r="BL14" s="2229"/>
      <x:c r="BM14" s="2400" t="s">
        <x:v>488</x:v>
      </x:c>
      <x:c r="BN14" s="2488" t="s">
        <x:v>793</x:v>
      </x:c>
      <x:c r="BO14" s="2475" t="s">
        <x:v>1275</x:v>
      </x:c>
      <x:c r="BP14" s="1937" t="s">
        <x:v>1276</x:v>
      </x:c>
      <x:c r="BQ14" s="1938"/>
      <x:c r="BR14" s="1939"/>
      <x:c r="BS14" s="2226" t="s">
        <x:v>1282</x:v>
      </x:c>
      <x:c r="BT14" s="2401" t="s">
        <x:v>803</x:v>
      </x:c>
      <x:c r="BU14" s="2229"/>
      <x:c r="BV14" s="2368" t="s">
        <x:v>541</x:v>
      </x:c>
      <x:c r="BW14" s="2401" t="s">
        <x:v>1072</x:v>
      </x:c>
      <x:c r="BX14" s="2229"/>
      <x:c r="BY14" s="2400" t="s">
        <x:v>488</x:v>
      </x:c>
      <x:c r="BZ14" s="2473" t="s">
        <x:v>793</x:v>
      </x:c>
      <x:c r="CA14" s="2475" t="s">
        <x:v>1275</x:v>
      </x:c>
      <x:c r="CB14" s="1937" t="s">
        <x:v>1276</x:v>
      </x:c>
      <x:c r="CC14" s="1938"/>
      <x:c r="CD14" s="1939"/>
      <x:c r="CE14" s="2469"/>
      <x:c r="CF14" s="2449"/>
      <x:c r="CG14" s="2448"/>
      <x:c r="CH14" s="2389" t="s">
        <x:v>588</x:v>
      </x:c>
      <x:c r="CI14" s="2390"/>
      <x:c r="CJ14" s="2390"/>
      <x:c r="CK14" s="2389" t="s">
        <x:v>589</x:v>
      </x:c>
      <x:c r="CL14" s="2436" t="s">
        <x:v>786</x:v>
      </x:c>
      <x:c r="CM14" s="2436"/>
      <x:c r="CN14" s="2434"/>
      <x:c r="CO14" s="2435"/>
      <x:c r="CP14" s="2430"/>
      <x:c r="CQ14" s="2431"/>
      <x:c r="CR14" s="2395"/>
      <x:c r="CS14" s="2387"/>
      <x:c r="CT14" s="426"/>
      <x:c r="CU14" s="2342" t="s">
        <x:v>498</x:v>
      </x:c>
      <x:c r="CV14" s="2302" t="s">
        <x:v>499</x:v>
      </x:c>
      <x:c r="CW14" s="2302" t="s">
        <x:v>500</x:v>
      </x:c>
      <x:c r="CX14" s="2302" t="s">
        <x:v>501</x:v>
      </x:c>
      <x:c r="CY14" s="2302" t="s">
        <x:v>560</x:v>
      </x:c>
      <x:c r="CZ14" s="2302" t="s">
        <x:v>578</x:v>
      </x:c>
      <x:c r="DA14" s="2302" t="s">
        <x:v>502</x:v>
      </x:c>
      <x:c r="DB14" s="2302" t="s">
        <x:v>579</x:v>
      </x:c>
      <x:c r="DC14" s="2302" t="s">
        <x:v>503</x:v>
      </x:c>
      <x:c r="DD14" s="2302" t="s">
        <x:v>504</x:v>
      </x:c>
      <x:c r="DE14" s="2342" t="s">
        <x:v>498</x:v>
      </x:c>
      <x:c r="DF14" s="2302" t="s">
        <x:v>499</x:v>
      </x:c>
      <x:c r="DG14" s="2302" t="s">
        <x:v>505</x:v>
      </x:c>
      <x:c r="DH14" s="2302" t="s">
        <x:v>501</x:v>
      </x:c>
      <x:c r="DI14" s="2302" t="s">
        <x:v>560</x:v>
      </x:c>
      <x:c r="DJ14" s="2302" t="s">
        <x:v>578</x:v>
      </x:c>
      <x:c r="DK14" s="2302" t="s">
        <x:v>502</x:v>
      </x:c>
      <x:c r="DL14" s="2302" t="s">
        <x:v>579</x:v>
      </x:c>
      <x:c r="DM14" s="2302" t="s">
        <x:v>503</x:v>
      </x:c>
      <x:c r="DN14" s="2344" t="s">
        <x:v>504</x:v>
      </x:c>
      <x:c r="DO14" s="2339" t="s">
        <x:v>491</x:v>
      </x:c>
      <x:c r="DP14" s="2437" t="s">
        <x:v>506</x:v>
      </x:c>
      <x:c r="DQ14" s="2333" t="s">
        <x:v>507</x:v>
      </x:c>
      <x:c r="DR14" s="2304" t="s">
        <x:v>508</x:v>
      </x:c>
      <x:c r="DS14" s="2306" t="s">
        <x:v>543</x:v>
      </x:c>
      <x:c r="DT14" s="2331" t="s">
        <x:v>509</x:v>
      </x:c>
      <x:c r="DU14" s="2332"/>
      <x:c r="DV14" s="2308" t="s">
        <x:v>1103</x:v>
      </x:c>
      <x:c r="DW14" s="2335" t="s">
        <x:v>1104</x:v>
      </x:c>
      <x:c r="DX14" s="2337" t="s">
        <x:v>514</x:v>
      </x:c>
      <x:c r="DY14" s="2306" t="s">
        <x:v>544</x:v>
      </x:c>
      <x:c r="DZ14" s="2331" t="s">
        <x:v>511</x:v>
      </x:c>
      <x:c r="EA14" s="2332"/>
      <x:c r="EB14" s="2335" t="s">
        <x:v>1105</x:v>
      </x:c>
      <x:c r="EC14" s="2335" t="s">
        <x:v>1106</x:v>
      </x:c>
      <x:c r="ED14" s="2337" t="s">
        <x:v>516</x:v>
      </x:c>
      <x:c r="EE14" s="2333" t="s">
        <x:v>545</x:v>
      </x:c>
      <x:c r="EF14" s="2351" t="s">
        <x:v>546</x:v>
      </x:c>
      <x:c r="EG14" s="2352"/>
      <x:c r="EH14" s="2351" t="s">
        <x:v>547</x:v>
      </x:c>
      <x:c r="EI14" s="2353"/>
      <x:c r="EJ14" s="2304" t="s">
        <x:v>548</x:v>
      </x:c>
      <x:c r="EK14" s="2341"/>
      <x:c r="EL14" s="2333" t="s">
        <x:v>568</x:v>
      </x:c>
      <x:c r="EM14" s="2351" t="s">
        <x:v>549</x:v>
      </x:c>
      <x:c r="EN14" s="2352"/>
      <x:c r="EO14" s="2351" t="s">
        <x:v>550</x:v>
      </x:c>
      <x:c r="EP14" s="2353"/>
      <x:c r="EQ14" s="2304" t="s">
        <x:v>551</x:v>
      </x:c>
      <x:c r="ER14" s="2341"/>
      <x:c r="ES14" s="2333" t="s">
        <x:v>12</x:v>
      </x:c>
      <x:c r="ET14" s="2333" t="s">
        <x:v>13</x:v>
      </x:c>
      <x:c r="EU14" s="2304" t="s">
        <x:v>582</x:v>
      </x:c>
      <x:c r="EV14" s="2349"/>
      <x:c r="EW14" s="2307"/>
      <x:c r="EX14" s="2347"/>
      <x:c r="EY14" s="2347"/>
      <x:c r="EZ14" s="2422"/>
      <x:c r="FA14" s="2347"/>
      <x:c r="FB14" s="2347"/>
      <x:c r="FC14" s="2347"/>
      <x:c r="FD14" s="2423"/>
      <x:c r="FE14" s="2423"/>
      <x:c r="FF14" s="2423"/>
      <x:c r="FG14" s="2423"/>
      <x:c r="FH14" s="2423"/>
      <x:c r="FI14" s="2423"/>
      <x:c r="FJ14" s="2423"/>
      <x:c r="FK14" s="2423"/>
      <x:c r="FL14" s="2423"/>
      <x:c r="FM14" s="2423"/>
      <x:c r="FN14" s="2423"/>
      <x:c r="FO14" s="2333" t="s">
        <x:v>590</x:v>
      </x:c>
      <x:c r="FP14" s="2333" t="s">
        <x:v>591</x:v>
      </x:c>
      <x:c r="FQ14" s="2439" t="s">
        <x:v>654</x:v>
      </x:c>
      <x:c r="FR14" s="2442" t="s">
        <x:v>655</x:v>
      </x:c>
      <x:c r="FS14" s="2437" t="s">
        <x:v>682</x:v>
      </x:c>
      <x:c r="FT14" s="2450" t="s">
        <x:v>683</x:v>
      </x:c>
      <x:c r="FU14" s="2159" t="s">
        <x:v>787</x:v>
      </x:c>
      <x:c r="FV14" s="2160"/>
      <x:c r="FW14" s="426"/>
      <x:c r="FX14" s="426"/>
      <x:c r="FY14" s="426"/>
      <x:c r="FZ14" s="426"/>
      <x:c r="GA14" s="2118" t="s">
        <x:v>708</x:v>
      </x:c>
      <x:c r="GB14" s="2119"/>
      <x:c r="GC14" s="2118" t="s">
        <x:v>558</x:v>
      </x:c>
      <x:c r="GD14" s="2119"/>
      <x:c r="GE14" s="2120" t="s">
        <x:v>711</x:v>
      </x:c>
      <x:c r="GF14" s="2122" t="s">
        <x:v>40</x:v>
      </x:c>
      <x:c r="GG14" s="2316" t="s">
        <x:v>1142</x:v>
      </x:c>
      <x:c r="GH14" s="2317"/>
      <x:c r="GI14" s="2316" t="s">
        <x:v>1141</x:v>
      </x:c>
      <x:c r="GJ14" s="2317"/>
      <x:c r="GK14" s="2123" t="s">
        <x:v>712</x:v>
      </x:c>
      <x:c r="GL14" s="2123" t="s">
        <x:v>713</x:v>
      </x:c>
      <x:c r="GM14" s="2123" t="s">
        <x:v>714</x:v>
      </x:c>
      <x:c r="HA14" s="2440" t="s">
        <x:v>539</x:v>
      </x:c>
      <x:c r="HB14" s="2314" t="s">
        <x:v>130</x:v>
      </x:c>
      <x:c r="HC14" s="2314" t="s">
        <x:v>540</x:v>
      </x:c>
      <x:c r="HD14" s="2424" t="str">
        <x:f>IF($HA$1,"Joist ""BayLength""","Overall Length")</x:f>
        <x:v>Overall Length</x:v>
      </x:c>
      <x:c r="HE14" s="2314"/>
      <x:c r="HF14" s="2312" t="str">
        <x:f>IF($HA$1,"Left Sect. #","TCXL Feet")</x:f>
        <x:v>TCXL Feet</x:v>
      </x:c>
      <x:c r="HG14" s="2312" t="str">
        <x:f>IF($HA$1,"L Min Sup Width","TCXL Inch")</x:f>
        <x:v>TCXL Inch</x:v>
      </x:c>
      <x:c r="HH14" s="2312" t="str">
        <x:f>IF($HA$1,"L Max Sup Width","TCXL Type")</x:f>
        <x:v>TCXL Type</x:v>
      </x:c>
      <x:c r="HI14" s="2312" t="str">
        <x:f>IF($HA$1,"Left Bolt ""X""","TCXR Feet")</x:f>
        <x:v>TCXR Feet</x:v>
      </x:c>
      <x:c r="HJ14" s="2312" t="str">
        <x:f>IF($HA$1,"L Min Flg Ga","TCXR Inch")</x:f>
        <x:v>TCXR Inch</x:v>
      </x:c>
      <x:c r="HK14" s="2312" t="str">
        <x:f>IF($HA$1,"L Max Flg Ga","TCXR Type")</x:f>
        <x:v>TCXR Type</x:v>
      </x:c>
      <x:c r="HL14" s="2312" t="str">
        <x:f>IF($HA$1,"Left Skew","BDL")</x:f>
        <x:v>BDL</x:v>
      </x:c>
      <x:c r="HM14" s="2312" t="str">
        <x:f>IF($HA$1,"Left Brg Slp","BDR")</x:f>
        <x:v>BDR</x:v>
      </x:c>
      <x:c r="HN14" s="2312" t="str">
        <x:f>IF($HA$1,"Right Sect. #","BCXL Feet")</x:f>
        <x:v>BCXL Feet</x:v>
      </x:c>
      <x:c r="HO14" s="2312" t="str">
        <x:f>IF($HA$1,"R Min Sup Width","BCXL Inch")</x:f>
        <x:v>BCXL Inch</x:v>
      </x:c>
      <x:c r="HP14" s="2312" t="str">
        <x:f>IF($HA$1,"R Max Sup Width","BCXL Type")</x:f>
        <x:v>BCXL Type</x:v>
      </x:c>
      <x:c r="HQ14" s="2312" t="str">
        <x:f>IF($HA$1,"Right Bolt ""X""","BCXR Feet")</x:f>
        <x:v>BCXR Feet</x:v>
      </x:c>
      <x:c r="HR14" s="2312" t="str">
        <x:f>IF($HA$1,"R Min Flg Ga","BCXR Inch")</x:f>
        <x:v>BCXR Inch</x:v>
      </x:c>
      <x:c r="HS14" s="2312" t="str">
        <x:f>IF($HA$1,"R Max Flg Ga","BCXR Type")</x:f>
        <x:v>BCXR Type</x:v>
      </x:c>
      <x:c r="HT14" s="2312" t="str">
        <x:f>IF($HA$1,"Right Skew","HL Feet")</x:f>
        <x:v>HL Feet</x:v>
      </x:c>
      <x:c r="HU14" s="2312" t="str">
        <x:f>IF($HA$1,"Right Brg Slp","HL Inch")</x:f>
        <x:v>HL Inch</x:v>
      </x:c>
      <x:c r="HV14" s="2312" t="str">
        <x:f>IF($HA$1,"TC Slope","HR Feet")</x:f>
        <x:v>HR Feet</x:v>
      </x:c>
      <x:c r="HW14" s="2312" t="str">
        <x:f>IF($HA$1,"Load Notes","HR Inch")</x:f>
        <x:v>HR Inch</x:v>
      </x:c>
      <x:c r="HX14" s="2312" t="str">
        <x:f>IF($HA$1,"Spcl Notes","Slot Ga")</x:f>
        <x:v>Slot Ga</x:v>
      </x:c>
      <x:c r="HY14" s="2312" t="str">
        <x:f>IF($HA$1,"TC L Override","L Seat Slp")</x:f>
        <x:v>L Seat Slp</x:v>
      </x:c>
      <x:c r="HZ14" s="2312" t="str">
        <x:f>IF($HA$1,"TCR Override","R Seat Slp")</x:f>
        <x:v>R Seat Slp</x:v>
      </x:c>
      <x:c r="IA14" s="2312" t="str">
        <x:f>IF($HA$1,"L-BL Override","Sp Notes")</x:f>
        <x:v>Sp Notes</x:v>
      </x:c>
      <x:c r="IB14" s="2312" t="str">
        <x:f>IF($HA$1,"R-BL Override","Ld Notes")</x:f>
        <x:v>Ld Notes</x:v>
      </x:c>
      <x:c r="IC14" s="2312" t="str">
        <x:f>IF($HA$1,"BCXL ""X""","-")</x:f>
        <x:v>-</x:v>
      </x:c>
      <x:c r="ID14" s="2312" t="str">
        <x:f>IF($HA$1,"BCXR ""X""","-")</x:f>
        <x:v>-</x:v>
      </x:c>
      <x:c r="IE14" s="2312" t="str">
        <x:f>IF($HA$1,"BDL Override","-")</x:f>
        <x:v>-</x:v>
      </x:c>
      <x:c r="IF14" s="2452" t="str">
        <x:f>IF($HA$1,"BDR Override","-")</x:f>
        <x:v>-</x:v>
      </x:c>
    </x:row>
    <x:row r="15" spans="1:241" ht="12.6" customHeight="1" thickTop="1" thickBot="1" x14ac:dyDescent="0.25">
      <x:c r="A15" s="2411"/>
      <x:c r="B15" s="2385"/>
      <x:c r="C15" s="2385"/>
      <x:c r="D15" s="2385"/>
      <x:c r="E15" s="2465"/>
      <x:c r="F15" s="1980" t="s">
        <x:v>16</x:v>
      </x:c>
      <x:c r="G15" s="2070"/>
      <x:c r="H15" s="1102" t="s">
        <x:v>732</x:v>
      </x:c>
      <x:c r="I15" s="2070" t="s">
        <x:v>16</x:v>
      </x:c>
      <x:c r="J15" s="2070"/>
      <x:c r="K15" s="461" t="s">
        <x:v>732</x:v>
      </x:c>
      <x:c r="L15" s="1106" t="s">
        <x:v>18</x:v>
      </x:c>
      <x:c r="M15" s="461" t="s">
        <x:v>19</x:v>
      </x:c>
      <x:c r="N15" s="1977" t="s">
        <x:v>16</x:v>
      </x:c>
      <x:c r="O15" s="2070"/>
      <x:c r="P15" s="1102" t="s">
        <x:v>732</x:v>
      </x:c>
      <x:c r="Q15" s="2070" t="s">
        <x:v>16</x:v>
      </x:c>
      <x:c r="R15" s="2070"/>
      <x:c r="S15" s="1065" t="s">
        <x:v>732</x:v>
      </x:c>
      <x:c r="T15" s="1980" t="s">
        <x:v>80</x:v>
      </x:c>
      <x:c r="U15" s="2070"/>
      <x:c r="V15" s="2070" t="s">
        <x:v>81</x:v>
      </x:c>
      <x:c r="W15" s="2070"/>
      <x:c r="X15" s="461" t="s">
        <x:v>27</x:v>
      </x:c>
      <x:c r="Y15" s="1106" t="s">
        <x:v>112</x:v>
      </x:c>
      <x:c r="Z15" s="461" t="s">
        <x:v>113</x:v>
      </x:c>
      <x:c r="AA15" s="1060" t="s">
        <x:v>57</x:v>
      </x:c>
      <x:c r="AB15" s="1412"/>
      <x:c r="AC15" s="963" t="s">
        <x:v>1101</x:v>
      </x:c>
      <x:c r="AD15" s="427" t="s">
        <x:v>73</x:v>
      </x:c>
      <x:c r="AE15" s="428" t="s">
        <x:v>74</x:v>
      </x:c>
      <x:c r="AF15" s="428" t="s">
        <x:v>75</x:v>
      </x:c>
      <x:c r="AG15" s="428" t="s">
        <x:v>76</x:v>
      </x:c>
      <x:c r="AH15" s="429" t="s">
        <x:v>114</x:v>
      </x:c>
      <x:c r="AI15" s="430" t="s">
        <x:v>170</x:v>
      </x:c>
      <x:c r="AJ15" s="372" t="s">
        <x:v>171</x:v>
      </x:c>
      <x:c r="AK15" s="372" t="s">
        <x:v>172</x:v>
      </x:c>
      <x:c r="AL15" s="372" t="s">
        <x:v>173</x:v>
      </x:c>
      <x:c r="AM15" s="372" t="s">
        <x:v>147</x:v>
      </x:c>
      <x:c r="AN15" s="372" t="s">
        <x:v>748</x:v>
      </x:c>
      <x:c r="AO15" s="372" t="s">
        <x:v>749</x:v>
      </x:c>
      <x:c r="AP15" s="372" t="s">
        <x:v>179</x:v>
      </x:c>
      <x:c r="AQ15" s="372" t="s">
        <x:v>176</x:v>
      </x:c>
      <x:c r="AR15" s="372" t="s">
        <x:v>174</x:v>
      </x:c>
      <x:c r="AS15" s="372" t="s">
        <x:v>177</x:v>
      </x:c>
      <x:c r="AT15" s="372" t="s">
        <x:v>178</x:v>
      </x:c>
      <x:c r="AU15" s="1898"/>
      <x:c r="AV15" s="2392"/>
      <x:c r="AW15" s="2393"/>
      <x:c r="AX15" s="503" t="s">
        <x:v>632</x:v>
      </x:c>
      <x:c r="AY15" s="503" t="s">
        <x:v>133</x:v>
      </x:c>
      <x:c r="AZ15" s="2467"/>
      <x:c r="BA15" s="246"/>
      <x:c r="BB15" s="2128"/>
      <x:c r="BC15" s="2057"/>
      <x:c r="BD15" s="2130"/>
      <x:c r="BE15" s="2404"/>
      <x:c r="BF15" s="2405"/>
      <x:c r="BG15" s="2227"/>
      <x:c r="BH15" s="2471"/>
      <x:c r="BI15" s="2472"/>
      <x:c r="BJ15" s="2369"/>
      <x:c r="BK15" s="2471"/>
      <x:c r="BL15" s="2472"/>
      <x:c r="BM15" s="2057"/>
      <x:c r="BN15" s="2489"/>
      <x:c r="BO15" s="2476"/>
      <x:c r="BP15" s="1546" t="s">
        <x:v>1277</x:v>
      </x:c>
      <x:c r="BQ15" s="1547" t="s">
        <x:v>1278</x:v>
      </x:c>
      <x:c r="BR15" s="1548" t="s">
        <x:v>501</x:v>
      </x:c>
      <x:c r="BS15" s="2227"/>
      <x:c r="BT15" s="2471"/>
      <x:c r="BU15" s="2472"/>
      <x:c r="BV15" s="2369"/>
      <x:c r="BW15" s="2471"/>
      <x:c r="BX15" s="2472"/>
      <x:c r="BY15" s="2057"/>
      <x:c r="BZ15" s="2474"/>
      <x:c r="CA15" s="2476"/>
      <x:c r="CB15" s="1546" t="s">
        <x:v>1277</x:v>
      </x:c>
      <x:c r="CC15" s="1547" t="s">
        <x:v>1278</x:v>
      </x:c>
      <x:c r="CD15" s="1548" t="s">
        <x:v>501</x:v>
      </x:c>
      <x:c r="CE15" s="2470"/>
      <x:c r="CF15" s="1554" t="s">
        <x:v>418</x:v>
      </x:c>
      <x:c r="CG15" s="1549" t="s">
        <x:v>553</x:v>
      </x:c>
      <x:c r="CH15" s="498" t="s">
        <x:v>585</x:v>
      </x:c>
      <x:c r="CI15" s="433" t="s">
        <x:v>586</x:v>
      </x:c>
      <x:c r="CJ15" s="434" t="s">
        <x:v>587</x:v>
      </x:c>
      <x:c r="CK15" s="2391"/>
      <x:c r="CL15" s="499" t="s">
        <x:v>606</x:v>
      </x:c>
      <x:c r="CM15" s="500" t="s">
        <x:v>607</x:v>
      </x:c>
      <x:c r="CN15" s="932" t="s">
        <x:v>606</x:v>
      </x:c>
      <x:c r="CO15" s="435" t="s">
        <x:v>607</x:v>
      </x:c>
      <x:c r="CP15" s="436" t="s">
        <x:v>520</x:v>
      </x:c>
      <x:c r="CQ15" s="437" t="s">
        <x:v>169</x:v>
      </x:c>
      <x:c r="CR15" s="2396"/>
      <x:c r="CS15" s="2388"/>
      <x:c r="CT15" s="426"/>
      <x:c r="CU15" s="2343"/>
      <x:c r="CV15" s="2325"/>
      <x:c r="CW15" s="2325"/>
      <x:c r="CX15" s="2303"/>
      <x:c r="CY15" s="2303"/>
      <x:c r="CZ15" s="2303"/>
      <x:c r="DA15" s="2303"/>
      <x:c r="DB15" s="2303"/>
      <x:c r="DC15" s="2303"/>
      <x:c r="DD15" s="2303"/>
      <x:c r="DE15" s="2343"/>
      <x:c r="DF15" s="2325"/>
      <x:c r="DG15" s="2325"/>
      <x:c r="DH15" s="2303"/>
      <x:c r="DI15" s="2303"/>
      <x:c r="DJ15" s="2303"/>
      <x:c r="DK15" s="2303"/>
      <x:c r="DL15" s="2303"/>
      <x:c r="DM15" s="2303"/>
      <x:c r="DN15" s="2345"/>
      <x:c r="DO15" s="2340"/>
      <x:c r="DP15" s="2451"/>
      <x:c r="DQ15" s="2334"/>
      <x:c r="DR15" s="2305"/>
      <x:c r="DS15" s="2307"/>
      <x:c r="DT15" s="438" t="s">
        <x:v>554</x:v>
      </x:c>
      <x:c r="DU15" s="438" t="s">
        <x:v>555</x:v>
      </x:c>
      <x:c r="DV15" s="2309"/>
      <x:c r="DW15" s="2336"/>
      <x:c r="DX15" s="2338"/>
      <x:c r="DY15" s="2307"/>
      <x:c r="DZ15" s="438" t="s">
        <x:v>554</x:v>
      </x:c>
      <x:c r="EA15" s="438" t="s">
        <x:v>555</x:v>
      </x:c>
      <x:c r="EB15" s="2336"/>
      <x:c r="EC15" s="2336"/>
      <x:c r="ED15" s="2338"/>
      <x:c r="EE15" s="2354"/>
      <x:c r="EF15" s="439" t="s">
        <x:v>521</x:v>
      </x:c>
      <x:c r="EG15" s="440" t="s">
        <x:v>522</x:v>
      </x:c>
      <x:c r="EH15" s="439" t="s">
        <x:v>521</x:v>
      </x:c>
      <x:c r="EI15" s="440" t="s">
        <x:v>522</x:v>
      </x:c>
      <x:c r="EJ15" s="439" t="s">
        <x:v>521</x:v>
      </x:c>
      <x:c r="EK15" s="440" t="s">
        <x:v>522</x:v>
      </x:c>
      <x:c r="EL15" s="2354"/>
      <x:c r="EM15" s="439" t="s">
        <x:v>521</x:v>
      </x:c>
      <x:c r="EN15" s="440" t="s">
        <x:v>522</x:v>
      </x:c>
      <x:c r="EO15" s="439" t="s">
        <x:v>521</x:v>
      </x:c>
      <x:c r="EP15" s="440" t="s">
        <x:v>522</x:v>
      </x:c>
      <x:c r="EQ15" s="439" t="s">
        <x:v>521</x:v>
      </x:c>
      <x:c r="ER15" s="440" t="s">
        <x:v>522</x:v>
      </x:c>
      <x:c r="ES15" s="2357"/>
      <x:c r="ET15" s="2357"/>
      <x:c r="EU15" s="2358"/>
      <x:c r="EV15" s="2350"/>
      <x:c r="EW15" s="2307"/>
      <x:c r="EX15" s="2347"/>
      <x:c r="EY15" s="2347"/>
      <x:c r="EZ15" s="2422"/>
      <x:c r="FA15" s="2347"/>
      <x:c r="FB15" s="2347"/>
      <x:c r="FC15" s="2347"/>
      <x:c r="FD15" s="2423"/>
      <x:c r="FE15" s="2423"/>
      <x:c r="FF15" s="2423"/>
      <x:c r="FG15" s="2423"/>
      <x:c r="FH15" s="2423"/>
      <x:c r="FI15" s="2423"/>
      <x:c r="FJ15" s="2423"/>
      <x:c r="FK15" s="2423"/>
      <x:c r="FL15" s="2423"/>
      <x:c r="FM15" s="2423"/>
      <x:c r="FN15" s="2423"/>
      <x:c r="FO15" s="2357"/>
      <x:c r="FP15" s="2357"/>
      <x:c r="FQ15" s="2357"/>
      <x:c r="FR15" s="2443"/>
      <x:c r="FS15" s="2438"/>
      <x:c r="FT15" s="2443"/>
      <x:c r="FU15" s="508" t="s">
        <x:v>606</x:v>
      </x:c>
      <x:c r="FV15" s="509" t="s">
        <x:v>607</x:v>
      </x:c>
      <x:c r="FW15" s="426"/>
      <x:c r="FX15" s="426"/>
      <x:c r="FY15" s="426"/>
      <x:c r="FZ15" s="426"/>
      <x:c r="GA15" s="1035" t="s">
        <x:v>1112</x:v>
      </x:c>
      <x:c r="GB15" s="1036" t="s">
        <x:v>710</x:v>
      </x:c>
      <x:c r="GC15" s="1031" t="s">
        <x:v>606</x:v>
      </x:c>
      <x:c r="GD15" s="1032" t="s">
        <x:v>607</x:v>
      </x:c>
      <x:c r="GE15" s="2121"/>
      <x:c r="GF15" s="2121"/>
      <x:c r="GG15" s="1033" t="s">
        <x:v>1112</x:v>
      </x:c>
      <x:c r="GH15" s="1034" t="s">
        <x:v>710</x:v>
      </x:c>
      <x:c r="GI15" s="1033" t="s">
        <x:v>1112</x:v>
      </x:c>
      <x:c r="GJ15" s="1034" t="s">
        <x:v>710</x:v>
      </x:c>
      <x:c r="GK15" s="2124"/>
      <x:c r="GL15" s="2124"/>
      <x:c r="GM15" s="2124"/>
      <x:c r="HA15" s="2441"/>
      <x:c r="HB15" s="2315"/>
      <x:c r="HC15" s="2315"/>
      <x:c r="HD15" s="2315"/>
      <x:c r="HE15" s="2315"/>
      <x:c r="HF15" s="2313"/>
      <x:c r="HG15" s="2313"/>
      <x:c r="HH15" s="2313"/>
      <x:c r="HI15" s="2313"/>
      <x:c r="HJ15" s="2313"/>
      <x:c r="HK15" s="2313"/>
      <x:c r="HL15" s="2313"/>
      <x:c r="HM15" s="2313"/>
      <x:c r="HN15" s="2313"/>
      <x:c r="HO15" s="2313"/>
      <x:c r="HP15" s="2313"/>
      <x:c r="HQ15" s="2313"/>
      <x:c r="HR15" s="2313"/>
      <x:c r="HS15" s="2313"/>
      <x:c r="HT15" s="2313"/>
      <x:c r="HU15" s="2313"/>
      <x:c r="HV15" s="2313"/>
      <x:c r="HW15" s="2313"/>
      <x:c r="HX15" s="2313"/>
      <x:c r="HY15" s="2313"/>
      <x:c r="HZ15" s="2313"/>
      <x:c r="IA15" s="2313"/>
      <x:c r="IB15" s="2313"/>
      <x:c r="IC15" s="2313"/>
      <x:c r="ID15" s="2313"/>
      <x:c r="IE15" s="2313"/>
      <x:c r="IF15" s="2453"/>
    </x:row>
    <x:row r="16" spans="1:241" ht="12.6" customHeight="1" thickTop="1" x14ac:dyDescent="0.25">
      <x:c r="A16" s="2764" t="s">
        <x:v>1447</x:v>
      </x:c>
      <x:c r="B16" s="2765">
        <x:v>1</x:v>
      </x:c>
      <x:c r="C16" s="2766" t="s">
        <x:v>1592</x:v>
      </x:c>
      <x:c r="D16" s="2767">
        <x:v>40</x:v>
      </x:c>
      <x:c r="E16" s="2768">
        <x:v>0</x:v>
      </x:c>
      <x:c r="F16" s="2776" t="str">
        <x:f t="shared" ref="F16:F44" si="1">IF(DX16=0,"",TRUNC(DX16/12))</x:f>
        <x:v/>
      </x:c>
      <x:c r="G16" s="2771" t="str">
        <x:f t="shared" ref="G16:G44" si="2">IF(DX16=0,"",DX16-(F16*12))</x:f>
        <x:v/>
      </x:c>
      <x:c r="H16" s="2842" t="str">
        <x:f t="shared" ref="H16:H44" si="3">IF(DX16=0,"",CW16)</x:f>
        <x:v/>
      </x:c>
      <x:c r="I16" s="2767" t="str">
        <x:f t="shared" ref="I16:I44" si="4">IF(ED16=0,"",TRUNC(ED16/12))</x:f>
        <x:v/>
      </x:c>
      <x:c r="J16" s="2771" t="str">
        <x:f t="shared" ref="J16:J44" si="5">IF(ED16=0,"",ED16-(I16*12))</x:f>
        <x:v/>
      </x:c>
      <x:c r="K16" s="2855" t="str">
        <x:f t="shared" ref="K16:K44" si="6">IF(ED16=0,"",DG16)</x:f>
        <x:v/>
      </x:c>
      <x:c r="L16" s="2774">
        <x:v>5</x:v>
      </x:c>
      <x:c r="M16" s="2775">
        <x:v>5</x:v>
      </x:c>
      <x:c r="N16" s="2770">
        <x:v>0</x:v>
      </x:c>
      <x:c r="O16" s="2771">
        <x:v>6.75</x:v>
      </x:c>
      <x:c r="P16" s="2772">
        <x:v>2</x:v>
      </x:c>
      <x:c r="Q16" s="2767" t="str">
        <x:f t="shared" ref="Q16:Q45" si="7">IF(ET16="","",IF(AND(ET16&lt;0,ET16&gt;-12),TRUNC(ET16/12)-0.0000001,TRUNC(ET16/12)))</x:f>
        <x:v/>
      </x:c>
      <x:c r="R16" s="2771" t="str">
        <x:f t="shared" ref="R16:R45" si="8">IF(ET16="","",IF(AND(ET16-(Q16*12)=0,ET16&lt;0),-0.000001,ET16-(Q16*12)))</x:f>
        <x:v/>
      </x:c>
      <x:c r="S16" s="2773" t="str">
        <x:f t="shared" ref="S16:S45" si="9">IF(ET16="","",IF(OR(DG16="Q",DG16="C"),3,DJ16))</x:f>
        <x:v/>
      </x:c>
      <x:c r="T16" s="2776">
        <x:v>0</x:v>
      </x:c>
      <x:c r="U16" s="2771">
        <x:v>2.25</x:v>
      </x:c>
      <x:c r="V16" s="2767">
        <x:v>0</x:v>
      </x:c>
      <x:c r="W16" s="2771">
        <x:v>2</x:v>
      </x:c>
      <x:c r="X16" s="2775">
        <x:v>4</x:v>
      </x:c>
      <x:c r="Y16" s="2844" t="str">
        <x:f t="shared" ref="Y16:Y44" si="10">FG16</x:f>
        <x:v/>
      </x:c>
      <x:c r="Z16" s="2845" t="str">
        <x:f t="shared" ref="Z16:Z44" si="11">FL16</x:f>
        <x:v/>
      </x:c>
      <x:c r="AA16" s="2846" t="s">
        <x:v>1652</x:v>
      </x:c>
      <x:c r="AB16" s="1413"/>
      <x:c r="AC16" s="964" t="b">
        <x:v>0</x:v>
      </x:c>
      <x:c r="AD16" s="441">
        <x:f t="shared" ref="AD16:AD45" si="12">IF($C16="",0,IF(SUM(AE16:AG16)&gt;0,0,IF(ISERROR(SEARCH("K",$C16,1))=TRUE,0,$B16)))</x:f>
        <x:v>0</x:v>
      </x:c>
      <x:c r="AE16" s="442">
        <x:f t="shared" ref="AE16:AE45" si="13">IF(ISERROR(SEARCH("LH",$C16,1))=TRUE,0,$B16)</x:f>
        <x:v>1</x:v>
      </x:c>
      <x:c r="AF16" s="442">
        <x:f t="shared" ref="AF16:AF45" si="14">IF(ISERROR(SEARCH("JS",$C16))=TRUE,IF(ISERROR(SEARCH("2.5K",$C16))=TRUE,0,$B16),$B16)</x:f>
        <x:v>0</x:v>
      </x:c>
      <x:c r="AG16" s="442">
        <x:f t="shared" ref="AG16:AG45" si="15">IF(ISERROR(SEARCH("HDR",$C16,1))=TRUE,0,$B16)</x:f>
        <x:v>0</x:v>
      </x:c>
      <x:c r="AH16" s="443">
        <x:f t="shared" ref="AH16:AH45" si="16">IF(ISERROR(SEARCH("CJ",$C16,1))=TRUE,0,$B16)</x:f>
        <x:v>0</x:v>
      </x:c>
      <x:c r="AI16" s="444" t="b">
        <x:v>0</x:v>
      </x:c>
      <x:c r="AJ16" s="238">
        <x:f t="shared" ref="AJ16:AJ45" si="17">IF(OR(ISERROR(VALUE(LEFT(C16,SEARCH(AK16,C16)-1))),AK16=""),0,VALUE(LEFT(C16,SEARCH(AK16,C16)-1)))</x:f>
        <x:v>32</x:v>
      </x:c>
      <x:c r="AK16" s="830" t="str">
        <x:f t="shared" ref="AK16:AK45" si="18">IF(AV16="",AW16,AV16)</x:f>
        <x:v>LH</x:v>
      </x:c>
      <x:c r="AL16" s="945" t="str">
        <x:f t="shared" ref="AL16:AL45" si="19">IF(AK16="","",IF(ISERROR(SEARCH("/",C16)),IF(VALUE(MID(C16,SEARCH(AK16,C16)+LEN(AK16),LEN(C16)))&gt;25,"",VALUE(MID(C16,SEARCH(AK16,C16)+LEN(AK16),LEN(C16)))),""))</x:f>
        <x:v/>
      </x:c>
      <x:c r="AM16" s="830">
        <x:f t="shared" ref="AM16:AM45" si="20">IF(AK16="","",IF(ISERROR(SEARCH("/",C16)),IF(VALUE(MID(C16,SEARCH(AK16,C16)+LEN(AK16),LEN(C16)))&lt;26,"",VALUE(MID(C16,SEARCH(AK16,C16)+LEN(AK16),LEN(C16)))),VALUE(MID(C16,SEARCH(AK16,C16)+LEN(AK16),SEARCH("/",C16)-SEARCH(AK16,C16)-LEN(AK16)))))</x:f>
        <x:v>305</x:v>
      </x:c>
      <x:c r="AN16" s="830">
        <x:f t="shared" ref="AN16:AN45" si="21">IF(AK16="","",IF(AK16="CJ",MID(MID(C16,SEARCH("/",C16)+1,LEN(C16)),1,SEARCH("/",MID(C16,SEARCH("/",C16)+1,LEN(C16)))-1),IF(ISERROR(SEARCH("/",C16)),"",VALUE(MID(C16,SEARCH("/",C16)+1,LEN(C16))))))</x:f>
        <x:v>180</x:v>
      </x:c>
      <x:c r="AO16" s="830" t="str">
        <x:f t="shared" ref="AO16:AO45" si="22">IF(AK16="CJ",VALUE(MID(MID(C16,SEARCH("/",C16)+1,LEN(C16)),SEARCH("/",MID(C16,SEARCH("/",C16)+1,LEN(C16)))+1,LEN(MID(C16,SEARCH("/",C16)+1,LEN(C16))))),"")</x:f>
        <x:v/>
      </x:c>
      <x:c r="AP16" s="830" t="b">
        <x:f>IF(ISERROR(AJ16),FALSE,IF(OR(AJ16=0,ISERROR(AL16),ISERROR(AM16),ISERROR(AN16),ISERROR(AO16)),FALSE,IF(AL16&lt;&gt;"",IF(ISERROR(VLOOKUP(SUBSTITUTE(SUBSTITUTE(C16,"R",""),"A",""),TblJoistSize!$A:$A,1,FALSE)),FALSE,TRUE),TRUE)))</x:f>
        <x:v>1</x:v>
      </x:c>
      <x:c r="AQ16" s="1038">
        <x:f t="shared" ref="AQ16:AQ45" si="23">VLOOKUP(AK16,$DF$2:$DN$9,4,FALSE)+IF(LEFT(H16,1)="R",IF(ISNUMBER(F16),F16*12,0)+IF(ISNUMBER(G16),G16,0),0)</x:f>
        <x:v>6</x:v>
      </x:c>
      <x:c r="AR16" s="945" t="b">
        <x:f t="shared" ref="AR16:AR45" si="24">IF(IF(ISNUMBER(T16),T16*12,0)+IF(ISNUMBER(U16),U16,0)&gt;0,IF(AND(IF(ISNUMBER(T16),T16*12,0)+IF(ISNUMBER(U16),U16,0)&gt;=VLOOKUP(AU16,$DF$2:$DN$9,8,FALSE)/2+$DQ$2,IF(ISNUMBER(T16),T16*12,0)+IF(ISNUMBER(U16),U16,0)&lt;=(AQ16-(VLOOKUP(AU16,$DF$2:$DN$9,8,FALSE)/2+$DQ$2))+IF(H16="X",2,0)),TRUE,FALSE),FALSE)</x:f>
        <x:v>1</x:v>
      </x:c>
      <x:c r="AS16" s="1038">
        <x:f t="shared" ref="AS16:AS45" si="25">VLOOKUP(AK16,$DF$2:$DN$9,4,FALSE)+IF(LEFT(K16,1)="R",(IF(ISNUMBER(I16),I16*12,0)+IF(ISNUMBER(J16),J16,0)),0)</x:f>
        <x:v>6</x:v>
      </x:c>
      <x:c r="AT16" s="945" t="b">
        <x:f t="shared" ref="AT16:AT45" si="26">IF(IF(ISNUMBER(V16),V16*12,0)+IF(ISNUMBER(W16),W16,0)&gt;0,IF(AND((IF(ISNUMBER(V16),V16*12,0)+IF(ISNUMBER(W16),W16,0))&gt;=VLOOKUP(AU16,$DF$2:$DN$9,8,FALSE)/2+$DQ$2,(IF(ISNUMBER(V16),V16*12,0)+IF(ISNUMBER(W16),W16,0))&lt;=(AS16-(VLOOKUP(AU16,$DF$2:$DN$9,8,FALSE)/2+$DQ$2))+IF(K16="X",2,0)),TRUE,FALSE),FALSE)</x:f>
        <x:v>1</x:v>
      </x:c>
      <x:c r="AU16" s="946" t="str">
        <x: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830" t="str">
        <x:f t="shared" ref="AV16:AV45" si="28">IF(NOT(ISERROR(SEARCH("KCSR",C16))),"KCSR",IF(NOT(ISERROR(SEARCH("KCSA",C16))),"KCSA",IF(NOT(ISERROR(SEARCH("KCS",C16))),"KCS",IF(NOT(ISERROR(SEARCH("KR",C16))),"KR",IF(NOT(ISERROR(SEARCH("KA",C16))),"KA",IF(NOT(ISERROR(SEARCH("K",C16))),"K",IF(NOT(ISERROR(SEARCH("CJ",C16))),"CJ","")))))))</x:f>
        <x:v/>
      </x:c>
      <x:c r="AW16" s="830" t="str">
        <x:f t="shared" ref="AW16:AW45" si="29">IF(NOT(ISERROR(SEARCH("HDR",C16))),"HDR",IF(NOT(ISERROR(SEARCH("JS",C16))),"JS",IF(NOT(ISERROR(SEARCH("SLH",C16))),"SLH",IF(NOT(ISERROR(SEARCH("DLH",C16))),"DLH",IF(NOT(ISERROR(SEARCH("LH",C16))),"LH","")))))</x:f>
        <x:v>LH</x:v>
      </x:c>
      <x:c r="AX16" s="830" t="str">
        <x:f>IF(OR(ISBLANK(A16),A16=""),"",A16)</x:f>
        <x:v>TJ17</x:v>
      </x:c>
      <x:c r="AY16" s="1039" t="b">
        <x:f t="shared" ref="AY16:AY45" si="30">IF($AE$1,IF(AX16=AX15,AY15,IF(AND(AX16&lt;&gt;"",OR(B16=0,B16="")),TRUE,FALSE)),FALSE)</x:f>
        <x:v>0</x:v>
      </x:c>
      <x:c r="AZ16" s="856" t="b">
        <x:f t="shared" ref="AZ16:AZ45" si="31">IF(AND(NOT(ISERROR(AJ16)),AJ16&gt;0),((IF(D16="",0,D16)*12+IF(E16="",0,E16))-(IF(F16="",0,F16)*12+IF(G16="",0,G16))-(IF(I16="",0,I16)*12+IF(J16="",0,J16)))&gt;AJ16*24,"")</x:f>
        <x:v>0</x:v>
      </x:c>
      <x:c r="BA16" s="549"/>
      <x:c r="BB16" s="672"/>
      <x:c r="BC16" s="1684"/>
      <x:c r="BD16" s="733"/>
      <x:c r="BE16" s="734"/>
      <x:c r="BF16" s="735"/>
      <x:c r="BG16" s="672"/>
      <x:c r="BH16" s="982"/>
      <x:c r="BI16" s="983"/>
      <x:c r="BJ16" s="1625"/>
      <x:c r="BK16" s="713"/>
      <x:c r="BL16" s="714"/>
      <x:c r="BM16" s="715"/>
      <x:c r="BN16" s="716"/>
      <x:c r="BO16" s="664" t="str">
        <x:f>IF(ISERROR(CU16),"",IF(CU16="","",IF(VLOOKUP(BG16,SectInfo!$B:$N,10,FALSE)="","","X")))</x:f>
        <x:v/>
      </x:c>
      <x:c r="BP16" s="732"/>
      <x:c r="BQ16" s="1550" t="str">
        <x:f t="shared" ref="BQ16:BQ45" si="32">IF(ISERROR(CU16),"",IF(CW16="","",IF(CW16="C",CV16,IF(CW16="Q",2,""))))</x:f>
        <x:v/>
      </x:c>
      <x:c r="BR16" s="909"/>
      <x:c r="BS16" s="672"/>
      <x:c r="BT16" s="713"/>
      <x:c r="BU16" s="714"/>
      <x:c r="BV16" s="1625"/>
      <x:c r="BW16" s="713"/>
      <x:c r="BX16" s="714"/>
      <x:c r="BY16" s="715"/>
      <x:c r="BZ16" s="716"/>
      <x:c r="CA16" s="671" t="str">
        <x:f>IF(ISERROR(DE16),"",IF(DE16="","",IF(VLOOKUP(BS16,SectInfo!$B:$N,10,FALSE)="","","X")))</x:f>
        <x:v/>
      </x:c>
      <x:c r="CB16" s="732"/>
      <x:c r="CC16" s="1550" t="str">
        <x:f t="shared" ref="CC16:CC45" si="33">IF(ISERROR(DE16),"",IF(DG16="","",IF(DG16="C",DF16,IF(DG16="Q",2,""))))</x:f>
        <x:v/>
      </x:c>
      <x:c r="CD16" s="909"/>
      <x:c r="CE16" s="729"/>
      <x:c r="CF16" s="730"/>
      <x:c r="CG16" s="731"/>
      <x:c r="CH16" s="583" t="str">
        <x:f t="shared" ref="CH16:CH45" si="34">IF(EJ16=EK16,IF(EK16="ERR","ERR",""),CONCATENATE(IF(BM16&lt;0,"NS ","FS "),IF(EK16="ERR","Slot Only",CONCATENATE("Slot @ ",EJ16))))</x:f>
        <x:v/>
      </x:c>
      <x:c r="CI16" s="584" t="str">
        <x:f t="shared" ref="CI16:CI45" si="35">IF(EQ16=ER16,IF(ER16="ERR","ERR",""),CONCATENATE(IF(BY16&lt;0,"FS ","NS "),IF(ER16="ERR","Slot Only",CONCATENATE("Slot @ ",EQ16))))</x:f>
        <x:v/>
      </x:c>
      <x:c r="CJ16" s="585" t="str">
        <x:f t="shared" ref="CJ16:CJ45" si="36">IF(EV16="","",IF(AND(DB16&lt;&gt;EV16,OR(NOT(ISBLANK(BJ16)),CU16="C")),CONCATENATE("LE slots @ ",DB16," Ga."),IF(AND(DL16&lt;&gt;EV16,OR(NOT(ISBLANK(BV16)),DE16="C")),CONCATENATE("RE slots @ ",DL16," Ga."),"")))</x:f>
        <x:v/>
      </x:c>
      <x:c r="CK16" s="586" t="str">
        <x:f t="shared" ref="CK16:CK45" si="37">IF(AND(CP16&lt;&gt;"",BM16&lt;&gt;"",CQ16&lt;&gt;"",BY16&lt;&gt;""),"BE",IF(AND(CP16&lt;&gt;"",BM16&lt;&gt;""),"LE",IF(AND(CQ16&lt;&gt;"",BY16&lt;&gt;""),"RE","")))</x:f>
        <x:v/>
      </x:c>
      <x:c r="CL16" s="587" t="str">
        <x:f t="shared" ref="CL16:CL45" si="38">IF(BQ16="","",IF(CEILING(DV16,0.125)&lt;=DW16+VLOOKUP(AU16,$DF$2:$DI$9,4,FALSE),"",CEILING(DV16,0.125)))</x:f>
        <x:v/>
      </x:c>
      <x:c r="CM16" s="588" t="str">
        <x:f t="shared" ref="CM16:CM45" si="39">IF(CC16="","",IF(CEILING(EB16,0.125)&lt;=EC16+VLOOKUP(AU16,$DF$2:$DI$9,4,FALSE),"",CEILING(EB16,0.125)))</x:f>
        <x:v/>
      </x:c>
      <x:c r="CN16" s="589" t="str">
        <x:f t="shared" ref="CN16:CN45" si="40">IF(AND(CE16&lt;&gt;0,BM16&lt;&gt;0),CE16*COS(RADIANS(90-BM16))/(1/COS(RADIANS(90-BM16)))*-1,"")</x:f>
        <x:v/>
      </x:c>
      <x:c r="CO16" s="590" t="str">
        <x:f t="shared" ref="CO16:CO45" si="41">IF(AND(CE16&lt;&gt;0,BY16&lt;&gt;0),CE16*COS(RADIANS(90-BY16))/(1/COS(RADIANS(90-BY16))),"")</x:f>
        <x:v/>
      </x:c>
      <x:c r="CP16" s="613" t="str">
        <x:f t="shared" ref="CP16:CP45" si="42">IF(BG16="","",IF(AU16="JS","",IF(VLOOKUP(AU16,$DF$2:$DN$9,5,FALSE)&gt;FO16,IF(FO16&gt;=0.0625,CEILING(FO16-0.0625,0.125),FO16),"")))</x:f>
        <x:v/>
      </x:c>
      <x:c r="CQ16" s="614" t="str">
        <x:f t="shared" ref="CQ16:CQ45" si="43">IF(BS16="","",IF(AU16="JS","",IF(VLOOKUP(AU16,$DF$2:$DN$9,5,FALSE)&gt;FP16,IF(FP16&gt;=0.0625,CEILING(FP16-0.0625,0.125),FP16),"")))</x:f>
        <x:v/>
      </x:c>
      <x:c r="CR16" s="748">
        <x:f t="shared" ref="CR16:CR45" si="44">IF(AU16="","",IF(ABS(FF16)&lt;ABS($CX$2),VLOOKUP(AU16,$DF$2:$DN$9,3,FALSE),CEILING(VLOOKUP(AU16,$DF$2:$DN$9,3,FALSE)/COS(FE16)+0.375+IF(CU16="M",IF(FE16&gt;0,(DV16-DW16)/12,0),IF(FE16&gt;0,0,(DV16-CV16)/12))*ABS(FF16),0.125)))</x:f>
        <x:v>5</x:v>
      </x:c>
      <x:c r="CS16" s="749">
        <x:f t="shared" ref="CS16:CS45" si="45">IF(AU16="","",IF(ABS(FK16)&lt;ABS($CX$2),VLOOKUP(AU16,$DF$2:$DN$9,3,FALSE),CEILING(VLOOKUP(AU16,$DF$2:$DN$9,3,FALSE)/COS(FJ16)+0.375+IF(DE16="M",IF(FJ16&lt;0,(EB16-EC16)/12,0),IF(FJ16&lt;0,0,(EB16-DF16)/12))*ABS(FK16),0.125)))</x:f>
        <x:v>5</x:v>
      </x:c>
      <x:c r="CU16" s="857" t="str">
        <x:f>IF(BG16="","",VLOOKUP(BG16,SectInfo!$B:$N,12,FALSE))</x:f>
        <x:v/>
      </x:c>
      <x:c r="CV16" s="858" t="str">
        <x:f>IF(BG16="","",IF(ISBLANK(BP16),VLOOKUP(BG16,SectInfo!$B:$N,13,FALSE),BP16))</x:f>
        <x:v/>
      </x:c>
      <x:c r="CW16" s="858" t="str">
        <x:f>IF(BG16="","",IF(VLOOKUP(BG16,SectInfo!$B:$N,5,FALSE)="","R",UPPER(VLOOKUP(BG16,SectInfo!$B:$N,5,FALSE))))</x:f>
        <x:v/>
      </x:c>
      <x:c r="CX16" s="858" t="str">
        <x:f>IF(BG16="","",IF(ISBLANK(BR16),VLOOKUP(BG16,SectInfo!$B:$N,6,FALSE),BR16))</x:f>
        <x:v/>
      </x:c>
      <x:c r="CY16" s="1288" t="str">
        <x:f>IF(BG16="","",IF(VLOOKUP(BG16,SectInfo!$B:$N,10,FALSE)="","",(IF(BO16="X",VLOOKUP(BG16,SectInfo!$B:$N,10,FALSE),VALUE(BO16))*-1)))</x:f>
        <x:v/>
      </x:c>
      <x:c r="CZ16" s="1126" t="str">
        <x:f>IF(BG16="","",IF(VLOOKUP(BG16,SectInfo!$B:$N,11,FALSE)="","2",(VLOOKUP(BG16,SectInfo!$B:$N,11,FALSE))))</x:f>
        <x:v/>
      </x:c>
      <x:c r="DA16" s="858" t="str">
        <x:f>IF(BG16="","",IF(VLOOKUP(BG16,SectInfo!$B:$N,7,FALSE)="","",(VLOOKUP(BG16,SectInfo!$B:$N,7,FALSE)*-1)))</x:f>
        <x:v/>
      </x:c>
      <x:c r="DB16" s="858" t="str">
        <x:f>IF(BG16="","",IF(VLOOKUP(BG16,SectInfo!$B:$N,8,FALSE)="",VLOOKUP(AU16,$DF$2:$DN$9,6,FALSE),(VLOOKUP(BG16,SectInfo!$B:$N,8,FALSE))))</x:f>
        <x:v/>
      </x:c>
      <x:c r="DC16" s="858" t="str">
        <x:f>IF(BG16="","",VLOOKUP(BG16,SectInfo!$B:$N,9,FALSE))</x:f>
        <x:v/>
      </x:c>
      <x:c r="DD16" s="859">
        <x:f t="shared" ref="DD16:DD45" si="46">BN16*-1</x:f>
        <x:v>0</x:v>
      </x:c>
      <x:c r="DE16" s="857" t="str">
        <x:f>IF(BS16="","",VLOOKUP(BS16,SectInfo!$B:$N,12,FALSE))</x:f>
        <x:v/>
      </x:c>
      <x:c r="DF16" s="858" t="str">
        <x:f>IF(BS16="","",IF(ISBLANK(CB16),VLOOKUP(BS16,SectInfo!$B:$N,13,FALSE),CB16))</x:f>
        <x:v/>
      </x:c>
      <x:c r="DG16" s="858" t="str">
        <x:f>IF(BS16="","",IF(VLOOKUP(BS16,SectInfo!$B:$N,5,FALSE)="","R",UPPER(VLOOKUP(BS16,SectInfo!$B:$N,5,FALSE))))</x:f>
        <x:v/>
      </x:c>
      <x:c r="DH16" s="858" t="str">
        <x:f>IF(BS16="","",IF(ISBLANK(CD16),VLOOKUP(BS16,SectInfo!$B:$N,6,FALSE),CD16))</x:f>
        <x:v/>
      </x:c>
      <x:c r="DI16" s="1288" t="str">
        <x:f>IF(BS16="","",IF(VLOOKUP(BS16,SectInfo!$B:$N,10,FALSE)="","",(IF(CA16="X",VLOOKUP(BS16,SectInfo!$B:$N,10,FALSE),VALUE(CA16))*-1)))</x:f>
        <x:v/>
      </x:c>
      <x:c r="DJ16" s="1126" t="str">
        <x:f>IF(BS16="","",IF(VLOOKUP(BS16,SectInfo!$B:$N,11,FALSE)="","2",(VLOOKUP(BS16,SectInfo!$B:$N,11,FALSE))))</x:f>
        <x:v/>
      </x:c>
      <x:c r="DK16" s="858" t="str">
        <x:f>IF(BS16="","",IF(VLOOKUP(BS16,SectInfo!$B:$N,7,FALSE)="","",(VLOOKUP(BS16,SectInfo!$B:$N,7,FALSE)*-1)))</x:f>
        <x:v/>
      </x:c>
      <x:c r="DL16" s="858" t="str">
        <x:f>IF(BS16="","",IF(VLOOKUP(BS16,SectInfo!$B:$N,8,FALSE)="",VLOOKUP(AU16,$DF$2:$DN$9,6,FALSE),(VLOOKUP(BS16,SectInfo!$B:$N,8,FALSE))))</x:f>
        <x:v/>
      </x:c>
      <x:c r="DM16" s="858" t="str">
        <x:f>IF(BS16="","",VLOOKUP(BS16,SectInfo!$B:$N,9,FALSE))</x:f>
        <x:v/>
      </x:c>
      <x:c r="DN16" s="859">
        <x:f t="shared" ref="DN16:DN45" si="47">BZ16*-1</x:f>
        <x:v>0</x:v>
      </x:c>
      <x:c r="DO16" s="860">
        <x:f t="shared" ref="DO16:DO45" si="48">IF(CE16="",0,ATAN(CE16/12))</x:f>
        <x:v>0</x:v>
      </x:c>
      <x:c r="DP16" s="861" t="str">
        <x:f t="shared" ref="DP16:DP45" si="49">IF(OR(CV16="",BE16="",DF16=""),"",CEILING(IF(AND(BE16="",BF16=""),"",((BE16*12+BF16)+CV16+DF16)/COS(FN16))-0.0625,0.125))</x:f>
        <x:v/>
      </x:c>
      <x:c r="DQ16" s="861" t="str">
        <x:f t="shared" ref="DQ16:DQ45" si="50">IF(AU16="","",IF(ABS(FF16)&lt;ABS($CX$2),CX16,IF(FF16=0,CX16,CEILING((CX16+((DW16-CV16)/12)*FF16)-0.0625,0.125))))</x:f>
        <x:v/>
      </x:c>
      <x:c r="DR16" s="861" t="str">
        <x:f t="shared" ref="DR16:DR45" si="51">IF(AU16="","",IF(ABS(FK16)&lt;ABS($CX$2),DH16,IF(FK16=0,DH16,CEILING((DH16+((EC16-DF16)/12)*FK16)-0.0625,0.125))))</x:f>
        <x:v/>
      </x:c>
      <x:c r="DS16" s="862">
        <x:f t="shared" ref="DS16:DS45" si="52">IF(BM16="",0,RADIANS(ABS(BM16)))</x:f>
        <x:v>0</x:v>
      </x:c>
      <x:c r="DT16" s="821">
        <x:f t="shared" ref="DT16:DT45" si="53">MIN(IF(BH16&gt;0,BH16/2,MAX(BI16/2,DC16)),IF(BI16&gt;0,BI16/2,MAX(BH16/2,DC16)),IF(DC16&gt;0,DC16,MAX(BI16/2,BH16/2)))/IF(OR(CU16="C",AND(CU16="M",$DD$1="N")),1,COS(DS16))</x:f>
        <x:v>0</x:v>
      </x:c>
      <x:c r="DU16" s="821" t="str">
        <x:f t="shared" ref="DU16:DU45" si="54">IF(CV16="","",IF(DC16&gt;=0,MAX(BH16/2,BI16/2,DC16),DC16)/IF(OR(CU16="C",AND(CU16="M",$DD$1="N")),1,COS(DS16)))</x:f>
        <x:v/>
      </x:c>
      <x:c r="DV16" s="861" t="str">
        <x:f t="shared" ref="DV16:DV45" si="55">IF(CV16="","",(CV16+DU16+(VLOOKUP(IF(AU16="HDR","K",AU16),$DF$2:$DN$9,2,FALSE))*TAN(DS16))/COS(FD16)-FH16)</x:f>
        <x:v/>
      </x:c>
      <x:c r="DW16" s="872" t="str">
        <x:f t="shared" ref="DW16:DW45" si="56">IF(CV16="","",MAX(0,IF(NOT(BQ16=""),CV16-BQ16,DV16-VLOOKUP(IF(AU16="HDR","K",AU16),$DF$2:$DN$9,4,FALSE))))</x:f>
        <x:v/>
      </x:c>
      <x:c r="DX16" s="1129">
        <x:f t="shared" ref="DX16:DX45" si="57">IF(CV16="",0,IF(DW16/COS(FN16-FD16)&lt;0.0625,0,CEILING(DW16/COS(FN16-FD16)-0.03125,0.125)))</x:f>
        <x:v>0</x:v>
      </x:c>
      <x:c r="DY16" s="861">
        <x:f t="shared" ref="DY16:DY45" si="58">RADIANS(ABS(BY16))</x:f>
        <x:v>0</x:v>
      </x:c>
      <x:c r="DZ16" s="821">
        <x:f t="shared" ref="DZ16:DZ45" si="59">MIN(IF(BT16&gt;0,BT16/2,MAX(BU16/2,DM16)),IF(BU16&gt;0,BU16/2,MAX(BT16/2,DM16)),IF(DM16&gt;0,DM16,MAX(BU16/2,BT16/2)))/IF(OR(DE16="C",AND(DE16="M",$DD$1="N")),1,COS(DY16))</x:f>
        <x:v>0</x:v>
      </x:c>
      <x:c r="EA16" s="821" t="str">
        <x:f t="shared" ref="EA16:EA45" si="60">IF(DF16="","",IF(DM16&gt;=0,MAX(BT16/2,BU16/2,DM16),DM16)/IF(OR(DE16="C",AND(DE16="M",$DD$1="N")),1,COS(DY16)))</x:f>
        <x:v/>
      </x:c>
      <x:c r="EB16" s="861" t="str">
        <x:f t="shared" ref="EB16:EB45" si="61">IF(DF16="","",(DF16+EA16+(VLOOKUP(IF(AU16="HDR","K",AU16),$DF$2:$DN$9,2,FALSE))*TAN(DY16))/COS(FI16)-FM16)</x:f>
        <x:v/>
      </x:c>
      <x:c r="EC16" s="872" t="str">
        <x:f t="shared" ref="EC16:EC45" si="62">IF(DF16="","",MAX(0,IF(NOT(CC16=""),DF16-CC16,EB16-VLOOKUP(IF(AU16="HDR","K",AU16),$DF$2:$DN$9,4,FALSE))))</x:f>
        <x:v/>
      </x:c>
      <x:c r="ED16" s="1129">
        <x:f t="shared" ref="ED16:ED45" si="63">IF(DF16="",0,IF(EC16/COS(FN16+FI16)&lt;0.0625,0,CEILING(EC16/COS(FN16+FI16)-0.03125,0.125)))</x:f>
        <x:v>0</x:v>
      </x:c>
      <x:c r="EE16" s="1339" t="str">
        <x:f t="shared" ref="EE16:EE45" si="64">IF(AND(EZ16="",DA16=""),"",IF(EZ16="ERR","ERR",IF(CU16="C",DA16,IF(BJ16="","",IF(DA16="",(EZ16/2)*-1,DA16)))))</x:f>
        <x:v/>
      </x:c>
      <x:c r="EF16" s="1339" t="str">
        <x:f t="shared" ref="EF16:EF45" si="65">IF(EE16="ERR","ERR",IF(EE16="","",IF(DB16*TAN(DS16)&lt;=(VLOOKUP(AU16,$DF$2:$DN$9,8,FALSE)-(VLOOKUP(AU16,$DF$2:$DN$9,7,FALSE)-0.0625)),CV16-(EE16-FH16)/IF(OR(CU16="C",AND(CU16="M",$DD$1="N")),1,COS(DS16))-IF(MID(CW16,1,1)="R",0,DW16),(ABS(EE16-FH16)/IF(OR(CU16="C",AND(CU16="M",$DD$1="N")),1,COS(DS16))+CV16)-((DB16/2)*TAN(DS16))-IF(MID(CW16,1,1)="R",0,DW16))))</x:f>
        <x:v/>
      </x:c>
      <x:c r="EG16" s="1339" t="str">
        <x:f t="shared" ref="EG16:EG45" si="66">IF(EE16="ERR","ERR",IF(EE16="","",IF(DB16*TAN(DS16)&lt;=(VLOOKUP(AU16,$DF$2:$DN$9,8,FALSE)-(VLOOKUP(AU16,$DF$2:$DN$9,7,FALSE)-0.0625)),CV16-(EE16-FH16)/IF(OR(CU16="C",AND(CU16="M",$DD$1="N")),1,COS(DS16))-IF(MID(CW16,1,1)="R",0,DW16),(ABS(EE16-FH16)/IF(OR(CU16="C",AND(CU16="M",$DD$1="N")),1,COS(DS16))+CV16)+((DB16/2)*TAN(DS16))-IF(MID(CW16,1,1)="R",0,DW16))))</x:f>
        <x:v/>
      </x:c>
      <x:c r="EH16" s="856" t="str">
        <x: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x:f>
        <x:v>ERR</x:v>
      </x:c>
      <x:c r="EI16" s="856" t="str">
        <x: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x:f>
        <x:v>ERR</x:v>
      </x:c>
      <x:c r="EJ16" s="822" t="str">
        <x:f t="shared" ref="EJ16:EK45" si="69">IF(ISERROR(EF16),"ERR",IF(EF16="","",IF(EH16="ERR","ERR",CEILING(EH16-0.0625,0.125))))</x:f>
        <x:v/>
      </x:c>
      <x:c r="EK16" s="822" t="str">
        <x:f t="shared" si="69"/>
        <x:v/>
      </x:c>
      <x:c r="EL16" s="1293" t="str">
        <x:f t="shared" ref="EL16:EL45" si="70">IF(AND(FC16="",DK16=""),"",IF(FC16="ERR","ERR",IF(DE16="C",DK16,IF(BV16="","",IF(DK16="",(FC16/2)*-1,DK16)))))</x:f>
        <x:v/>
      </x:c>
      <x:c r="EM16" s="822" t="str">
        <x:f t="shared" ref="EM16:EM45" si="71">IF(EL16="ERR","ERR",IF(EL16="","",IF(DL16*TAN(DY16)&lt;=(VLOOKUP(AU16,$DF$2:$DN$9,8,FALSE)-(VLOOKUP(AU16,$DF$2:$DN$9,7,FALSE)-0.0625)),DF16-(EL16-FM16)/IF(OR(DE16="C",AND(DE16="M",$DD$1="N")),1,COS(DY16))-IF(MID(DG16,1,1)="R",0,EC16),(ABS(EL16-FM16)/IF(OR(DE16="C",AND(DE16="M",$DD$1="N")),1,COS(DY16))+DF16)-((DL16/2)*TAN(DY16))-IF(MID(DG16,1,1)="R",0,EC16))))</x:f>
        <x:v/>
      </x:c>
      <x:c r="EN16" s="822" t="str">
        <x:f t="shared" ref="EN16:EN45" si="72">IF(EL16="ERR","ERR",IF(EL16="","",IF(DL16*TAN(DY16)&lt;=(VLOOKUP(AU16,$DF$2:$DN$9,8,FALSE)-(VLOOKUP(AU16,$DF$2:$DN$9,7,FALSE)-0.0625)),DF16-(EL16-FM16)/IF(OR(DE16="C",AND(DE16="M",$DD$1="N")),1,COS(DY16))-IF(MID(DG16,1,1)="R",0,EC16),(ABS(EL16-FM16)/IF(OR(DE16="C",AND(DE16="M",$DD$1="N")),1,COS(DY16))+DF16)+((DL16/2)*TAN(DY16))-IF(MID(DG16,1,1)="R",0,EC16))))</x:f>
        <x:v/>
      </x:c>
      <x:c r="EO16" s="856" t="str">
        <x: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x:f>
        <x:v>ERR</x:v>
      </x:c>
      <x:c r="EP16" s="856" t="str">
        <x: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x:f>
        <x:v>ERR</x:v>
      </x:c>
      <x:c r="EQ16" s="1339" t="str">
        <x:f t="shared" ref="EQ16:ER45" si="75">IF(ISERROR(EM16),"ERR",IF(EM16="","",IF(EO16="ERR","ERR",CEILING(EO16-0.0625,0.125))))</x:f>
        <x:v/>
      </x:c>
      <x:c r="ER16" s="861" t="str">
        <x:f t="shared" si="75"/>
        <x:v/>
      </x:c>
      <x:c r="ES16" s="822" t="str">
        <x:f t="shared" ref="ES16:ES45" si="76">IF(OR(CY16="",AU16="JS",AU16="HDR",BO16=""),"",IF((CV16-CY16)/COS(DO16)-FS16&lt;=-0.0625,CEILING((CV16-CY16)/COS(DO16)-FS16+0.0625,-0.125),IF((CV16-CY16)/COS(DO16)-FS16&gt;=0.0625,CEILING((CV16-CY16)/COS(DO16)-FS16-0.0625,0.125),0)))</x:f>
        <x:v/>
      </x:c>
      <x:c r="ET16" s="822" t="str">
        <x:f t="shared" ref="ET16:ET45" si="77">IF(OR(DI16="",AU16="JS",AU16="HDR",CA16=""),"",IF((DF16-DI16)/COS(DO16)-FT16&lt;=-0.0625,CEILING((DF16-DI16)/COS(DO16)-FT16+0.0625,-0.125),IF((DF16-DI16)/COS(DO16)-FT16&gt;=0.0625,CEILING((DF16-DI16)/COS(DO16)-FT16-0.0625,0.125),0)))</x:f>
        <x:v/>
      </x:c>
      <x:c r="EU16" s="863">
        <x:f t="shared" ref="EU16:EU45" si="78">IF(AU16="","",VLOOKUP(AU16,$DF$2:$DN$9,6,FALSE))</x:f>
        <x:v>4</x:v>
      </x:c>
      <x:c r="EV16" s="824" t="str">
        <x:f t="shared" ref="EV16:EV45" si="79">IF(AND(EK16="",ER16=""),"",IF(EK16="",DL16,IF(EQ16="",DB16,IF(DB16&lt;&gt;DL16,EU16,DB16))))</x:f>
        <x:v/>
      </x:c>
      <x:c r="EW16" s="863"/>
      <x:c r="EX16" s="863" t="str">
        <x:f>IF(AND(CU16="G", ISBLANK(BK16), ISBLANK(BL16)),VLOOKUP(MIN(BH16:BI16),TblJoistSize!$M$3:$N$10,2),IF(OR(CU16="B",CU16="G"),MIN(BK16:BL16),""))</x:f>
        <x:v/>
      </x:c>
      <x:c r="EY16" s="863" t="str">
        <x:f>IF(AND(CU16="G", ISBLANK(BK16), ISBLANK(BL16)),VLOOKUP(MAX(BH16:BI16),TblJoistSize!$M$3:$N$10,2),IF(OR(CU16="B",CU16="G"),MAX(BK16:BL16),""))</x:f>
        <x:v/>
      </x:c>
      <x:c r="EZ16" s="863" t="str">
        <x:f t="shared" ref="EZ16:EZ45" si="80">IF(BJ16="X",IF(OR(CU16="M",CU16="C"),"",IF((EY16-EX16)/2&lt;=(VLOOKUP(AU16,$DF$2:$DN$9,8,FALSE)-(VLOOKUP(AU16,$DF$2:$DN$9,7,FALSE)-0.0625)),(EX16+EY16)/2,"ERR")),"")</x:f>
        <x:v/>
      </x:c>
      <x:c r="FA16" s="863" t="str">
        <x:f>IF(AND(DE16="G", ISBLANK(BW16), ISBLANK(BX16)),VLOOKUP(MIN(BT16:BU16),TblJoistSize!$M$3:$N$10,2),IF(OR(DE16="B", DE16="G"),MIN(BW16:BX16),""))</x:f>
        <x:v/>
      </x:c>
      <x:c r="FB16" s="863" t="str">
        <x:f>IF(AND(DE16="G", ISBLANK(BW16), ISBLANK(BX16)),VLOOKUP(MAX(BT16:BU16),TblJoistSize!$M$3:$N$10,2),IF(OR(DE16="B", DE16="G"),MAX(BW16:BX16),""))</x:f>
        <x:v/>
      </x:c>
      <x:c r="FC16" s="863" t="str">
        <x:f t="shared" ref="FC16:FC45" si="81">IF(BV16="X",IF(OR(DE16="M",DE16="C"),"",IF((FB16-FA16)/2&lt;=(VLOOKUP(AU16,$DF$2:$DN$9,8,FALSE)-(VLOOKUP(AU16,$DF$2:$DN$9,7,FALSE)-0.0625)),(FA16+FB16)/2,"ERR")),"")</x:f>
        <x:v/>
      </x:c>
      <x:c r="FD16" s="862">
        <x:f>IF(DD16="",0,ATAN(DD16/12))</x:f>
        <x:v>0</x:v>
      </x:c>
      <x:c r="FE16" s="862">
        <x:f t="shared" ref="FE16:FE45" si="82">DO16-FD16</x:f>
        <x:v>0</x:v>
      </x:c>
      <x:c r="FF16" s="862">
        <x:f t="shared" ref="FF16:FF45" si="83">TAN(FE16)*12</x:f>
        <x:v>0</x:v>
      </x:c>
      <x:c r="FG16" s="862" t="str">
        <x:f t="shared" ref="FG16:FG45" si="84">IF(FF16=0,"",IF(ABS(FF16)&lt;$CX$2,IF(AND(ABS(MIN(DV16,FQ16)/12*FF16)&gt;$DD$2,FF16&gt;0),IF(FF16&gt;0,CEILING(FF16-0.0625,0.125),CEILING(FF16+0.0625,-0.125)),""),IF(FF16&gt;0,CEILING(FF16-0.0625,0.125),CEILING(FF16+0.0625,-0.125))))</x:f>
        <x:v/>
      </x:c>
      <x:c r="FH16" s="861" t="str">
        <x:f t="shared" ref="FH16:FH45" si="85">IF(CX16="","",CX16*TAN(FD16))</x:f>
        <x:v/>
      </x:c>
      <x:c r="FI16" s="862">
        <x:f>IF(DN16="",0,ATAN(DN16/12))</x:f>
        <x:v>0</x:v>
      </x:c>
      <x:c r="FJ16" s="862">
        <x:f t="shared" ref="FJ16:FJ45" si="86">DO16+FI16</x:f>
        <x:v>0</x:v>
      </x:c>
      <x:c r="FK16" s="862">
        <x:f t="shared" ref="FK16:FK45" si="87">TAN(FJ16)*-12</x:f>
        <x:v>0</x:v>
      </x:c>
      <x:c r="FL16" s="862" t="str">
        <x:f t="shared" ref="FL16:FL45" si="88">IF(FK16=0,"",IF(ABS(FK16)&lt;$CX$2,IF(AND(ABS(MIN(EB16,FR16)/12*FK16)&gt;$DD$2,FK16&gt;0),IF(FK16&gt;0,CEILING(FK16-0.0625,0.125),CEILING(FK16+0.0625,-0.125)),""),IF(FK16&gt;0,CEILING(FK16-0.0625,0.125),CEILING(FK16+0.0625,-0.125))))</x:f>
        <x:v/>
      </x:c>
      <x:c r="FM16" s="861" t="str">
        <x:f t="shared" ref="FM16:FM45" si="89">IF(DH16="","",DH16*TAN(FI16))</x:f>
        <x:v/>
      </x:c>
      <x:c r="FN16" s="861" t="e">
        <x:f t="shared" ref="FN16:FN45" si="90">IF(((BE16*12+BF16)+CV16+DF16)/COS(DO16)-((BE16*12+BF16)+CV16+DF16)&lt;$DB$2,0,DO16)</x:f>
        <x:v>#VALUE!</x:v>
      </x:c>
      <x:c r="FO16" s="1388" t="e">
        <x:f t="shared" ref="FO16:FO45" si="91">MIN(IF(BH16&gt;0,BH16/2,MAX(BI16/2,DC16)),IF(BI16&gt;0,BI16/2,MAX(BH16/2,DC16)),IF(DC16&gt;0,DC16,MAX(BI16/2,BH16/2)))/COS(DS16)+CV16-DW16-FH16</x:f>
        <x:v>#VALUE!</x:v>
      </x:c>
      <x:c r="FP16" s="1388" t="e">
        <x:f t="shared" ref="FP16:FP45" si="92">MIN(IF(BT16&gt;0,BT16/2,MAX(BU16/2,DM16)),IF(BU16&gt;0,BU16/2,MAX(BT16/2,DM16)),IF(DM16&gt;0,DM16,MAX(BU16/2,BT16/2)))/COS(DY16)+DF16-EC16-FM16</x:f>
        <x:v>#VALUE!</x:v>
      </x:c>
      <x:c r="FQ16" s="864" t="e">
        <x:f t="shared" ref="FQ16:FQ45" si="93">IF(OR(CU16="B",CU16="G"),MAX(BH16,BI16),IF(CU16="M",12,DC16+CV16))</x:f>
        <x:v>#VALUE!</x:v>
      </x:c>
      <x:c r="FR16" s="865" t="e">
        <x:f t="shared" ref="FR16:FR45" si="94">IF(OR(DE16="B",DE16="G"),MAX(BT16,BU16),IF(DE16="M",12,DM16+DF16))</x:f>
        <x:v>#VALUE!</x:v>
      </x:c>
      <x:c r="FS16" s="866" t="str">
        <x:f t="shared" ref="FS16:FS45" si="95">IF(CY16="","",IF(ABS(CE16*((AJ16-IF(CE16&gt;0,VLOOKUP(AU16,$DF$2:$DN$9,9,FALSE),0))/12))&gt;$CZ$2,CE16*((AJ16-IF(CE16&gt;0,VLOOKUP(AU16,$DF$2:$DN$9,9,FALSE),0))/12),0))</x:f>
        <x:v/>
      </x:c>
      <x:c r="FT16" s="867" t="str">
        <x:f t="shared" ref="FT16:FT45" si="96">IF(DI16="","",IF(ABS(CE16*((AJ16-IF(CE16&lt;0,VLOOKUP(AU16,$DF$2:$DN$9,9,FALSE),0))/12))&gt;$CZ$2,CE16*((AJ16-IF(CE16&lt;0,VLOOKUP(AU16,$DF$2:$DN$9,9,FALSE),0))/12)*-1,0))</x:f>
        <x:v/>
      </x:c>
      <x:c r="FU16" s="868">
        <x:f t="shared" ref="FU16:FU45" si="97">IF(CX16="",0,MAX(0,MIN(DV16-VLOOKUP(AU16,DF$2:DN$9,4,FALSE),(MAX(0,CX16-VLOOKUP(AU16,DF$2:DN$9,3,FALSE))+VLOOKUP(AU16,DF$2:DN$9,4,FALSE))*COS(DO16)+((MAX(0,CX16-VLOOKUP(AU16,DF$2:DN$9,3,FALSE))+VLOOKUP(AU16,DF$2:DN$9,4,FALSE))*COS(PI()/2-DO16))/TAN(PI()/2-(DO16+PI()/4))-VLOOKUP(AU16,DF$2:DN$9,4,FALSE))))</x:f>
        <x:v>0</x:v>
      </x:c>
      <x:c r="FV16" s="869">
        <x:f t="shared" ref="FV16:FV45" si="98">IF(DH16="",0,MAX(0,MIN(EB16-VLOOKUP(AU16,DF$2:DN$9,4,FALSE),(MAX(0,DH16-VLOOKUP(AU16,DF$2:DN$9,3,FALSE))+VLOOKUP(AU16,DF$2:DN$9,4,FALSE))*COS(DO16)+((MAX(0,DH16-VLOOKUP(AU16,DF$2:DN$9,3,FALSE))+VLOOKUP(AU16,DF$2:DN$9,4,FALSE))*COS(PI()/2-DO16))/TAN(PI()/2-(DO16+PI()/4))-VLOOKUP(AU16,DF$2:DN$9,4,FALSE))))</x:f>
        <x:v>0</x:v>
      </x:c>
      <x:c r="GA16" s="1791">
        <x:v>40</x:v>
      </x:c>
      <x:c r="GB16" s="1792">
        <x:v>0.75</x:v>
      </x:c>
      <x:c r="GC16" s="1793">
        <x:v>-0.25</x:v>
      </x:c>
      <x:c r="GD16" s="1794">
        <x:v>-0.5</x:v>
      </x:c>
      <x:c r="GE16" s="1795">
        <x:f t="shared" ref="GE16:GE45" si="99">IF(GF16="","",IF(ISBLANK(CE16),IF(Y16=Z16,0,MAX(ABS(Y16),ABS(Z16))*IF(Y16&lt;0,-1,1)),CE16))</x:f>
        <x:v>0</x:v>
      </x:c>
      <x:c r="GF16" s="600" t="str">
        <x:f t="shared" ref="GF16:GF45" si="100">IF(A16=0,"",A16)</x:f>
        <x:v>TJ17</x:v>
      </x:c>
      <x:c r="GG16" s="1130">
        <x:v>0</x:v>
      </x:c>
      <x:c r="GH16" s="1131">
        <x:v>0</x:v>
      </x:c>
      <x:c r="GI16" s="1130"/>
      <x:c r="GJ16" s="1131"/>
      <x:c r="GK16" s="1638">
        <x:f t="shared" ref="GK16:GK45" si="101">IF(D16="",0,D16*12+E16)</x:f>
        <x:v>480</x:v>
      </x:c>
      <x:c r="GL16" s="1636">
        <x:f t="shared" ref="GL16:GL45" si="102">(GA16*12+GB16+GC16+GD16)/COS(ATAN(ABS(GE16/12)))</x:f>
        <x:v>480</x:v>
      </x:c>
      <x:c r="GM16" s="1637">
        <x:f>IF(ABS(GK16-GL16)&gt;='Job Info.'!$L$22,ABS(GK16-GL16),0)</x:f>
        <x:v>0</x:v>
      </x:c>
      <x:c r="HA16" s="1263" t="s">
        <x:v>1447</x:v>
      </x:c>
      <x:c r="HB16" s="1264">
        <x:v>1</x:v>
      </x:c>
      <x:c r="HC16" s="1264" t="s">
        <x:v>1592</x:v>
      </x:c>
      <x:c r="HD16" s="1265">
        <x:v>40</x:v>
      </x:c>
      <x:c r="HE16" s="1266">
        <x:v>0</x:v>
      </x:c>
      <x:c r="HF16" s="1264" t="s">
        <x:v>116</x:v>
      </x:c>
      <x:c r="HG16" s="1264" t="s">
        <x:v>116</x:v>
      </x:c>
      <x:c r="HH16" s="1264" t="s">
        <x:v>116</x:v>
      </x:c>
      <x:c r="HI16" s="1267" t="s">
        <x:v>116</x:v>
      </x:c>
      <x:c r="HJ16" s="1264" t="s">
        <x:v>116</x:v>
      </x:c>
      <x:c r="HK16" s="1264" t="s">
        <x:v>116</x:v>
      </x:c>
      <x:c r="HL16" s="1264">
        <x:v>5</x:v>
      </x:c>
      <x:c r="HM16" s="1264">
        <x:v>5</x:v>
      </x:c>
      <x:c r="HN16" s="1264">
        <x:v>0</x:v>
      </x:c>
      <x:c r="HO16" s="1264">
        <x:v>6.75</x:v>
      </x:c>
      <x:c r="HP16" s="1264">
        <x:v>2</x:v>
      </x:c>
      <x:c r="HQ16" s="1267" t="s">
        <x:v>116</x:v>
      </x:c>
      <x:c r="HR16" s="1264" t="s">
        <x:v>116</x:v>
      </x:c>
      <x:c r="HS16" s="1264" t="s">
        <x:v>116</x:v>
      </x:c>
      <x:c r="HT16" s="1264">
        <x:v>0</x:v>
      </x:c>
      <x:c r="HU16" s="1264">
        <x:v>2.25</x:v>
      </x:c>
      <x:c r="HV16" s="1264">
        <x:v>0</x:v>
      </x:c>
      <x:c r="HW16" s="1266">
        <x:v>2</x:v>
      </x:c>
      <x:c r="HX16" s="1266">
        <x:v>4</x:v>
      </x:c>
      <x:c r="HY16" s="1266" t="s">
        <x:v>116</x:v>
      </x:c>
      <x:c r="HZ16" s="1266" t="s">
        <x:v>116</x:v>
      </x:c>
      <x:c r="IA16" s="1266" t="s">
        <x:v>1652</x:v>
      </x:c>
      <x:c r="IB16" s="1266"/>
      <x:c r="IC16" s="1266"/>
      <x:c r="ID16" s="1266"/>
      <x:c r="IE16" s="1266"/>
      <x:c r="IF16" s="1268"/>
    </x:row>
    <x:row r="17" spans="1:240" ht="12.6" customHeight="1" x14ac:dyDescent="0.25">
      <x:c r="A17" s="2764" t="s">
        <x:v>1448</x:v>
      </x:c>
      <x:c r="B17" s="2765">
        <x:v>1</x:v>
      </x:c>
      <x:c r="C17" s="2766" t="s">
        <x:v>1592</x:v>
      </x:c>
      <x:c r="D17" s="2767">
        <x:v>40</x:v>
      </x:c>
      <x:c r="E17" s="2768">
        <x:v>0</x:v>
      </x:c>
      <x:c r="F17" s="2776" t="str">
        <x:f t="shared" si="1"/>
        <x:v/>
      </x:c>
      <x:c r="G17" s="2771" t="str">
        <x:f t="shared" si="2"/>
        <x:v/>
      </x:c>
      <x:c r="H17" s="2842" t="str">
        <x:f t="shared" si="3"/>
        <x:v/>
      </x:c>
      <x:c r="I17" s="2767" t="str">
        <x:f t="shared" si="4"/>
        <x:v/>
      </x:c>
      <x:c r="J17" s="2771" t="str">
        <x:f t="shared" si="5"/>
        <x:v/>
      </x:c>
      <x:c r="K17" s="2855" t="str">
        <x:f t="shared" si="6"/>
        <x:v/>
      </x:c>
      <x:c r="L17" s="2774">
        <x:v>5</x:v>
      </x:c>
      <x:c r="M17" s="2775">
        <x:v>5</x:v>
      </x:c>
      <x:c r="N17" s="2770" t="str">
        <x:f t="shared" ref="N17:N45" si="103">IF(ES17="","",IF(AND(ES17&lt;0,ES17&gt;-12),TRUNC(ES17/12)-0.0000001,TRUNC(ES17/12)))</x:f>
        <x:v/>
      </x:c>
      <x:c r="O17" s="2771" t="str">
        <x:f t="shared" ref="O17:O45" si="104">IF(ES17="","",IF(AND(ES17-(N17*12)=0,ES17&lt;0),-0.000001,ES17-(N17*12)))</x:f>
        <x:v/>
      </x:c>
      <x:c r="P17" s="2772" t="str">
        <x:f t="shared" ref="P17:P45" si="105">IF(ES17="","",IF(OR(CW17="Q",CW17="C"),3,CZ17))</x:f>
        <x:v/>
      </x:c>
      <x:c r="Q17" s="2767" t="str">
        <x:f t="shared" si="7"/>
        <x:v/>
      </x:c>
      <x:c r="R17" s="2771" t="str">
        <x:f t="shared" si="8"/>
        <x:v/>
      </x:c>
      <x:c r="S17" s="2773" t="str">
        <x:f t="shared" si="9"/>
        <x:v/>
      </x:c>
      <x:c r="T17" s="2776">
        <x:v>0</x:v>
      </x:c>
      <x:c r="U17" s="2771">
        <x:v>2.25</x:v>
      </x:c>
      <x:c r="V17" s="2767">
        <x:v>0</x:v>
      </x:c>
      <x:c r="W17" s="2771">
        <x:v>2</x:v>
      </x:c>
      <x:c r="X17" s="2775">
        <x:v>4</x:v>
      </x:c>
      <x:c r="Y17" s="2844" t="str">
        <x:f t="shared" si="10"/>
        <x:v/>
      </x:c>
      <x:c r="Z17" s="2845" t="str">
        <x:f t="shared" si="11"/>
        <x:v/>
      </x:c>
      <x:c r="AA17" s="2846" t="s">
        <x:v>1661</x:v>
      </x:c>
      <x:c r="AB17" s="1413"/>
      <x:c r="AC17" s="964" t="b">
        <x:v>0</x:v>
      </x:c>
      <x:c r="AD17" s="441">
        <x:f t="shared" si="12"/>
        <x:v>0</x:v>
      </x:c>
      <x:c r="AE17" s="442">
        <x:f t="shared" si="13"/>
        <x:v>1</x:v>
      </x:c>
      <x:c r="AF17" s="442">
        <x:f t="shared" si="14"/>
        <x:v>0</x:v>
      </x:c>
      <x:c r="AG17" s="442">
        <x:f t="shared" si="15"/>
        <x:v>0</x:v>
      </x:c>
      <x:c r="AH17" s="443">
        <x:f t="shared" si="16"/>
        <x:v>0</x:v>
      </x:c>
      <x:c r="AI17" s="444" t="b">
        <x:v>0</x:v>
      </x:c>
      <x:c r="AJ17" s="238">
        <x:f t="shared" si="17"/>
        <x:v>32</x:v>
      </x:c>
      <x:c r="AK17" s="830" t="str">
        <x:f t="shared" si="18"/>
        <x:v>LH</x:v>
      </x:c>
      <x:c r="AL17" s="945" t="str">
        <x:f t="shared" si="19"/>
        <x:v/>
      </x:c>
      <x:c r="AM17" s="830">
        <x:f t="shared" si="20"/>
        <x:v>305</x:v>
      </x:c>
      <x:c r="AN17" s="830">
        <x:f t="shared" si="21"/>
        <x:v>180</x:v>
      </x:c>
      <x:c r="AO17" s="830" t="str">
        <x:f t="shared" si="22"/>
        <x:v/>
      </x:c>
      <x:c r="AP17" s="830" t="b">
        <x:f>IF(ISERROR(AJ17),FALSE,IF(OR(AJ17=0,ISERROR(AL17),ISERROR(AM17),ISERROR(AN17),ISERROR(AO17)),FALSE,IF(AL17&lt;&gt;"",IF(ISERROR(VLOOKUP(SUBSTITUTE(SUBSTITUTE(C17,"R",""),"A",""),TblJoistSize!$A:$A,1,FALSE)),FALSE,TRUE),TRUE)))</x:f>
        <x:v>1</x:v>
      </x:c>
      <x:c r="AQ17" s="1038">
        <x:f t="shared" si="23"/>
        <x:v>6</x:v>
      </x:c>
      <x:c r="AR17" s="945" t="b">
        <x:f t="shared" si="24"/>
        <x:v>1</x:v>
      </x:c>
      <x:c r="AS17" s="1038">
        <x:f t="shared" si="25"/>
        <x:v>6</x:v>
      </x:c>
      <x:c r="AT17" s="945" t="b">
        <x:f t="shared" si="26"/>
        <x:v>1</x:v>
      </x:c>
      <x:c r="AU17" s="946" t="str">
        <x:f t="shared" si="27"/>
        <x:v>LH</x:v>
      </x:c>
      <x:c r="AV17" s="830" t="str">
        <x:f t="shared" si="28"/>
        <x:v/>
      </x:c>
      <x:c r="AW17" s="830" t="str">
        <x:f t="shared" si="29"/>
        <x:v>LH</x:v>
      </x:c>
      <x:c r="AX17" s="830" t="str">
        <x:f t="shared" ref="AX17:AX45" si="106">IF(AND(OR(ISBLANK(A17),A17=""),AA17&lt;&gt;""),AX16,IF(OR(ISBLANK(A17),A17=""),"",A17))</x:f>
        <x:v>J18</x:v>
      </x:c>
      <x:c r="AY17" s="1039" t="b">
        <x:f t="shared" si="30"/>
        <x:v>0</x:v>
      </x:c>
      <x:c r="AZ17" s="856" t="b">
        <x:f t="shared" si="31"/>
        <x:v>0</x:v>
      </x:c>
      <x:c r="BA17" s="549"/>
      <x:c r="BB17" s="672"/>
      <x:c r="BC17" s="1684"/>
      <x:c r="BD17" s="733"/>
      <x:c r="BE17" s="734"/>
      <x:c r="BF17" s="735"/>
      <x:c r="BG17" s="672"/>
      <x:c r="BH17" s="982"/>
      <x:c r="BI17" s="983"/>
      <x:c r="BJ17" s="1625"/>
      <x:c r="BK17" s="713"/>
      <x:c r="BL17" s="714"/>
      <x:c r="BM17" s="715"/>
      <x:c r="BN17" s="716"/>
      <x:c r="BO17" s="672" t="str">
        <x:f>IF(ISERROR(CU17),"",IF(CU17="","",IF(VLOOKUP(BG17,SectInfo!$B:$N,10,FALSE)="","","X")))</x:f>
        <x:v/>
      </x:c>
      <x:c r="BP17" s="738"/>
      <x:c r="BQ17" s="1551" t="str">
        <x:f t="shared" si="32"/>
        <x:v/>
      </x:c>
      <x:c r="BR17" s="910"/>
      <x:c r="BS17" s="672"/>
      <x:c r="BT17" s="713"/>
      <x:c r="BU17" s="714"/>
      <x:c r="BV17" s="1625"/>
      <x:c r="BW17" s="713"/>
      <x:c r="BX17" s="714"/>
      <x:c r="BY17" s="715"/>
      <x:c r="BZ17" s="716"/>
      <x:c r="CA17" s="680" t="str">
        <x:f>IF(ISERROR(DE17),"",IF(DE17="","",IF(VLOOKUP(BS17,SectInfo!$B:$N,10,FALSE)="","","X")))</x:f>
        <x:v/>
      </x:c>
      <x:c r="CB17" s="738"/>
      <x:c r="CC17" s="1551" t="str">
        <x:f t="shared" si="33"/>
        <x:v/>
      </x:c>
      <x:c r="CD17" s="910"/>
      <x:c r="CE17" s="717"/>
      <x:c r="CF17" s="736"/>
      <x:c r="CG17" s="737"/>
      <x:c r="CH17" s="591" t="str">
        <x:f t="shared" si="34"/>
        <x:v/>
      </x:c>
      <x:c r="CI17" s="592" t="str">
        <x:f t="shared" si="35"/>
        <x:v/>
      </x:c>
      <x:c r="CJ17" s="593" t="str">
        <x:f t="shared" si="36"/>
        <x:v/>
      </x:c>
      <x:c r="CK17" s="594" t="str">
        <x:f t="shared" si="37"/>
        <x:v/>
      </x:c>
      <x:c r="CL17" s="595" t="str">
        <x:f t="shared" si="38"/>
        <x:v/>
      </x:c>
      <x:c r="CM17" s="596" t="str">
        <x:f t="shared" si="39"/>
        <x:v/>
      </x:c>
      <x:c r="CN17" s="597" t="str">
        <x:f t="shared" si="40"/>
        <x:v/>
      </x:c>
      <x:c r="CO17" s="598" t="str">
        <x:f t="shared" si="41"/>
        <x:v/>
      </x:c>
      <x:c r="CP17" s="615" t="str">
        <x:f t="shared" si="42"/>
        <x:v/>
      </x:c>
      <x:c r="CQ17" s="616" t="str">
        <x:f t="shared" si="43"/>
        <x:v/>
      </x:c>
      <x:c r="CR17" s="750">
        <x:f t="shared" si="44"/>
        <x:v>5</x:v>
      </x:c>
      <x:c r="CS17" s="751">
        <x:f t="shared" si="45"/>
        <x:v>5</x:v>
      </x:c>
      <x:c r="CU17" s="817" t="str">
        <x:f>IF(BG17="","",VLOOKUP(BG17,SectInfo!$B:$N,12,FALSE))</x:f>
        <x:v/>
      </x:c>
      <x:c r="CV17" s="815" t="str">
        <x:f>IF(BG17="","",IF(ISBLANK(BP17),VLOOKUP(BG17,SectInfo!$B:$N,13,FALSE),BP17))</x:f>
        <x:v/>
      </x:c>
      <x:c r="CW17" s="815" t="str">
        <x:f>IF(BG17="","",IF(VLOOKUP(BG17,SectInfo!$B:$N,5,FALSE)="","R",UPPER(VLOOKUP(BG17,SectInfo!$B:$N,5,FALSE))))</x:f>
        <x:v/>
      </x:c>
      <x:c r="CX17" s="815" t="str">
        <x:f>IF(BG17="","",IF(ISBLANK(BR17),VLOOKUP(BG17,SectInfo!$B:$N,6,FALSE),BR17))</x:f>
        <x:v/>
      </x:c>
      <x:c r="CY17" s="1286" t="str">
        <x:f>IF(BG17="","",IF(VLOOKUP(BG17,SectInfo!$B:$N,10,FALSE)="","",(IF(BO17="X",VLOOKUP(BG17,SectInfo!$B:$N,10,FALSE),VALUE(BO17))*-1)))</x:f>
        <x:v/>
      </x:c>
      <x:c r="CZ17" s="1122" t="str">
        <x:f>IF(BG17="","",IF(VLOOKUP(BG17,SectInfo!$B:$N,11,FALSE)="","2",(VLOOKUP(BG17,SectInfo!$B:$N,11,FALSE))))</x:f>
        <x:v/>
      </x:c>
      <x:c r="DA17" s="815" t="str">
        <x:f>IF(BG17="","",IF(VLOOKUP(BG17,SectInfo!$B:$N,7,FALSE)="","",(VLOOKUP(BG17,SectInfo!$B:$N,7,FALSE)*-1)))</x:f>
        <x:v/>
      </x:c>
      <x:c r="DB17" s="815" t="str">
        <x:f>IF(BG17="","",IF(VLOOKUP(BG17,SectInfo!$B:$N,8,FALSE)="",VLOOKUP(AU17,$DF$2:$DN$9,6,FALSE),(VLOOKUP(BG17,SectInfo!$B:$N,8,FALSE))))</x:f>
        <x:v/>
      </x:c>
      <x:c r="DC17" s="815" t="str">
        <x:f>IF(BG17="","",VLOOKUP(BG17,SectInfo!$B:$N,9,FALSE))</x:f>
        <x:v/>
      </x:c>
      <x:c r="DD17" s="816">
        <x:f t="shared" si="46"/>
        <x:v>0</x:v>
      </x:c>
      <x:c r="DE17" s="817" t="str">
        <x:f>IF(BS17="","",VLOOKUP(BS17,SectInfo!$B:$N,12,FALSE))</x:f>
        <x:v/>
      </x:c>
      <x:c r="DF17" s="815" t="str">
        <x:f>IF(BS17="","",IF(ISBLANK(CB17),VLOOKUP(BS17,SectInfo!$B:$N,13,FALSE),CB17))</x:f>
        <x:v/>
      </x:c>
      <x:c r="DG17" s="815" t="str">
        <x:f>IF(BS17="","",IF(VLOOKUP(BS17,SectInfo!$B:$N,5,FALSE)="","R",UPPER(VLOOKUP(BS17,SectInfo!$B:$N,5,FALSE))))</x:f>
        <x:v/>
      </x:c>
      <x:c r="DH17" s="815" t="str">
        <x:f>IF(BS17="","",IF(ISBLANK(CD17),VLOOKUP(BS17,SectInfo!$B:$N,6,FALSE),CD17))</x:f>
        <x:v/>
      </x:c>
      <x:c r="DI17" s="1286" t="str">
        <x:f>IF(BS17="","",IF(VLOOKUP(BS17,SectInfo!$B:$N,10,FALSE)="","",(IF(CA17="X",VLOOKUP(BS17,SectInfo!$B:$N,10,FALSE),VALUE(CA17))*-1)))</x:f>
        <x:v/>
      </x:c>
      <x:c r="DJ17" s="1122" t="str">
        <x:f>IF(BS17="","",IF(VLOOKUP(BS17,SectInfo!$B:$N,11,FALSE)="","2",(VLOOKUP(BS17,SectInfo!$B:$N,11,FALSE))))</x:f>
        <x:v/>
      </x:c>
      <x:c r="DK17" s="815" t="str">
        <x:f>IF(BS17="","",IF(VLOOKUP(BS17,SectInfo!$B:$N,7,FALSE)="","",(VLOOKUP(BS17,SectInfo!$B:$N,7,FALSE)*-1)))</x:f>
        <x:v/>
      </x:c>
      <x:c r="DL17" s="815" t="str">
        <x:f>IF(BS17="","",IF(VLOOKUP(BS17,SectInfo!$B:$N,8,FALSE)="",VLOOKUP(AU17,$DF$2:$DN$9,6,FALSE),(VLOOKUP(BS17,SectInfo!$B:$N,8,FALSE))))</x:f>
        <x:v/>
      </x:c>
      <x:c r="DM17" s="815" t="str">
        <x:f>IF(BS17="","",VLOOKUP(BS17,SectInfo!$B:$N,9,FALSE))</x:f>
        <x:v/>
      </x:c>
      <x:c r="DN17" s="816">
        <x:f t="shared" si="47"/>
        <x:v>0</x:v>
      </x:c>
      <x:c r="DO17" s="818">
        <x:f t="shared" si="48"/>
        <x:v>0</x:v>
      </x:c>
      <x:c r="DP17" s="822" t="str">
        <x:f t="shared" si="49"/>
        <x:v/>
      </x:c>
      <x:c r="DQ17" s="822" t="str">
        <x:f t="shared" si="50"/>
        <x:v/>
      </x:c>
      <x:c r="DR17" s="822" t="str">
        <x:f t="shared" si="51"/>
        <x:v/>
      </x:c>
      <x:c r="DS17" s="821">
        <x:f t="shared" si="52"/>
        <x:v>0</x:v>
      </x:c>
      <x:c r="DT17" s="821">
        <x:f t="shared" si="53"/>
        <x:v>0</x:v>
      </x:c>
      <x:c r="DU17" s="821" t="str">
        <x:f t="shared" si="54"/>
        <x:v/>
      </x:c>
      <x:c r="DV17" s="822" t="str">
        <x:f t="shared" si="55"/>
        <x:v/>
      </x:c>
      <x:c r="DW17" s="856" t="str">
        <x:f t="shared" si="56"/>
        <x:v/>
      </x:c>
      <x:c r="DX17" s="1006">
        <x:f t="shared" si="57"/>
        <x:v>0</x:v>
      </x:c>
      <x:c r="DY17" s="822">
        <x:f t="shared" si="58"/>
        <x:v>0</x:v>
      </x:c>
      <x:c r="DZ17" s="821">
        <x:f t="shared" si="59"/>
        <x:v>0</x:v>
      </x:c>
      <x:c r="EA17" s="821" t="str">
        <x:f t="shared" si="60"/>
        <x:v/>
      </x:c>
      <x:c r="EB17" s="822" t="str">
        <x:f t="shared" si="61"/>
        <x:v/>
      </x:c>
      <x:c r="EC17" s="856" t="str">
        <x:f t="shared" si="62"/>
        <x:v/>
      </x:c>
      <x:c r="ED17" s="1006">
        <x:f t="shared" si="63"/>
        <x:v>0</x:v>
      </x:c>
      <x:c r="EE17" s="1293" t="str">
        <x:f t="shared" si="64"/>
        <x:v/>
      </x:c>
      <x:c r="EF17" s="1293" t="str">
        <x:f t="shared" si="65"/>
        <x:v/>
      </x:c>
      <x:c r="EG17" s="1293" t="str">
        <x:f t="shared" si="66"/>
        <x:v/>
      </x:c>
      <x:c r="EH17" s="856" t="str">
        <x:f t="shared" si="67"/>
        <x:v>ERR</x:v>
      </x:c>
      <x:c r="EI17" s="856" t="str">
        <x:f t="shared" si="68"/>
        <x:v>ERR</x:v>
      </x:c>
      <x:c r="EJ17" s="822" t="str">
        <x:f t="shared" si="69"/>
        <x:v/>
      </x:c>
      <x:c r="EK17" s="822" t="str">
        <x:f t="shared" si="69"/>
        <x:v/>
      </x:c>
      <x:c r="EL17" s="1293" t="str">
        <x:f t="shared" si="70"/>
        <x:v/>
      </x:c>
      <x:c r="EM17" s="822" t="str">
        <x:f t="shared" si="71"/>
        <x:v/>
      </x:c>
      <x:c r="EN17" s="822" t="str">
        <x:f t="shared" si="72"/>
        <x:v/>
      </x:c>
      <x:c r="EO17" s="856" t="str">
        <x:f t="shared" si="73"/>
        <x:v>ERR</x:v>
      </x:c>
      <x:c r="EP17" s="856" t="str">
        <x:f t="shared" si="74"/>
        <x:v>ERR</x:v>
      </x:c>
      <x:c r="EQ17" s="1293" t="str">
        <x:f t="shared" si="75"/>
        <x:v/>
      </x:c>
      <x:c r="ER17" s="822" t="str">
        <x:f t="shared" si="75"/>
        <x:v/>
      </x:c>
      <x:c r="ES17" s="822" t="str">
        <x:f t="shared" si="76"/>
        <x:v/>
      </x:c>
      <x:c r="ET17" s="822" t="str">
        <x:f t="shared" si="77"/>
        <x:v/>
      </x:c>
      <x:c r="EU17" s="829">
        <x:f t="shared" si="78"/>
        <x:v>4</x:v>
      </x:c>
      <x:c r="EV17" s="824" t="str">
        <x:f t="shared" si="79"/>
        <x:v/>
      </x:c>
      <x:c r="EW17" s="829"/>
      <x:c r="EX17" s="829" t="str">
        <x:f>IF(AND(CU17="G", ISBLANK(BK17), ISBLANK(BL17)),VLOOKUP(MIN(BH17:BI17),TblJoistSize!$M$3:$N$10,2),IF(OR(CU17="B",CU17="G"),MIN(BK17:BL17),""))</x:f>
        <x:v/>
      </x:c>
      <x:c r="EY17" s="829" t="str">
        <x:f>IF(AND(CU17="G", ISBLANK(BK17), ISBLANK(BL17)),VLOOKUP(MAX(BH17:BI17),TblJoistSize!$M$3:$N$10,2),IF(OR(CU17="B",CU17="G"),MAX(BK17:BL17),""))</x:f>
        <x:v/>
      </x:c>
      <x:c r="EZ17" s="829" t="str">
        <x:f t="shared" si="80"/>
        <x:v/>
      </x:c>
      <x:c r="FA17" s="829" t="str">
        <x:f>IF(AND(DE17="G", ISBLANK(BW17), ISBLANK(BX17)),VLOOKUP(MIN(BT17:BU17),TblJoistSize!$M$3:$N$10,2),IF(OR(DE17="B", DE17="G"),MIN(BW17:BX17),""))</x:f>
        <x:v/>
      </x:c>
      <x:c r="FB17" s="829" t="str">
        <x:f>IF(AND(DE17="G", ISBLANK(BW17), ISBLANK(BX17)),VLOOKUP(MAX(BT17:BU17),TblJoistSize!$M$3:$N$10,2),IF(OR(DE17="B", DE17="G"),MAX(BW17:BX17),""))</x:f>
        <x:v/>
      </x:c>
      <x:c r="FC17" s="829" t="str">
        <x:f t="shared" si="81"/>
        <x:v/>
      </x:c>
      <x:c r="FD17" s="821">
        <x:f t="shared" ref="FD17:FD45" si="107">IF(DD17="",0,ATAN(DD17/12))</x:f>
        <x:v>0</x:v>
      </x:c>
      <x:c r="FE17" s="821">
        <x:f t="shared" si="82"/>
        <x:v>0</x:v>
      </x:c>
      <x:c r="FF17" s="821">
        <x:f t="shared" si="83"/>
        <x:v>0</x:v>
      </x:c>
      <x:c r="FG17" s="821" t="str">
        <x:f t="shared" si="84"/>
        <x:v/>
      </x:c>
      <x:c r="FH17" s="822" t="str">
        <x:f t="shared" si="85"/>
        <x:v/>
      </x:c>
      <x:c r="FI17" s="821">
        <x:f t="shared" ref="FI17:FI45" si="108">IF(DN17="",0,ATAN(DN17/12))</x:f>
        <x:v>0</x:v>
      </x:c>
      <x:c r="FJ17" s="821">
        <x:f t="shared" si="86"/>
        <x:v>0</x:v>
      </x:c>
      <x:c r="FK17" s="821">
        <x:f t="shared" si="87"/>
        <x:v>0</x:v>
      </x:c>
      <x:c r="FL17" s="821" t="str">
        <x:f t="shared" si="88"/>
        <x:v/>
      </x:c>
      <x:c r="FM17" s="822" t="str">
        <x:f t="shared" si="89"/>
        <x:v/>
      </x:c>
      <x:c r="FN17" s="822" t="e">
        <x:f t="shared" si="90"/>
        <x:v>#VALUE!</x:v>
      </x:c>
      <x:c r="FO17" s="940" t="e">
        <x:f t="shared" si="91"/>
        <x:v>#VALUE!</x:v>
      </x:c>
      <x:c r="FP17" s="940" t="e">
        <x:f t="shared" si="92"/>
        <x:v>#VALUE!</x:v>
      </x:c>
      <x:c r="FQ17" s="830" t="e">
        <x:f t="shared" si="93"/>
        <x:v>#VALUE!</x:v>
      </x:c>
      <x:c r="FR17" s="831" t="e">
        <x:f t="shared" si="94"/>
        <x:v>#VALUE!</x:v>
      </x:c>
      <x:c r="FS17" s="832" t="str">
        <x:f t="shared" si="95"/>
        <x:v/>
      </x:c>
      <x:c r="FT17" s="833" t="str">
        <x:f t="shared" si="96"/>
        <x:v/>
      </x:c>
      <x:c r="FU17" s="870">
        <x:f t="shared" si="97"/>
        <x:v>0</x:v>
      </x:c>
      <x:c r="FV17" s="871">
        <x:f t="shared" si="98"/>
        <x:v>0</x:v>
      </x:c>
      <x:c r="GA17" s="1791">
        <x:v>40</x:v>
      </x:c>
      <x:c r="GB17" s="1792">
        <x:v>0.75</x:v>
      </x:c>
      <x:c r="GC17" s="1793">
        <x:v>-0.25</x:v>
      </x:c>
      <x:c r="GD17" s="1794">
        <x:v>-0.5</x:v>
      </x:c>
      <x:c r="GE17" s="1795">
        <x:f t="shared" si="99"/>
        <x:v>0</x:v>
      </x:c>
      <x:c r="GF17" s="600" t="str">
        <x:f t="shared" si="100"/>
        <x:v>J18</x:v>
      </x:c>
      <x:c r="GG17" s="1130">
        <x:v>0</x:v>
      </x:c>
      <x:c r="GH17" s="1131">
        <x:v>0</x:v>
      </x:c>
      <x:c r="GI17" s="1130"/>
      <x:c r="GJ17" s="1131"/>
      <x:c r="GK17" s="1638">
        <x:f t="shared" si="101"/>
        <x:v>480</x:v>
      </x:c>
      <x:c r="GL17" s="1636">
        <x:f t="shared" si="102"/>
        <x:v>480</x:v>
      </x:c>
      <x:c r="GM17" s="1637">
        <x:f>IF(ABS(GK17-GL17)&gt;='Job Info.'!$L$22,ABS(GK17-GL17),0)</x:f>
        <x:v>0</x:v>
      </x:c>
      <x:c r="HA17" s="1269" t="s">
        <x:v>1448</x:v>
      </x:c>
      <x:c r="HB17" s="1270">
        <x:v>1</x:v>
      </x:c>
      <x:c r="HC17" s="1270" t="s">
        <x:v>1592</x:v>
      </x:c>
      <x:c r="HD17" s="1271">
        <x:v>40</x:v>
      </x:c>
      <x:c r="HE17" s="1272">
        <x:v>0</x:v>
      </x:c>
      <x:c r="HF17" s="1270" t="s">
        <x:v>116</x:v>
      </x:c>
      <x:c r="HG17" s="1270" t="s">
        <x:v>116</x:v>
      </x:c>
      <x:c r="HH17" s="1270" t="s">
        <x:v>116</x:v>
      </x:c>
      <x:c r="HI17" s="1273" t="s">
        <x:v>116</x:v>
      </x:c>
      <x:c r="HJ17" s="1270" t="s">
        <x:v>116</x:v>
      </x:c>
      <x:c r="HK17" s="1270" t="s">
        <x:v>116</x:v>
      </x:c>
      <x:c r="HL17" s="1270">
        <x:v>5</x:v>
      </x:c>
      <x:c r="HM17" s="1270">
        <x:v>5</x:v>
      </x:c>
      <x:c r="HN17" s="1270" t="s">
        <x:v>116</x:v>
      </x:c>
      <x:c r="HO17" s="1270" t="s">
        <x:v>116</x:v>
      </x:c>
      <x:c r="HP17" s="1270" t="s">
        <x:v>116</x:v>
      </x:c>
      <x:c r="HQ17" s="1273" t="s">
        <x:v>116</x:v>
      </x:c>
      <x:c r="HR17" s="1270" t="s">
        <x:v>116</x:v>
      </x:c>
      <x:c r="HS17" s="1270" t="s">
        <x:v>116</x:v>
      </x:c>
      <x:c r="HT17" s="1270">
        <x:v>0</x:v>
      </x:c>
      <x:c r="HU17" s="1270">
        <x:v>2.25</x:v>
      </x:c>
      <x:c r="HV17" s="1270">
        <x:v>0</x:v>
      </x:c>
      <x:c r="HW17" s="1272">
        <x:v>2</x:v>
      </x:c>
      <x:c r="HX17" s="1272">
        <x:v>4</x:v>
      </x:c>
      <x:c r="HY17" s="1272" t="s">
        <x:v>116</x:v>
      </x:c>
      <x:c r="HZ17" s="1272" t="s">
        <x:v>116</x:v>
      </x:c>
      <x:c r="IA17" s="1272" t="s">
        <x:v>1661</x:v>
      </x:c>
      <x:c r="IB17" s="1272"/>
      <x:c r="IC17" s="1272"/>
      <x:c r="ID17" s="1272"/>
      <x:c r="IE17" s="1272"/>
      <x:c r="IF17" s="1274"/>
    </x:row>
    <x:row r="18" spans="1:240" ht="12.6" customHeight="1" x14ac:dyDescent="0.25">
      <x:c r="A18" s="2764" t="s">
        <x:v>1449</x:v>
      </x:c>
      <x:c r="B18" s="2765">
        <x:v>1</x:v>
      </x:c>
      <x:c r="C18" s="2766" t="s">
        <x:v>1592</x:v>
      </x:c>
      <x:c r="D18" s="2767">
        <x:v>40</x:v>
      </x:c>
      <x:c r="E18" s="2768">
        <x:v>0</x:v>
      </x:c>
      <x:c r="F18" s="2776" t="str">
        <x:f t="shared" si="1"/>
        <x:v/>
      </x:c>
      <x:c r="G18" s="2771" t="str">
        <x:f t="shared" si="2"/>
        <x:v/>
      </x:c>
      <x:c r="H18" s="2842" t="str">
        <x:f t="shared" si="3"/>
        <x:v/>
      </x:c>
      <x:c r="I18" s="2767" t="str">
        <x:f t="shared" si="4"/>
        <x:v/>
      </x:c>
      <x:c r="J18" s="2771" t="str">
        <x:f t="shared" si="5"/>
        <x:v/>
      </x:c>
      <x:c r="K18" s="2855" t="str">
        <x:f t="shared" si="6"/>
        <x:v/>
      </x:c>
      <x:c r="L18" s="2774">
        <x:v>5</x:v>
      </x:c>
      <x:c r="M18" s="2775">
        <x:v>5</x:v>
      </x:c>
      <x:c r="N18" s="2770">
        <x:v>0</x:v>
      </x:c>
      <x:c r="O18" s="2771">
        <x:v>6.75</x:v>
      </x:c>
      <x:c r="P18" s="2772">
        <x:v>2</x:v>
      </x:c>
      <x:c r="Q18" s="2767" t="str">
        <x:f t="shared" si="7"/>
        <x:v/>
      </x:c>
      <x:c r="R18" s="2771" t="str">
        <x:f t="shared" si="8"/>
        <x:v/>
      </x:c>
      <x:c r="S18" s="2773" t="str">
        <x:f t="shared" si="9"/>
        <x:v/>
      </x:c>
      <x:c r="T18" s="2776">
        <x:v>0</x:v>
      </x:c>
      <x:c r="U18" s="2771">
        <x:v>2.25</x:v>
      </x:c>
      <x:c r="V18" s="2767">
        <x:v>0</x:v>
      </x:c>
      <x:c r="W18" s="2771">
        <x:v>2</x:v>
      </x:c>
      <x:c r="X18" s="2775">
        <x:v>4</x:v>
      </x:c>
      <x:c r="Y18" s="2844" t="str">
        <x:f t="shared" si="10"/>
        <x:v/>
      </x:c>
      <x:c r="Z18" s="2845" t="str">
        <x:f t="shared" si="11"/>
        <x:v/>
      </x:c>
      <x:c r="AA18" s="2846" t="s">
        <x:v>1651</x:v>
      </x:c>
      <x:c r="AB18" s="1413"/>
      <x:c r="AC18" s="964" t="b">
        <x:v>0</x:v>
      </x:c>
      <x:c r="AD18" s="441">
        <x:f t="shared" si="12"/>
        <x:v>0</x:v>
      </x:c>
      <x:c r="AE18" s="442">
        <x:f t="shared" si="13"/>
        <x:v>1</x:v>
      </x:c>
      <x:c r="AF18" s="442">
        <x:f t="shared" si="14"/>
        <x:v>0</x:v>
      </x:c>
      <x:c r="AG18" s="442">
        <x:f t="shared" si="15"/>
        <x:v>0</x:v>
      </x:c>
      <x:c r="AH18" s="443">
        <x:f t="shared" si="16"/>
        <x:v>0</x:v>
      </x:c>
      <x:c r="AI18" s="444" t="b">
        <x:v>0</x:v>
      </x:c>
      <x:c r="AJ18" s="238">
        <x:f t="shared" si="17"/>
        <x:v>32</x:v>
      </x:c>
      <x:c r="AK18" s="830" t="str">
        <x:f t="shared" si="18"/>
        <x:v>LH</x:v>
      </x:c>
      <x:c r="AL18" s="945" t="str">
        <x:f t="shared" si="19"/>
        <x:v/>
      </x:c>
      <x:c r="AM18" s="830">
        <x:f t="shared" si="20"/>
        <x:v>305</x:v>
      </x:c>
      <x:c r="AN18" s="830">
        <x:f t="shared" si="21"/>
        <x:v>180</x:v>
      </x:c>
      <x:c r="AO18" s="830" t="str">
        <x:f t="shared" si="22"/>
        <x:v/>
      </x:c>
      <x:c r="AP18" s="830" t="b">
        <x:f>IF(ISERROR(AJ18),FALSE,IF(OR(AJ18=0,ISERROR(AL18),ISERROR(AM18),ISERROR(AN18),ISERROR(AO18)),FALSE,IF(AL18&lt;&gt;"",IF(ISERROR(VLOOKUP(SUBSTITUTE(SUBSTITUTE(C18,"R",""),"A",""),TblJoistSize!$A:$A,1,FALSE)),FALSE,TRUE),TRUE)))</x:f>
        <x:v>1</x:v>
      </x:c>
      <x:c r="AQ18" s="1038">
        <x:f t="shared" si="23"/>
        <x:v>6</x:v>
      </x:c>
      <x:c r="AR18" s="945" t="b">
        <x:f t="shared" si="24"/>
        <x:v>1</x:v>
      </x:c>
      <x:c r="AS18" s="1038">
        <x:f t="shared" si="25"/>
        <x:v>6</x:v>
      </x:c>
      <x:c r="AT18" s="945" t="b">
        <x:f t="shared" si="26"/>
        <x:v>1</x:v>
      </x:c>
      <x:c r="AU18" s="946" t="str">
        <x:f t="shared" si="27"/>
        <x:v>LH</x:v>
      </x:c>
      <x:c r="AV18" s="830" t="str">
        <x:f t="shared" si="28"/>
        <x:v/>
      </x:c>
      <x:c r="AW18" s="830" t="str">
        <x:f t="shared" si="29"/>
        <x:v>LH</x:v>
      </x:c>
      <x:c r="AX18" s="830" t="str">
        <x:f t="shared" si="106"/>
        <x:v>TJ19</x:v>
      </x:c>
      <x:c r="AY18" s="1039" t="b">
        <x:f t="shared" si="30"/>
        <x:v>0</x:v>
      </x:c>
      <x:c r="AZ18" s="856" t="b">
        <x:f t="shared" si="31"/>
        <x:v>0</x:v>
      </x:c>
      <x:c r="BA18" s="549"/>
      <x:c r="BB18" s="672"/>
      <x:c r="BC18" s="1684"/>
      <x:c r="BD18" s="733"/>
      <x:c r="BE18" s="734"/>
      <x:c r="BF18" s="735"/>
      <x:c r="BG18" s="672"/>
      <x:c r="BH18" s="982"/>
      <x:c r="BI18" s="983"/>
      <x:c r="BJ18" s="1625"/>
      <x:c r="BK18" s="713"/>
      <x:c r="BL18" s="714"/>
      <x:c r="BM18" s="715"/>
      <x:c r="BN18" s="716"/>
      <x:c r="BO18" s="672" t="str">
        <x:f>IF(ISERROR(CU18),"",IF(CU18="","",IF(VLOOKUP(BG18,SectInfo!$B:$N,10,FALSE)="","","X")))</x:f>
        <x:v/>
      </x:c>
      <x:c r="BP18" s="738"/>
      <x:c r="BQ18" s="1551" t="str">
        <x:f t="shared" si="32"/>
        <x:v/>
      </x:c>
      <x:c r="BR18" s="910"/>
      <x:c r="BS18" s="672"/>
      <x:c r="BT18" s="713"/>
      <x:c r="BU18" s="714"/>
      <x:c r="BV18" s="1625"/>
      <x:c r="BW18" s="713"/>
      <x:c r="BX18" s="714"/>
      <x:c r="BY18" s="715"/>
      <x:c r="BZ18" s="716"/>
      <x:c r="CA18" s="680" t="str">
        <x:f>IF(ISERROR(DE18),"",IF(DE18="","",IF(VLOOKUP(BS18,SectInfo!$B:$N,10,FALSE)="","","X")))</x:f>
        <x:v/>
      </x:c>
      <x:c r="CB18" s="738"/>
      <x:c r="CC18" s="1551" t="str">
        <x:f t="shared" si="33"/>
        <x:v/>
      </x:c>
      <x:c r="CD18" s="910"/>
      <x:c r="CE18" s="717"/>
      <x:c r="CF18" s="736"/>
      <x:c r="CG18" s="737"/>
      <x:c r="CH18" s="591" t="str">
        <x:f t="shared" si="34"/>
        <x:v/>
      </x:c>
      <x:c r="CI18" s="592" t="str">
        <x:f t="shared" si="35"/>
        <x:v/>
      </x:c>
      <x:c r="CJ18" s="593" t="str">
        <x:f t="shared" si="36"/>
        <x:v/>
      </x:c>
      <x:c r="CK18" s="594" t="str">
        <x:f t="shared" si="37"/>
        <x:v/>
      </x:c>
      <x:c r="CL18" s="595" t="str">
        <x:f t="shared" si="38"/>
        <x:v/>
      </x:c>
      <x:c r="CM18" s="596" t="str">
        <x:f t="shared" si="39"/>
        <x:v/>
      </x:c>
      <x:c r="CN18" s="597" t="str">
        <x:f t="shared" si="40"/>
        <x:v/>
      </x:c>
      <x:c r="CO18" s="598" t="str">
        <x:f t="shared" si="41"/>
        <x:v/>
      </x:c>
      <x:c r="CP18" s="615" t="str">
        <x:f t="shared" si="42"/>
        <x:v/>
      </x:c>
      <x:c r="CQ18" s="616" t="str">
        <x:f t="shared" si="43"/>
        <x:v/>
      </x:c>
      <x:c r="CR18" s="750">
        <x:f t="shared" si="44"/>
        <x:v>5</x:v>
      </x:c>
      <x:c r="CS18" s="751">
        <x:f t="shared" si="45"/>
        <x:v>5</x:v>
      </x:c>
      <x:c r="CU18" s="817" t="str">
        <x:f>IF(BG18="","",VLOOKUP(BG18,SectInfo!$B:$N,12,FALSE))</x:f>
        <x:v/>
      </x:c>
      <x:c r="CV18" s="815" t="str">
        <x:f>IF(BG18="","",IF(ISBLANK(BP18),VLOOKUP(BG18,SectInfo!$B:$N,13,FALSE),BP18))</x:f>
        <x:v/>
      </x:c>
      <x:c r="CW18" s="815" t="str">
        <x:f>IF(BG18="","",IF(VLOOKUP(BG18,SectInfo!$B:$N,5,FALSE)="","R",UPPER(VLOOKUP(BG18,SectInfo!$B:$N,5,FALSE))))</x:f>
        <x:v/>
      </x:c>
      <x:c r="CX18" s="815" t="str">
        <x:f>IF(BG18="","",IF(ISBLANK(BR18),VLOOKUP(BG18,SectInfo!$B:$N,6,FALSE),BR18))</x:f>
        <x:v/>
      </x:c>
      <x:c r="CY18" s="1286" t="str">
        <x:f>IF(BG18="","",IF(VLOOKUP(BG18,SectInfo!$B:$N,10,FALSE)="","",(IF(BO18="X",VLOOKUP(BG18,SectInfo!$B:$N,10,FALSE),VALUE(BO18))*-1)))</x:f>
        <x:v/>
      </x:c>
      <x:c r="CZ18" s="1122" t="str">
        <x:f>IF(BG18="","",IF(VLOOKUP(BG18,SectInfo!$B:$N,11,FALSE)="","2",(VLOOKUP(BG18,SectInfo!$B:$N,11,FALSE))))</x:f>
        <x:v/>
      </x:c>
      <x:c r="DA18" s="815" t="str">
        <x:f>IF(BG18="","",IF(VLOOKUP(BG18,SectInfo!$B:$N,7,FALSE)="","",(VLOOKUP(BG18,SectInfo!$B:$N,7,FALSE)*-1)))</x:f>
        <x:v/>
      </x:c>
      <x:c r="DB18" s="815" t="str">
        <x:f>IF(BG18="","",IF(VLOOKUP(BG18,SectInfo!$B:$N,8,FALSE)="",VLOOKUP(AU18,$DF$2:$DN$9,6,FALSE),(VLOOKUP(BG18,SectInfo!$B:$N,8,FALSE))))</x:f>
        <x:v/>
      </x:c>
      <x:c r="DC18" s="815" t="str">
        <x:f>IF(BG18="","",VLOOKUP(BG18,SectInfo!$B:$N,9,FALSE))</x:f>
        <x:v/>
      </x:c>
      <x:c r="DD18" s="816">
        <x:f t="shared" si="46"/>
        <x:v>0</x:v>
      </x:c>
      <x:c r="DE18" s="817" t="str">
        <x:f>IF(BS18="","",VLOOKUP(BS18,SectInfo!$B:$N,12,FALSE))</x:f>
        <x:v/>
      </x:c>
      <x:c r="DF18" s="815" t="str">
        <x:f>IF(BS18="","",IF(ISBLANK(CB18),VLOOKUP(BS18,SectInfo!$B:$N,13,FALSE),CB18))</x:f>
        <x:v/>
      </x:c>
      <x:c r="DG18" s="815" t="str">
        <x:f>IF(BS18="","",IF(VLOOKUP(BS18,SectInfo!$B:$N,5,FALSE)="","R",UPPER(VLOOKUP(BS18,SectInfo!$B:$N,5,FALSE))))</x:f>
        <x:v/>
      </x:c>
      <x:c r="DH18" s="815" t="str">
        <x:f>IF(BS18="","",IF(ISBLANK(CD18),VLOOKUP(BS18,SectInfo!$B:$N,6,FALSE),CD18))</x:f>
        <x:v/>
      </x:c>
      <x:c r="DI18" s="1286" t="str">
        <x:f>IF(BS18="","",IF(VLOOKUP(BS18,SectInfo!$B:$N,10,FALSE)="","",(IF(CA18="X",VLOOKUP(BS18,SectInfo!$B:$N,10,FALSE),VALUE(CA18))*-1)))</x:f>
        <x:v/>
      </x:c>
      <x:c r="DJ18" s="1122" t="str">
        <x:f>IF(BS18="","",IF(VLOOKUP(BS18,SectInfo!$B:$N,11,FALSE)="","2",(VLOOKUP(BS18,SectInfo!$B:$N,11,FALSE))))</x:f>
        <x:v/>
      </x:c>
      <x:c r="DK18" s="815" t="str">
        <x:f>IF(BS18="","",IF(VLOOKUP(BS18,SectInfo!$B:$N,7,FALSE)="","",(VLOOKUP(BS18,SectInfo!$B:$N,7,FALSE)*-1)))</x:f>
        <x:v/>
      </x:c>
      <x:c r="DL18" s="815" t="str">
        <x:f>IF(BS18="","",IF(VLOOKUP(BS18,SectInfo!$B:$N,8,FALSE)="",VLOOKUP(AU18,$DF$2:$DN$9,6,FALSE),(VLOOKUP(BS18,SectInfo!$B:$N,8,FALSE))))</x:f>
        <x:v/>
      </x:c>
      <x:c r="DM18" s="815" t="str">
        <x:f>IF(BS18="","",VLOOKUP(BS18,SectInfo!$B:$N,9,FALSE))</x:f>
        <x:v/>
      </x:c>
      <x:c r="DN18" s="816">
        <x:f t="shared" si="47"/>
        <x:v>0</x:v>
      </x:c>
      <x:c r="DO18" s="818">
        <x:f t="shared" si="48"/>
        <x:v>0</x:v>
      </x:c>
      <x:c r="DP18" s="822" t="str">
        <x:f t="shared" si="49"/>
        <x:v/>
      </x:c>
      <x:c r="DQ18" s="822" t="str">
        <x:f t="shared" si="50"/>
        <x:v/>
      </x:c>
      <x:c r="DR18" s="822" t="str">
        <x:f t="shared" si="51"/>
        <x:v/>
      </x:c>
      <x:c r="DS18" s="821">
        <x:f t="shared" si="52"/>
        <x:v>0</x:v>
      </x:c>
      <x:c r="DT18" s="821">
        <x:f t="shared" si="53"/>
        <x:v>0</x:v>
      </x:c>
      <x:c r="DU18" s="821" t="str">
        <x:f t="shared" si="54"/>
        <x:v/>
      </x:c>
      <x:c r="DV18" s="822" t="str">
        <x:f t="shared" si="55"/>
        <x:v/>
      </x:c>
      <x:c r="DW18" s="856" t="str">
        <x:f t="shared" si="56"/>
        <x:v/>
      </x:c>
      <x:c r="DX18" s="1006">
        <x:f t="shared" si="57"/>
        <x:v>0</x:v>
      </x:c>
      <x:c r="DY18" s="822">
        <x:f t="shared" si="58"/>
        <x:v>0</x:v>
      </x:c>
      <x:c r="DZ18" s="821">
        <x:f t="shared" si="59"/>
        <x:v>0</x:v>
      </x:c>
      <x:c r="EA18" s="821" t="str">
        <x:f t="shared" si="60"/>
        <x:v/>
      </x:c>
      <x:c r="EB18" s="822" t="str">
        <x:f t="shared" si="61"/>
        <x:v/>
      </x:c>
      <x:c r="EC18" s="856" t="str">
        <x:f t="shared" si="62"/>
        <x:v/>
      </x:c>
      <x:c r="ED18" s="1006">
        <x:f t="shared" si="63"/>
        <x:v>0</x:v>
      </x:c>
      <x:c r="EE18" s="1293" t="str">
        <x:f t="shared" si="64"/>
        <x:v/>
      </x:c>
      <x:c r="EF18" s="1293" t="str">
        <x:f t="shared" si="65"/>
        <x:v/>
      </x:c>
      <x:c r="EG18" s="1293" t="str">
        <x:f t="shared" si="66"/>
        <x:v/>
      </x:c>
      <x:c r="EH18" s="856" t="str">
        <x:f t="shared" si="67"/>
        <x:v>ERR</x:v>
      </x:c>
      <x:c r="EI18" s="856" t="str">
        <x:f t="shared" si="68"/>
        <x:v>ERR</x:v>
      </x:c>
      <x:c r="EJ18" s="822" t="str">
        <x:f t="shared" si="69"/>
        <x:v/>
      </x:c>
      <x:c r="EK18" s="822" t="str">
        <x:f t="shared" si="69"/>
        <x:v/>
      </x:c>
      <x:c r="EL18" s="1293" t="str">
        <x:f t="shared" si="70"/>
        <x:v/>
      </x:c>
      <x:c r="EM18" s="822" t="str">
        <x:f t="shared" si="71"/>
        <x:v/>
      </x:c>
      <x:c r="EN18" s="822" t="str">
        <x:f t="shared" si="72"/>
        <x:v/>
      </x:c>
      <x:c r="EO18" s="856" t="str">
        <x:f t="shared" si="73"/>
        <x:v>ERR</x:v>
      </x:c>
      <x:c r="EP18" s="856" t="str">
        <x:f t="shared" si="74"/>
        <x:v>ERR</x:v>
      </x:c>
      <x:c r="EQ18" s="1293" t="str">
        <x:f t="shared" si="75"/>
        <x:v/>
      </x:c>
      <x:c r="ER18" s="822" t="str">
        <x:f t="shared" si="75"/>
        <x:v/>
      </x:c>
      <x:c r="ES18" s="822" t="str">
        <x:f t="shared" si="76"/>
        <x:v/>
      </x:c>
      <x:c r="ET18" s="822" t="str">
        <x:f t="shared" si="77"/>
        <x:v/>
      </x:c>
      <x:c r="EU18" s="829">
        <x:f t="shared" si="78"/>
        <x:v>4</x:v>
      </x:c>
      <x:c r="EV18" s="824" t="str">
        <x:f t="shared" si="79"/>
        <x:v/>
      </x:c>
      <x:c r="EW18" s="829"/>
      <x:c r="EX18" s="829" t="str">
        <x:f>IF(AND(CU18="G", ISBLANK(BK18), ISBLANK(BL18)),VLOOKUP(MIN(BH18:BI18),TblJoistSize!$M$3:$N$10,2),IF(OR(CU18="B",CU18="G"),MIN(BK18:BL18),""))</x:f>
        <x:v/>
      </x:c>
      <x:c r="EY18" s="829" t="str">
        <x:f>IF(AND(CU18="G", ISBLANK(BK18), ISBLANK(BL18)),VLOOKUP(MAX(BH18:BI18),TblJoistSize!$M$3:$N$10,2),IF(OR(CU18="B",CU18="G"),MAX(BK18:BL18),""))</x:f>
        <x:v/>
      </x:c>
      <x:c r="EZ18" s="829" t="str">
        <x:f t="shared" si="80"/>
        <x:v/>
      </x:c>
      <x:c r="FA18" s="829" t="str">
        <x:f>IF(AND(DE18="G", ISBLANK(BW18), ISBLANK(BX18)),VLOOKUP(MIN(BT18:BU18),TblJoistSize!$M$3:$N$10,2),IF(OR(DE18="B", DE18="G"),MIN(BW18:BX18),""))</x:f>
        <x:v/>
      </x:c>
      <x:c r="FB18" s="829" t="str">
        <x:f>IF(AND(DE18="G", ISBLANK(BW18), ISBLANK(BX18)),VLOOKUP(MAX(BT18:BU18),TblJoistSize!$M$3:$N$10,2),IF(OR(DE18="B", DE18="G"),MAX(BW18:BX18),""))</x:f>
        <x:v/>
      </x:c>
      <x:c r="FC18" s="829" t="str">
        <x:f t="shared" si="81"/>
        <x:v/>
      </x:c>
      <x:c r="FD18" s="821">
        <x:f t="shared" si="107"/>
        <x:v>0</x:v>
      </x:c>
      <x:c r="FE18" s="821">
        <x:f t="shared" si="82"/>
        <x:v>0</x:v>
      </x:c>
      <x:c r="FF18" s="821">
        <x:f t="shared" si="83"/>
        <x:v>0</x:v>
      </x:c>
      <x:c r="FG18" s="821" t="str">
        <x:f t="shared" si="84"/>
        <x:v/>
      </x:c>
      <x:c r="FH18" s="822" t="str">
        <x:f t="shared" si="85"/>
        <x:v/>
      </x:c>
      <x:c r="FI18" s="821">
        <x:f t="shared" si="108"/>
        <x:v>0</x:v>
      </x:c>
      <x:c r="FJ18" s="821">
        <x:f t="shared" si="86"/>
        <x:v>0</x:v>
      </x:c>
      <x:c r="FK18" s="821">
        <x:f t="shared" si="87"/>
        <x:v>0</x:v>
      </x:c>
      <x:c r="FL18" s="821" t="str">
        <x:f t="shared" si="88"/>
        <x:v/>
      </x:c>
      <x:c r="FM18" s="822" t="str">
        <x:f t="shared" si="89"/>
        <x:v/>
      </x:c>
      <x:c r="FN18" s="822" t="e">
        <x:f t="shared" si="90"/>
        <x:v>#VALUE!</x:v>
      </x:c>
      <x:c r="FO18" s="940" t="e">
        <x:f t="shared" si="91"/>
        <x:v>#VALUE!</x:v>
      </x:c>
      <x:c r="FP18" s="940" t="e">
        <x:f t="shared" si="92"/>
        <x:v>#VALUE!</x:v>
      </x:c>
      <x:c r="FQ18" s="830" t="e">
        <x:f t="shared" si="93"/>
        <x:v>#VALUE!</x:v>
      </x:c>
      <x:c r="FR18" s="831" t="e">
        <x:f t="shared" si="94"/>
        <x:v>#VALUE!</x:v>
      </x:c>
      <x:c r="FS18" s="832" t="str">
        <x:f t="shared" si="95"/>
        <x:v/>
      </x:c>
      <x:c r="FT18" s="833" t="str">
        <x:f t="shared" si="96"/>
        <x:v/>
      </x:c>
      <x:c r="FU18" s="870">
        <x:f t="shared" si="97"/>
        <x:v>0</x:v>
      </x:c>
      <x:c r="FV18" s="871">
        <x:f t="shared" si="98"/>
        <x:v>0</x:v>
      </x:c>
      <x:c r="GA18" s="1791">
        <x:v>40</x:v>
      </x:c>
      <x:c r="GB18" s="1792">
        <x:v>0.75</x:v>
      </x:c>
      <x:c r="GC18" s="1793">
        <x:v>-0.25</x:v>
      </x:c>
      <x:c r="GD18" s="1794">
        <x:v>-0.5</x:v>
      </x:c>
      <x:c r="GE18" s="1795">
        <x:f t="shared" si="99"/>
        <x:v>0</x:v>
      </x:c>
      <x:c r="GF18" s="600" t="str">
        <x:f t="shared" si="100"/>
        <x:v>TJ19</x:v>
      </x:c>
      <x:c r="GG18" s="1130">
        <x:v>0</x:v>
      </x:c>
      <x:c r="GH18" s="1131">
        <x:v>0</x:v>
      </x:c>
      <x:c r="GI18" s="1130"/>
      <x:c r="GJ18" s="1131"/>
      <x:c r="GK18" s="1638">
        <x:f t="shared" si="101"/>
        <x:v>480</x:v>
      </x:c>
      <x:c r="GL18" s="1636">
        <x:f t="shared" si="102"/>
        <x:v>480</x:v>
      </x:c>
      <x:c r="GM18" s="1637">
        <x:f>IF(ABS(GK18-GL18)&gt;='Job Info.'!$L$22,ABS(GK18-GL18),0)</x:f>
        <x:v>0</x:v>
      </x:c>
      <x:c r="HA18" s="1269" t="s">
        <x:v>1449</x:v>
      </x:c>
      <x:c r="HB18" s="1270">
        <x:v>1</x:v>
      </x:c>
      <x:c r="HC18" s="1270" t="s">
        <x:v>1592</x:v>
      </x:c>
      <x:c r="HD18" s="1271">
        <x:v>40</x:v>
      </x:c>
      <x:c r="HE18" s="1272">
        <x:v>0</x:v>
      </x:c>
      <x:c r="HF18" s="1270" t="s">
        <x:v>116</x:v>
      </x:c>
      <x:c r="HG18" s="1270" t="s">
        <x:v>116</x:v>
      </x:c>
      <x:c r="HH18" s="1270" t="s">
        <x:v>116</x:v>
      </x:c>
      <x:c r="HI18" s="1273" t="s">
        <x:v>116</x:v>
      </x:c>
      <x:c r="HJ18" s="1270" t="s">
        <x:v>116</x:v>
      </x:c>
      <x:c r="HK18" s="1270" t="s">
        <x:v>116</x:v>
      </x:c>
      <x:c r="HL18" s="1270">
        <x:v>5</x:v>
      </x:c>
      <x:c r="HM18" s="1270">
        <x:v>5</x:v>
      </x:c>
      <x:c r="HN18" s="1270">
        <x:v>0</x:v>
      </x:c>
      <x:c r="HO18" s="1270">
        <x:v>6.75</x:v>
      </x:c>
      <x:c r="HP18" s="1270">
        <x:v>2</x:v>
      </x:c>
      <x:c r="HQ18" s="1273" t="s">
        <x:v>116</x:v>
      </x:c>
      <x:c r="HR18" s="1270" t="s">
        <x:v>116</x:v>
      </x:c>
      <x:c r="HS18" s="1270" t="s">
        <x:v>116</x:v>
      </x:c>
      <x:c r="HT18" s="1270">
        <x:v>0</x:v>
      </x:c>
      <x:c r="HU18" s="1270">
        <x:v>2.25</x:v>
      </x:c>
      <x:c r="HV18" s="1270">
        <x:v>0</x:v>
      </x:c>
      <x:c r="HW18" s="1272">
        <x:v>2</x:v>
      </x:c>
      <x:c r="HX18" s="1272">
        <x:v>4</x:v>
      </x:c>
      <x:c r="HY18" s="1272" t="s">
        <x:v>116</x:v>
      </x:c>
      <x:c r="HZ18" s="1272" t="s">
        <x:v>116</x:v>
      </x:c>
      <x:c r="IA18" s="1272" t="s">
        <x:v>1651</x:v>
      </x:c>
      <x:c r="IB18" s="1272"/>
      <x:c r="IC18" s="1272"/>
      <x:c r="ID18" s="1272"/>
      <x:c r="IE18" s="1272"/>
      <x:c r="IF18" s="1274"/>
    </x:row>
    <x:row r="19" spans="1:240" ht="12.6" customHeight="1" x14ac:dyDescent="0.25">
      <x:c r="A19" s="2764" t="s">
        <x:v>1450</x:v>
      </x:c>
      <x:c r="B19" s="2765">
        <x:v>2</x:v>
      </x:c>
      <x:c r="C19" s="2766" t="s">
        <x:v>1592</x:v>
      </x:c>
      <x:c r="D19" s="2767">
        <x:v>49</x:v>
      </x:c>
      <x:c r="E19" s="2768">
        <x:v>11.5</x:v>
      </x:c>
      <x:c r="F19" s="2776" t="str">
        <x:f t="shared" si="1"/>
        <x:v/>
      </x:c>
      <x:c r="G19" s="2771" t="str">
        <x:f t="shared" si="2"/>
        <x:v/>
      </x:c>
      <x:c r="H19" s="2842" t="str">
        <x:f t="shared" si="3"/>
        <x:v/>
      </x:c>
      <x:c r="I19" s="2767" t="str">
        <x:f t="shared" si="4"/>
        <x:v/>
      </x:c>
      <x:c r="J19" s="2771" t="str">
        <x:f t="shared" si="5"/>
        <x:v/>
      </x:c>
      <x:c r="K19" s="2855" t="str">
        <x:f t="shared" si="6"/>
        <x:v/>
      </x:c>
      <x:c r="L19" s="2774">
        <x:v>5</x:v>
      </x:c>
      <x:c r="M19" s="2775">
        <x:v>5</x:v>
      </x:c>
      <x:c r="N19" s="2770" t="str">
        <x:f t="shared" si="103"/>
        <x:v/>
      </x:c>
      <x:c r="O19" s="2771" t="str">
        <x:f t="shared" si="104"/>
        <x:v/>
      </x:c>
      <x:c r="P19" s="2772" t="str">
        <x:f t="shared" si="105"/>
        <x:v/>
      </x:c>
      <x:c r="Q19" s="2767" t="str">
        <x:f t="shared" si="7"/>
        <x:v/>
      </x:c>
      <x:c r="R19" s="2771" t="str">
        <x:f t="shared" si="8"/>
        <x:v/>
      </x:c>
      <x:c r="S19" s="2773" t="str">
        <x:f t="shared" si="9"/>
        <x:v/>
      </x:c>
      <x:c r="T19" s="2776">
        <x:v>0</x:v>
      </x:c>
      <x:c r="U19" s="2771">
        <x:v>2.25</x:v>
      </x:c>
      <x:c r="V19" s="2767">
        <x:v>0</x:v>
      </x:c>
      <x:c r="W19" s="2771">
        <x:v>2.25</x:v>
      </x:c>
      <x:c r="X19" s="2775">
        <x:v>4</x:v>
      </x:c>
      <x:c r="Y19" s="2844" t="str">
        <x:f t="shared" si="10"/>
        <x:v/>
      </x:c>
      <x:c r="Z19" s="2845" t="str">
        <x:f t="shared" si="11"/>
        <x:v/>
      </x:c>
      <x:c r="AA19" s="2846" t="s">
        <x:v>1662</x:v>
      </x:c>
      <x:c r="AB19" s="1413"/>
      <x:c r="AC19" s="964" t="b">
        <x:v>0</x:v>
      </x:c>
      <x:c r="AD19" s="441">
        <x:f t="shared" si="12"/>
        <x:v>0</x:v>
      </x:c>
      <x:c r="AE19" s="442">
        <x:f t="shared" si="13"/>
        <x:v>2</x:v>
      </x:c>
      <x:c r="AF19" s="442">
        <x:f t="shared" si="14"/>
        <x:v>0</x:v>
      </x:c>
      <x:c r="AG19" s="442">
        <x:f t="shared" si="15"/>
        <x:v>0</x:v>
      </x:c>
      <x:c r="AH19" s="443">
        <x:f t="shared" si="16"/>
        <x:v>0</x:v>
      </x:c>
      <x:c r="AI19" s="444" t="b">
        <x:v>0</x:v>
      </x:c>
      <x:c r="AJ19" s="238">
        <x:f t="shared" si="17"/>
        <x:v>32</x:v>
      </x:c>
      <x:c r="AK19" s="830" t="str">
        <x:f t="shared" si="18"/>
        <x:v>LH</x:v>
      </x:c>
      <x:c r="AL19" s="945" t="str">
        <x:f t="shared" si="19"/>
        <x:v/>
      </x:c>
      <x:c r="AM19" s="830">
        <x:f t="shared" si="20"/>
        <x:v>305</x:v>
      </x:c>
      <x:c r="AN19" s="830">
        <x:f t="shared" si="21"/>
        <x:v>180</x:v>
      </x:c>
      <x:c r="AO19" s="830" t="str">
        <x:f t="shared" si="22"/>
        <x:v/>
      </x:c>
      <x:c r="AP19" s="830" t="b">
        <x:f>IF(ISERROR(AJ19),FALSE,IF(OR(AJ19=0,ISERROR(AL19),ISERROR(AM19),ISERROR(AN19),ISERROR(AO19)),FALSE,IF(AL19&lt;&gt;"",IF(ISERROR(VLOOKUP(SUBSTITUTE(SUBSTITUTE(C19,"R",""),"A",""),TblJoistSize!$A:$A,1,FALSE)),FALSE,TRUE),TRUE)))</x:f>
        <x:v>1</x:v>
      </x:c>
      <x:c r="AQ19" s="1038">
        <x:f t="shared" si="23"/>
        <x:v>6</x:v>
      </x:c>
      <x:c r="AR19" s="945" t="b">
        <x:f t="shared" si="24"/>
        <x:v>1</x:v>
      </x:c>
      <x:c r="AS19" s="1038">
        <x:f t="shared" si="25"/>
        <x:v>6</x:v>
      </x:c>
      <x:c r="AT19" s="945" t="b">
        <x:f t="shared" si="26"/>
        <x:v>1</x:v>
      </x:c>
      <x:c r="AU19" s="946" t="str">
        <x:f t="shared" si="27"/>
        <x:v>LH</x:v>
      </x:c>
      <x:c r="AV19" s="830" t="str">
        <x:f t="shared" si="28"/>
        <x:v/>
      </x:c>
      <x:c r="AW19" s="830" t="str">
        <x:f t="shared" si="29"/>
        <x:v>LH</x:v>
      </x:c>
      <x:c r="AX19" s="830" t="str">
        <x:f t="shared" si="106"/>
        <x:v>J20</x:v>
      </x:c>
      <x:c r="AY19" s="1039" t="b">
        <x:f t="shared" si="30"/>
        <x:v>0</x:v>
      </x:c>
      <x:c r="AZ19" s="856" t="b">
        <x:f t="shared" si="31"/>
        <x:v>0</x:v>
      </x:c>
      <x:c r="BA19" s="549"/>
      <x:c r="BB19" s="672"/>
      <x:c r="BC19" s="1684"/>
      <x:c r="BD19" s="733"/>
      <x:c r="BE19" s="734"/>
      <x:c r="BF19" s="735"/>
      <x:c r="BG19" s="672"/>
      <x:c r="BH19" s="982"/>
      <x:c r="BI19" s="983"/>
      <x:c r="BJ19" s="1625"/>
      <x:c r="BK19" s="713"/>
      <x:c r="BL19" s="714"/>
      <x:c r="BM19" s="715"/>
      <x:c r="BN19" s="716"/>
      <x:c r="BO19" s="672" t="str">
        <x:f>IF(ISERROR(CU19),"",IF(CU19="","",IF(VLOOKUP(BG19,SectInfo!$B:$N,10,FALSE)="","","X")))</x:f>
        <x:v/>
      </x:c>
      <x:c r="BP19" s="738"/>
      <x:c r="BQ19" s="1551" t="str">
        <x:f t="shared" si="32"/>
        <x:v/>
      </x:c>
      <x:c r="BR19" s="910"/>
      <x:c r="BS19" s="672"/>
      <x:c r="BT19" s="713"/>
      <x:c r="BU19" s="714"/>
      <x:c r="BV19" s="1625"/>
      <x:c r="BW19" s="713"/>
      <x:c r="BX19" s="714"/>
      <x:c r="BY19" s="715"/>
      <x:c r="BZ19" s="716"/>
      <x:c r="CA19" s="680" t="str">
        <x:f>IF(ISERROR(DE19),"",IF(DE19="","",IF(VLOOKUP(BS19,SectInfo!$B:$N,10,FALSE)="","","X")))</x:f>
        <x:v/>
      </x:c>
      <x:c r="CB19" s="738"/>
      <x:c r="CC19" s="1551" t="str">
        <x:f t="shared" si="33"/>
        <x:v/>
      </x:c>
      <x:c r="CD19" s="910"/>
      <x:c r="CE19" s="717"/>
      <x:c r="CF19" s="736"/>
      <x:c r="CG19" s="737"/>
      <x:c r="CH19" s="591" t="str">
        <x:f t="shared" si="34"/>
        <x:v/>
      </x:c>
      <x:c r="CI19" s="592" t="str">
        <x:f t="shared" si="35"/>
        <x:v/>
      </x:c>
      <x:c r="CJ19" s="593" t="str">
        <x:f t="shared" si="36"/>
        <x:v/>
      </x:c>
      <x:c r="CK19" s="594" t="str">
        <x:f t="shared" si="37"/>
        <x:v/>
      </x:c>
      <x:c r="CL19" s="595" t="str">
        <x:f t="shared" si="38"/>
        <x:v/>
      </x:c>
      <x:c r="CM19" s="596" t="str">
        <x:f t="shared" si="39"/>
        <x:v/>
      </x:c>
      <x:c r="CN19" s="597" t="str">
        <x:f t="shared" si="40"/>
        <x:v/>
      </x:c>
      <x:c r="CO19" s="598" t="str">
        <x:f t="shared" si="41"/>
        <x:v/>
      </x:c>
      <x:c r="CP19" s="615" t="str">
        <x:f t="shared" si="42"/>
        <x:v/>
      </x:c>
      <x:c r="CQ19" s="616" t="str">
        <x:f t="shared" si="43"/>
        <x:v/>
      </x:c>
      <x:c r="CR19" s="750">
        <x:f t="shared" si="44"/>
        <x:v>5</x:v>
      </x:c>
      <x:c r="CS19" s="751">
        <x:f t="shared" si="45"/>
        <x:v>5</x:v>
      </x:c>
      <x:c r="CU19" s="817" t="str">
        <x:f>IF(BG19="","",VLOOKUP(BG19,SectInfo!$B:$N,12,FALSE))</x:f>
        <x:v/>
      </x:c>
      <x:c r="CV19" s="815" t="str">
        <x:f>IF(BG19="","",IF(ISBLANK(BP19),VLOOKUP(BG19,SectInfo!$B:$N,13,FALSE),BP19))</x:f>
        <x:v/>
      </x:c>
      <x:c r="CW19" s="815" t="str">
        <x:f>IF(BG19="","",IF(VLOOKUP(BG19,SectInfo!$B:$N,5,FALSE)="","R",UPPER(VLOOKUP(BG19,SectInfo!$B:$N,5,FALSE))))</x:f>
        <x:v/>
      </x:c>
      <x:c r="CX19" s="815" t="str">
        <x:f>IF(BG19="","",IF(ISBLANK(BR19),VLOOKUP(BG19,SectInfo!$B:$N,6,FALSE),BR19))</x:f>
        <x:v/>
      </x:c>
      <x:c r="CY19" s="1286" t="str">
        <x:f>IF(BG19="","",IF(VLOOKUP(BG19,SectInfo!$B:$N,10,FALSE)="","",(IF(BO19="X",VLOOKUP(BG19,SectInfo!$B:$N,10,FALSE),VALUE(BO19))*-1)))</x:f>
        <x:v/>
      </x:c>
      <x:c r="CZ19" s="1122" t="str">
        <x:f>IF(BG19="","",IF(VLOOKUP(BG19,SectInfo!$B:$N,11,FALSE)="","2",(VLOOKUP(BG19,SectInfo!$B:$N,11,FALSE))))</x:f>
        <x:v/>
      </x:c>
      <x:c r="DA19" s="815" t="str">
        <x:f>IF(BG19="","",IF(VLOOKUP(BG19,SectInfo!$B:$N,7,FALSE)="","",(VLOOKUP(BG19,SectInfo!$B:$N,7,FALSE)*-1)))</x:f>
        <x:v/>
      </x:c>
      <x:c r="DB19" s="815" t="str">
        <x:f>IF(BG19="","",IF(VLOOKUP(BG19,SectInfo!$B:$N,8,FALSE)="",VLOOKUP(AU19,$DF$2:$DN$9,6,FALSE),(VLOOKUP(BG19,SectInfo!$B:$N,8,FALSE))))</x:f>
        <x:v/>
      </x:c>
      <x:c r="DC19" s="815" t="str">
        <x:f>IF(BG19="","",VLOOKUP(BG19,SectInfo!$B:$N,9,FALSE))</x:f>
        <x:v/>
      </x:c>
      <x:c r="DD19" s="816">
        <x:f t="shared" si="46"/>
        <x:v>0</x:v>
      </x:c>
      <x:c r="DE19" s="817" t="str">
        <x:f>IF(BS19="","",VLOOKUP(BS19,SectInfo!$B:$N,12,FALSE))</x:f>
        <x:v/>
      </x:c>
      <x:c r="DF19" s="815" t="str">
        <x:f>IF(BS19="","",IF(ISBLANK(CB19),VLOOKUP(BS19,SectInfo!$B:$N,13,FALSE),CB19))</x:f>
        <x:v/>
      </x:c>
      <x:c r="DG19" s="815" t="str">
        <x:f>IF(BS19="","",IF(VLOOKUP(BS19,SectInfo!$B:$N,5,FALSE)="","R",UPPER(VLOOKUP(BS19,SectInfo!$B:$N,5,FALSE))))</x:f>
        <x:v/>
      </x:c>
      <x:c r="DH19" s="815" t="str">
        <x:f>IF(BS19="","",IF(ISBLANK(CD19),VLOOKUP(BS19,SectInfo!$B:$N,6,FALSE),CD19))</x:f>
        <x:v/>
      </x:c>
      <x:c r="DI19" s="1286" t="str">
        <x:f>IF(BS19="","",IF(VLOOKUP(BS19,SectInfo!$B:$N,10,FALSE)="","",(IF(CA19="X",VLOOKUP(BS19,SectInfo!$B:$N,10,FALSE),VALUE(CA19))*-1)))</x:f>
        <x:v/>
      </x:c>
      <x:c r="DJ19" s="1122" t="str">
        <x:f>IF(BS19="","",IF(VLOOKUP(BS19,SectInfo!$B:$N,11,FALSE)="","2",(VLOOKUP(BS19,SectInfo!$B:$N,11,FALSE))))</x:f>
        <x:v/>
      </x:c>
      <x:c r="DK19" s="815" t="str">
        <x:f>IF(BS19="","",IF(VLOOKUP(BS19,SectInfo!$B:$N,7,FALSE)="","",(VLOOKUP(BS19,SectInfo!$B:$N,7,FALSE)*-1)))</x:f>
        <x:v/>
      </x:c>
      <x:c r="DL19" s="815" t="str">
        <x:f>IF(BS19="","",IF(VLOOKUP(BS19,SectInfo!$B:$N,8,FALSE)="",VLOOKUP(AU19,$DF$2:$DN$9,6,FALSE),(VLOOKUP(BS19,SectInfo!$B:$N,8,FALSE))))</x:f>
        <x:v/>
      </x:c>
      <x:c r="DM19" s="815" t="str">
        <x:f>IF(BS19="","",VLOOKUP(BS19,SectInfo!$B:$N,9,FALSE))</x:f>
        <x:v/>
      </x:c>
      <x:c r="DN19" s="816">
        <x:f t="shared" si="47"/>
        <x:v>0</x:v>
      </x:c>
      <x:c r="DO19" s="818">
        <x:f t="shared" si="48"/>
        <x:v>0</x:v>
      </x:c>
      <x:c r="DP19" s="822" t="str">
        <x:f t="shared" si="49"/>
        <x:v/>
      </x:c>
      <x:c r="DQ19" s="822" t="str">
        <x:f t="shared" si="50"/>
        <x:v/>
      </x:c>
      <x:c r="DR19" s="822" t="str">
        <x:f t="shared" si="51"/>
        <x:v/>
      </x:c>
      <x:c r="DS19" s="821">
        <x:f t="shared" si="52"/>
        <x:v>0</x:v>
      </x:c>
      <x:c r="DT19" s="821">
        <x:f t="shared" si="53"/>
        <x:v>0</x:v>
      </x:c>
      <x:c r="DU19" s="821" t="str">
        <x:f t="shared" si="54"/>
        <x:v/>
      </x:c>
      <x:c r="DV19" s="822" t="str">
        <x:f t="shared" si="55"/>
        <x:v/>
      </x:c>
      <x:c r="DW19" s="856" t="str">
        <x:f t="shared" si="56"/>
        <x:v/>
      </x:c>
      <x:c r="DX19" s="1006">
        <x:f t="shared" si="57"/>
        <x:v>0</x:v>
      </x:c>
      <x:c r="DY19" s="822">
        <x:f t="shared" si="58"/>
        <x:v>0</x:v>
      </x:c>
      <x:c r="DZ19" s="821">
        <x:f t="shared" si="59"/>
        <x:v>0</x:v>
      </x:c>
      <x:c r="EA19" s="821" t="str">
        <x:f t="shared" si="60"/>
        <x:v/>
      </x:c>
      <x:c r="EB19" s="822" t="str">
        <x:f t="shared" si="61"/>
        <x:v/>
      </x:c>
      <x:c r="EC19" s="856" t="str">
        <x:f t="shared" si="62"/>
        <x:v/>
      </x:c>
      <x:c r="ED19" s="1006">
        <x:f t="shared" si="63"/>
        <x:v>0</x:v>
      </x:c>
      <x:c r="EE19" s="1293" t="str">
        <x:f t="shared" si="64"/>
        <x:v/>
      </x:c>
      <x:c r="EF19" s="1293" t="str">
        <x:f t="shared" si="65"/>
        <x:v/>
      </x:c>
      <x:c r="EG19" s="1293" t="str">
        <x:f t="shared" si="66"/>
        <x:v/>
      </x:c>
      <x:c r="EH19" s="856" t="str">
        <x:f t="shared" si="67"/>
        <x:v>ERR</x:v>
      </x:c>
      <x:c r="EI19" s="856" t="str">
        <x:f t="shared" si="68"/>
        <x:v>ERR</x:v>
      </x:c>
      <x:c r="EJ19" s="822" t="str">
        <x:f t="shared" si="69"/>
        <x:v/>
      </x:c>
      <x:c r="EK19" s="822" t="str">
        <x:f t="shared" si="69"/>
        <x:v/>
      </x:c>
      <x:c r="EL19" s="1293" t="str">
        <x:f t="shared" si="70"/>
        <x:v/>
      </x:c>
      <x:c r="EM19" s="822" t="str">
        <x:f t="shared" si="71"/>
        <x:v/>
      </x:c>
      <x:c r="EN19" s="822" t="str">
        <x:f t="shared" si="72"/>
        <x:v/>
      </x:c>
      <x:c r="EO19" s="856" t="str">
        <x:f t="shared" si="73"/>
        <x:v>ERR</x:v>
      </x:c>
      <x:c r="EP19" s="856" t="str">
        <x:f t="shared" si="74"/>
        <x:v>ERR</x:v>
      </x:c>
      <x:c r="EQ19" s="1293" t="str">
        <x:f t="shared" si="75"/>
        <x:v/>
      </x:c>
      <x:c r="ER19" s="822" t="str">
        <x:f t="shared" si="75"/>
        <x:v/>
      </x:c>
      <x:c r="ES19" s="822" t="str">
        <x:f t="shared" si="76"/>
        <x:v/>
      </x:c>
      <x:c r="ET19" s="822" t="str">
        <x:f t="shared" si="77"/>
        <x:v/>
      </x:c>
      <x:c r="EU19" s="829">
        <x:f t="shared" si="78"/>
        <x:v>4</x:v>
      </x:c>
      <x:c r="EV19" s="824" t="str">
        <x:f t="shared" si="79"/>
        <x:v/>
      </x:c>
      <x:c r="EW19" s="829"/>
      <x:c r="EX19" s="829" t="str">
        <x:f>IF(AND(CU19="G", ISBLANK(BK19), ISBLANK(BL19)),VLOOKUP(MIN(BH19:BI19),TblJoistSize!$M$3:$N$10,2),IF(OR(CU19="B",CU19="G"),MIN(BK19:BL19),""))</x:f>
        <x:v/>
      </x:c>
      <x:c r="EY19" s="829" t="str">
        <x:f>IF(AND(CU19="G", ISBLANK(BK19), ISBLANK(BL19)),VLOOKUP(MAX(BH19:BI19),TblJoistSize!$M$3:$N$10,2),IF(OR(CU19="B",CU19="G"),MAX(BK19:BL19),""))</x:f>
        <x:v/>
      </x:c>
      <x:c r="EZ19" s="829" t="str">
        <x:f t="shared" si="80"/>
        <x:v/>
      </x:c>
      <x:c r="FA19" s="829" t="str">
        <x:f>IF(AND(DE19="G", ISBLANK(BW19), ISBLANK(BX19)),VLOOKUP(MIN(BT19:BU19),TblJoistSize!$M$3:$N$10,2),IF(OR(DE19="B", DE19="G"),MIN(BW19:BX19),""))</x:f>
        <x:v/>
      </x:c>
      <x:c r="FB19" s="829" t="str">
        <x:f>IF(AND(DE19="G", ISBLANK(BW19), ISBLANK(BX19)),VLOOKUP(MAX(BT19:BU19),TblJoistSize!$M$3:$N$10,2),IF(OR(DE19="B", DE19="G"),MAX(BW19:BX19),""))</x:f>
        <x:v/>
      </x:c>
      <x:c r="FC19" s="829" t="str">
        <x:f t="shared" si="81"/>
        <x:v/>
      </x:c>
      <x:c r="FD19" s="821">
        <x:f t="shared" si="107"/>
        <x:v>0</x:v>
      </x:c>
      <x:c r="FE19" s="821">
        <x:f t="shared" si="82"/>
        <x:v>0</x:v>
      </x:c>
      <x:c r="FF19" s="821">
        <x:f t="shared" si="83"/>
        <x:v>0</x:v>
      </x:c>
      <x:c r="FG19" s="821" t="str">
        <x:f t="shared" si="84"/>
        <x:v/>
      </x:c>
      <x:c r="FH19" s="822" t="str">
        <x:f t="shared" si="85"/>
        <x:v/>
      </x:c>
      <x:c r="FI19" s="821">
        <x:f t="shared" si="108"/>
        <x:v>0</x:v>
      </x:c>
      <x:c r="FJ19" s="821">
        <x:f t="shared" si="86"/>
        <x:v>0</x:v>
      </x:c>
      <x:c r="FK19" s="821">
        <x:f t="shared" si="87"/>
        <x:v>0</x:v>
      </x:c>
      <x:c r="FL19" s="821" t="str">
        <x:f t="shared" si="88"/>
        <x:v/>
      </x:c>
      <x:c r="FM19" s="822" t="str">
        <x:f t="shared" si="89"/>
        <x:v/>
      </x:c>
      <x:c r="FN19" s="822" t="e">
        <x:f t="shared" si="90"/>
        <x:v>#VALUE!</x:v>
      </x:c>
      <x:c r="FO19" s="940" t="e">
        <x:f t="shared" si="91"/>
        <x:v>#VALUE!</x:v>
      </x:c>
      <x:c r="FP19" s="940" t="e">
        <x:f t="shared" si="92"/>
        <x:v>#VALUE!</x:v>
      </x:c>
      <x:c r="FQ19" s="830" t="e">
        <x:f t="shared" si="93"/>
        <x:v>#VALUE!</x:v>
      </x:c>
      <x:c r="FR19" s="831" t="e">
        <x:f t="shared" si="94"/>
        <x:v>#VALUE!</x:v>
      </x:c>
      <x:c r="FS19" s="832" t="str">
        <x:f t="shared" si="95"/>
        <x:v/>
      </x:c>
      <x:c r="FT19" s="833" t="str">
        <x:f t="shared" si="96"/>
        <x:v/>
      </x:c>
      <x:c r="FU19" s="870">
        <x:f t="shared" si="97"/>
        <x:v>0</x:v>
      </x:c>
      <x:c r="FV19" s="871">
        <x:f t="shared" si="98"/>
        <x:v>0</x:v>
      </x:c>
      <x:c r="GA19" s="1791">
        <x:v>50</x:v>
      </x:c>
      <x:c r="GB19" s="1792">
        <x:v>0</x:v>
      </x:c>
      <x:c r="GC19" s="1793">
        <x:v>-0.25</x:v>
      </x:c>
      <x:c r="GD19" s="1794">
        <x:v>-0.25</x:v>
      </x:c>
      <x:c r="GE19" s="1795">
        <x:f t="shared" si="99"/>
        <x:v>0</x:v>
      </x:c>
      <x:c r="GF19" s="600" t="str">
        <x:f t="shared" si="100"/>
        <x:v>J20</x:v>
      </x:c>
      <x:c r="GG19" s="1130">
        <x:v>0</x:v>
      </x:c>
      <x:c r="GH19" s="1131">
        <x:v>0</x:v>
      </x:c>
      <x:c r="GI19" s="1130"/>
      <x:c r="GJ19" s="1131"/>
      <x:c r="GK19" s="1638">
        <x:f t="shared" si="101"/>
        <x:v>599.5</x:v>
      </x:c>
      <x:c r="GL19" s="1636">
        <x:f t="shared" si="102"/>
        <x:v>599.5</x:v>
      </x:c>
      <x:c r="GM19" s="1637">
        <x:f>IF(ABS(GK19-GL19)&gt;='Job Info.'!$L$22,ABS(GK19-GL19),0)</x:f>
        <x:v>0</x:v>
      </x:c>
      <x:c r="HA19" s="1269" t="s">
        <x:v>1450</x:v>
      </x:c>
      <x:c r="HB19" s="1270">
        <x:v>2</x:v>
      </x:c>
      <x:c r="HC19" s="1270" t="s">
        <x:v>1592</x:v>
      </x:c>
      <x:c r="HD19" s="1271">
        <x:v>49</x:v>
      </x:c>
      <x:c r="HE19" s="1272">
        <x:v>11.5</x:v>
      </x:c>
      <x:c r="HF19" s="1270" t="s">
        <x:v>116</x:v>
      </x:c>
      <x:c r="HG19" s="1270" t="s">
        <x:v>116</x:v>
      </x:c>
      <x:c r="HH19" s="1270" t="s">
        <x:v>116</x:v>
      </x:c>
      <x:c r="HI19" s="1273" t="s">
        <x:v>116</x:v>
      </x:c>
      <x:c r="HJ19" s="1270" t="s">
        <x:v>116</x:v>
      </x:c>
      <x:c r="HK19" s="1270" t="s">
        <x:v>116</x:v>
      </x:c>
      <x:c r="HL19" s="1270">
        <x:v>5</x:v>
      </x:c>
      <x:c r="HM19" s="1270">
        <x:v>5</x:v>
      </x:c>
      <x:c r="HN19" s="1270" t="s">
        <x:v>116</x:v>
      </x:c>
      <x:c r="HO19" s="1270" t="s">
        <x:v>116</x:v>
      </x:c>
      <x:c r="HP19" s="1270" t="s">
        <x:v>116</x:v>
      </x:c>
      <x:c r="HQ19" s="1273" t="s">
        <x:v>116</x:v>
      </x:c>
      <x:c r="HR19" s="1270" t="s">
        <x:v>116</x:v>
      </x:c>
      <x:c r="HS19" s="1270" t="s">
        <x:v>116</x:v>
      </x:c>
      <x:c r="HT19" s="1270">
        <x:v>0</x:v>
      </x:c>
      <x:c r="HU19" s="1270">
        <x:v>2.25</x:v>
      </x:c>
      <x:c r="HV19" s="1270">
        <x:v>0</x:v>
      </x:c>
      <x:c r="HW19" s="1272">
        <x:v>2.25</x:v>
      </x:c>
      <x:c r="HX19" s="1272">
        <x:v>4</x:v>
      </x:c>
      <x:c r="HY19" s="1272" t="s">
        <x:v>116</x:v>
      </x:c>
      <x:c r="HZ19" s="1272" t="s">
        <x:v>116</x:v>
      </x:c>
      <x:c r="IA19" s="1272" t="s">
        <x:v>1662</x:v>
      </x:c>
      <x:c r="IB19" s="1272"/>
      <x:c r="IC19" s="1272"/>
      <x:c r="ID19" s="1272"/>
      <x:c r="IE19" s="1272"/>
      <x:c r="IF19" s="1274"/>
    </x:row>
    <x:row r="20" spans="1:240" ht="12.6" customHeight="1" x14ac:dyDescent="0.25">
      <x:c r="A20" s="2764" t="s">
        <x:v>1451</x:v>
      </x:c>
      <x:c r="B20" s="2765">
        <x:v>2</x:v>
      </x:c>
      <x:c r="C20" s="2766" t="s">
        <x:v>1592</x:v>
      </x:c>
      <x:c r="D20" s="2767">
        <x:v>49</x:v>
      </x:c>
      <x:c r="E20" s="2768">
        <x:v>11.5</x:v>
      </x:c>
      <x:c r="F20" s="2776" t="str">
        <x:f t="shared" si="1"/>
        <x:v/>
      </x:c>
      <x:c r="G20" s="2771" t="str">
        <x:f t="shared" si="2"/>
        <x:v/>
      </x:c>
      <x:c r="H20" s="2842" t="str">
        <x:f t="shared" si="3"/>
        <x:v/>
      </x:c>
      <x:c r="I20" s="2767" t="str">
        <x:f t="shared" si="4"/>
        <x:v/>
      </x:c>
      <x:c r="J20" s="2771" t="str">
        <x:f t="shared" si="5"/>
        <x:v/>
      </x:c>
      <x:c r="K20" s="2855" t="str">
        <x:f t="shared" si="6"/>
        <x:v/>
      </x:c>
      <x:c r="L20" s="2774">
        <x:v>5</x:v>
      </x:c>
      <x:c r="M20" s="2775">
        <x:v>5</x:v>
      </x:c>
      <x:c r="N20" s="2770" t="str">
        <x:f t="shared" si="103"/>
        <x:v/>
      </x:c>
      <x:c r="O20" s="2771" t="str">
        <x:f t="shared" si="104"/>
        <x:v/>
      </x:c>
      <x:c r="P20" s="2772" t="str">
        <x:f t="shared" si="105"/>
        <x:v/>
      </x:c>
      <x:c r="Q20" s="2767" t="str">
        <x:f t="shared" si="7"/>
        <x:v/>
      </x:c>
      <x:c r="R20" s="2771" t="str">
        <x:f t="shared" si="8"/>
        <x:v/>
      </x:c>
      <x:c r="S20" s="2773" t="str">
        <x:f t="shared" si="9"/>
        <x:v/>
      </x:c>
      <x:c r="T20" s="2776">
        <x:v>0</x:v>
      </x:c>
      <x:c r="U20" s="2771">
        <x:v>2.25</x:v>
      </x:c>
      <x:c r="V20" s="2767">
        <x:v>0</x:v>
      </x:c>
      <x:c r="W20" s="2771">
        <x:v>2.25</x:v>
      </x:c>
      <x:c r="X20" s="2775">
        <x:v>4</x:v>
      </x:c>
      <x:c r="Y20" s="2844" t="str">
        <x:f t="shared" si="10"/>
        <x:v/>
      </x:c>
      <x:c r="Z20" s="2845" t="str">
        <x:f t="shared" si="11"/>
        <x:v/>
      </x:c>
      <x:c r="AA20" s="2846" t="s">
        <x:v>1663</x:v>
      </x:c>
      <x:c r="AB20" s="1413"/>
      <x:c r="AC20" s="964" t="b">
        <x:v>0</x:v>
      </x:c>
      <x:c r="AD20" s="441">
        <x:f t="shared" si="12"/>
        <x:v>0</x:v>
      </x:c>
      <x:c r="AE20" s="442">
        <x:f t="shared" si="13"/>
        <x:v>2</x:v>
      </x:c>
      <x:c r="AF20" s="442">
        <x:f t="shared" si="14"/>
        <x:v>0</x:v>
      </x:c>
      <x:c r="AG20" s="442">
        <x:f t="shared" si="15"/>
        <x:v>0</x:v>
      </x:c>
      <x:c r="AH20" s="443">
        <x:f t="shared" si="16"/>
        <x:v>0</x:v>
      </x:c>
      <x:c r="AI20" s="444" t="b">
        <x:v>0</x:v>
      </x:c>
      <x:c r="AJ20" s="238">
        <x:f t="shared" si="17"/>
        <x:v>32</x:v>
      </x:c>
      <x:c r="AK20" s="830" t="str">
        <x:f t="shared" si="18"/>
        <x:v>LH</x:v>
      </x:c>
      <x:c r="AL20" s="945" t="str">
        <x:f t="shared" si="19"/>
        <x:v/>
      </x:c>
      <x:c r="AM20" s="830">
        <x:f t="shared" si="20"/>
        <x:v>305</x:v>
      </x:c>
      <x:c r="AN20" s="830">
        <x:f t="shared" si="21"/>
        <x:v>180</x:v>
      </x:c>
      <x:c r="AO20" s="830" t="str">
        <x:f t="shared" si="22"/>
        <x:v/>
      </x:c>
      <x:c r="AP20" s="830" t="b">
        <x:f>IF(ISERROR(AJ20),FALSE,IF(OR(AJ20=0,ISERROR(AL20),ISERROR(AM20),ISERROR(AN20),ISERROR(AO20)),FALSE,IF(AL20&lt;&gt;"",IF(ISERROR(VLOOKUP(SUBSTITUTE(SUBSTITUTE(C20,"R",""),"A",""),TblJoistSize!$A:$A,1,FALSE)),FALSE,TRUE),TRUE)))</x:f>
        <x:v>1</x:v>
      </x:c>
      <x:c r="AQ20" s="1038">
        <x:f t="shared" si="23"/>
        <x:v>6</x:v>
      </x:c>
      <x:c r="AR20" s="945" t="b">
        <x:f t="shared" si="24"/>
        <x:v>1</x:v>
      </x:c>
      <x:c r="AS20" s="1038">
        <x:f t="shared" si="25"/>
        <x:v>6</x:v>
      </x:c>
      <x:c r="AT20" s="945" t="b">
        <x:f t="shared" si="26"/>
        <x:v>1</x:v>
      </x:c>
      <x:c r="AU20" s="946" t="str">
        <x:f t="shared" si="27"/>
        <x:v>LH</x:v>
      </x:c>
      <x:c r="AV20" s="830" t="str">
        <x:f t="shared" si="28"/>
        <x:v/>
      </x:c>
      <x:c r="AW20" s="830" t="str">
        <x:f t="shared" si="29"/>
        <x:v>LH</x:v>
      </x:c>
      <x:c r="AX20" s="830" t="str">
        <x:f t="shared" si="106"/>
        <x:v>J21</x:v>
      </x:c>
      <x:c r="AY20" s="1039" t="b">
        <x:f t="shared" si="30"/>
        <x:v>0</x:v>
      </x:c>
      <x:c r="AZ20" s="856" t="b">
        <x:f t="shared" si="31"/>
        <x:v>0</x:v>
      </x:c>
      <x:c r="BA20" s="549"/>
      <x:c r="BB20" s="672"/>
      <x:c r="BC20" s="1684"/>
      <x:c r="BD20" s="733"/>
      <x:c r="BE20" s="734"/>
      <x:c r="BF20" s="735"/>
      <x:c r="BG20" s="672"/>
      <x:c r="BH20" s="982"/>
      <x:c r="BI20" s="983"/>
      <x:c r="BJ20" s="1625"/>
      <x:c r="BK20" s="713"/>
      <x:c r="BL20" s="714"/>
      <x:c r="BM20" s="715"/>
      <x:c r="BN20" s="716"/>
      <x:c r="BO20" s="672" t="str">
        <x:f>IF(ISERROR(CU20),"",IF(CU20="","",IF(VLOOKUP(BG20,SectInfo!$B:$N,10,FALSE)="","","X")))</x:f>
        <x:v/>
      </x:c>
      <x:c r="BP20" s="738"/>
      <x:c r="BQ20" s="1551" t="str">
        <x:f t="shared" si="32"/>
        <x:v/>
      </x:c>
      <x:c r="BR20" s="910"/>
      <x:c r="BS20" s="672"/>
      <x:c r="BT20" s="713"/>
      <x:c r="BU20" s="714"/>
      <x:c r="BV20" s="1625"/>
      <x:c r="BW20" s="713"/>
      <x:c r="BX20" s="714"/>
      <x:c r="BY20" s="715"/>
      <x:c r="BZ20" s="716"/>
      <x:c r="CA20" s="680" t="str">
        <x:f>IF(ISERROR(DE20),"",IF(DE20="","",IF(VLOOKUP(BS20,SectInfo!$B:$N,10,FALSE)="","","X")))</x:f>
        <x:v/>
      </x:c>
      <x:c r="CB20" s="738"/>
      <x:c r="CC20" s="1551" t="str">
        <x:f t="shared" si="33"/>
        <x:v/>
      </x:c>
      <x:c r="CD20" s="910"/>
      <x:c r="CE20" s="717"/>
      <x:c r="CF20" s="736"/>
      <x:c r="CG20" s="737"/>
      <x:c r="CH20" s="591" t="str">
        <x:f t="shared" si="34"/>
        <x:v/>
      </x:c>
      <x:c r="CI20" s="592" t="str">
        <x:f t="shared" si="35"/>
        <x:v/>
      </x:c>
      <x:c r="CJ20" s="593" t="str">
        <x:f t="shared" si="36"/>
        <x:v/>
      </x:c>
      <x:c r="CK20" s="594" t="str">
        <x:f t="shared" si="37"/>
        <x:v/>
      </x:c>
      <x:c r="CL20" s="595" t="str">
        <x:f t="shared" si="38"/>
        <x:v/>
      </x:c>
      <x:c r="CM20" s="596" t="str">
        <x:f t="shared" si="39"/>
        <x:v/>
      </x:c>
      <x:c r="CN20" s="597" t="str">
        <x:f t="shared" si="40"/>
        <x:v/>
      </x:c>
      <x:c r="CO20" s="598" t="str">
        <x:f t="shared" si="41"/>
        <x:v/>
      </x:c>
      <x:c r="CP20" s="615" t="str">
        <x:f t="shared" si="42"/>
        <x:v/>
      </x:c>
      <x:c r="CQ20" s="616" t="str">
        <x:f t="shared" si="43"/>
        <x:v/>
      </x:c>
      <x:c r="CR20" s="750">
        <x:f t="shared" si="44"/>
        <x:v>5</x:v>
      </x:c>
      <x:c r="CS20" s="751">
        <x:f t="shared" si="45"/>
        <x:v>5</x:v>
      </x:c>
      <x:c r="CU20" s="817" t="str">
        <x:f>IF(BG20="","",VLOOKUP(BG20,SectInfo!$B:$N,12,FALSE))</x:f>
        <x:v/>
      </x:c>
      <x:c r="CV20" s="815" t="str">
        <x:f>IF(BG20="","",IF(ISBLANK(BP20),VLOOKUP(BG20,SectInfo!$B:$N,13,FALSE),BP20))</x:f>
        <x:v/>
      </x:c>
      <x:c r="CW20" s="815" t="str">
        <x:f>IF(BG20="","",IF(VLOOKUP(BG20,SectInfo!$B:$N,5,FALSE)="","R",UPPER(VLOOKUP(BG20,SectInfo!$B:$N,5,FALSE))))</x:f>
        <x:v/>
      </x:c>
      <x:c r="CX20" s="815" t="str">
        <x:f>IF(BG20="","",IF(ISBLANK(BR20),VLOOKUP(BG20,SectInfo!$B:$N,6,FALSE),BR20))</x:f>
        <x:v/>
      </x:c>
      <x:c r="CY20" s="1286" t="str">
        <x:f>IF(BG20="","",IF(VLOOKUP(BG20,SectInfo!$B:$N,10,FALSE)="","",(IF(BO20="X",VLOOKUP(BG20,SectInfo!$B:$N,10,FALSE),VALUE(BO20))*-1)))</x:f>
        <x:v/>
      </x:c>
      <x:c r="CZ20" s="1122" t="str">
        <x:f>IF(BG20="","",IF(VLOOKUP(BG20,SectInfo!$B:$N,11,FALSE)="","2",(VLOOKUP(BG20,SectInfo!$B:$N,11,FALSE))))</x:f>
        <x:v/>
      </x:c>
      <x:c r="DA20" s="815" t="str">
        <x:f>IF(BG20="","",IF(VLOOKUP(BG20,SectInfo!$B:$N,7,FALSE)="","",(VLOOKUP(BG20,SectInfo!$B:$N,7,FALSE)*-1)))</x:f>
        <x:v/>
      </x:c>
      <x:c r="DB20" s="815" t="str">
        <x:f>IF(BG20="","",IF(VLOOKUP(BG20,SectInfo!$B:$N,8,FALSE)="",VLOOKUP(AU20,$DF$2:$DN$9,6,FALSE),(VLOOKUP(BG20,SectInfo!$B:$N,8,FALSE))))</x:f>
        <x:v/>
      </x:c>
      <x:c r="DC20" s="815" t="str">
        <x:f>IF(BG20="","",VLOOKUP(BG20,SectInfo!$B:$N,9,FALSE))</x:f>
        <x:v/>
      </x:c>
      <x:c r="DD20" s="816">
        <x:f t="shared" si="46"/>
        <x:v>0</x:v>
      </x:c>
      <x:c r="DE20" s="817" t="str">
        <x:f>IF(BS20="","",VLOOKUP(BS20,SectInfo!$B:$N,12,FALSE))</x:f>
        <x:v/>
      </x:c>
      <x:c r="DF20" s="815" t="str">
        <x:f>IF(BS20="","",IF(ISBLANK(CB20),VLOOKUP(BS20,SectInfo!$B:$N,13,FALSE),CB20))</x:f>
        <x:v/>
      </x:c>
      <x:c r="DG20" s="815" t="str">
        <x:f>IF(BS20="","",IF(VLOOKUP(BS20,SectInfo!$B:$N,5,FALSE)="","R",UPPER(VLOOKUP(BS20,SectInfo!$B:$N,5,FALSE))))</x:f>
        <x:v/>
      </x:c>
      <x:c r="DH20" s="815" t="str">
        <x:f>IF(BS20="","",IF(ISBLANK(CD20),VLOOKUP(BS20,SectInfo!$B:$N,6,FALSE),CD20))</x:f>
        <x:v/>
      </x:c>
      <x:c r="DI20" s="1286" t="str">
        <x:f>IF(BS20="","",IF(VLOOKUP(BS20,SectInfo!$B:$N,10,FALSE)="","",(IF(CA20="X",VLOOKUP(BS20,SectInfo!$B:$N,10,FALSE),VALUE(CA20))*-1)))</x:f>
        <x:v/>
      </x:c>
      <x:c r="DJ20" s="1122" t="str">
        <x:f>IF(BS20="","",IF(VLOOKUP(BS20,SectInfo!$B:$N,11,FALSE)="","2",(VLOOKUP(BS20,SectInfo!$B:$N,11,FALSE))))</x:f>
        <x:v/>
      </x:c>
      <x:c r="DK20" s="815" t="str">
        <x:f>IF(BS20="","",IF(VLOOKUP(BS20,SectInfo!$B:$N,7,FALSE)="","",(VLOOKUP(BS20,SectInfo!$B:$N,7,FALSE)*-1)))</x:f>
        <x:v/>
      </x:c>
      <x:c r="DL20" s="815" t="str">
        <x:f>IF(BS20="","",IF(VLOOKUP(BS20,SectInfo!$B:$N,8,FALSE)="",VLOOKUP(AU20,$DF$2:$DN$9,6,FALSE),(VLOOKUP(BS20,SectInfo!$B:$N,8,FALSE))))</x:f>
        <x:v/>
      </x:c>
      <x:c r="DM20" s="815" t="str">
        <x:f>IF(BS20="","",VLOOKUP(BS20,SectInfo!$B:$N,9,FALSE))</x:f>
        <x:v/>
      </x:c>
      <x:c r="DN20" s="816">
        <x:f t="shared" si="47"/>
        <x:v>0</x:v>
      </x:c>
      <x:c r="DO20" s="818">
        <x:f t="shared" si="48"/>
        <x:v>0</x:v>
      </x:c>
      <x:c r="DP20" s="822" t="str">
        <x:f t="shared" si="49"/>
        <x:v/>
      </x:c>
      <x:c r="DQ20" s="822" t="str">
        <x:f t="shared" si="50"/>
        <x:v/>
      </x:c>
      <x:c r="DR20" s="822" t="str">
        <x:f t="shared" si="51"/>
        <x:v/>
      </x:c>
      <x:c r="DS20" s="821">
        <x:f t="shared" si="52"/>
        <x:v>0</x:v>
      </x:c>
      <x:c r="DT20" s="821">
        <x:f t="shared" si="53"/>
        <x:v>0</x:v>
      </x:c>
      <x:c r="DU20" s="821" t="str">
        <x:f t="shared" si="54"/>
        <x:v/>
      </x:c>
      <x:c r="DV20" s="822" t="str">
        <x:f t="shared" si="55"/>
        <x:v/>
      </x:c>
      <x:c r="DW20" s="856" t="str">
        <x:f t="shared" si="56"/>
        <x:v/>
      </x:c>
      <x:c r="DX20" s="1006">
        <x:f t="shared" si="57"/>
        <x:v>0</x:v>
      </x:c>
      <x:c r="DY20" s="822">
        <x:f t="shared" si="58"/>
        <x:v>0</x:v>
      </x:c>
      <x:c r="DZ20" s="821">
        <x:f t="shared" si="59"/>
        <x:v>0</x:v>
      </x:c>
      <x:c r="EA20" s="821" t="str">
        <x:f t="shared" si="60"/>
        <x:v/>
      </x:c>
      <x:c r="EB20" s="822" t="str">
        <x:f t="shared" si="61"/>
        <x:v/>
      </x:c>
      <x:c r="EC20" s="856" t="str">
        <x:f t="shared" si="62"/>
        <x:v/>
      </x:c>
      <x:c r="ED20" s="1006">
        <x:f t="shared" si="63"/>
        <x:v>0</x:v>
      </x:c>
      <x:c r="EE20" s="1293" t="str">
        <x:f t="shared" si="64"/>
        <x:v/>
      </x:c>
      <x:c r="EF20" s="1293" t="str">
        <x:f t="shared" si="65"/>
        <x:v/>
      </x:c>
      <x:c r="EG20" s="1293" t="str">
        <x:f t="shared" si="66"/>
        <x:v/>
      </x:c>
      <x:c r="EH20" s="856" t="str">
        <x:f t="shared" si="67"/>
        <x:v>ERR</x:v>
      </x:c>
      <x:c r="EI20" s="856" t="str">
        <x:f t="shared" si="68"/>
        <x:v>ERR</x:v>
      </x:c>
      <x:c r="EJ20" s="822" t="str">
        <x:f t="shared" si="69"/>
        <x:v/>
      </x:c>
      <x:c r="EK20" s="822" t="str">
        <x:f t="shared" si="69"/>
        <x:v/>
      </x:c>
      <x:c r="EL20" s="1293" t="str">
        <x:f t="shared" si="70"/>
        <x:v/>
      </x:c>
      <x:c r="EM20" s="822" t="str">
        <x:f t="shared" si="71"/>
        <x:v/>
      </x:c>
      <x:c r="EN20" s="822" t="str">
        <x:f t="shared" si="72"/>
        <x:v/>
      </x:c>
      <x:c r="EO20" s="856" t="str">
        <x:f t="shared" si="73"/>
        <x:v>ERR</x:v>
      </x:c>
      <x:c r="EP20" s="856" t="str">
        <x:f t="shared" si="74"/>
        <x:v>ERR</x:v>
      </x:c>
      <x:c r="EQ20" s="1293" t="str">
        <x:f t="shared" si="75"/>
        <x:v/>
      </x:c>
      <x:c r="ER20" s="822" t="str">
        <x:f t="shared" si="75"/>
        <x:v/>
      </x:c>
      <x:c r="ES20" s="822" t="str">
        <x:f t="shared" si="76"/>
        <x:v/>
      </x:c>
      <x:c r="ET20" s="822" t="str">
        <x:f t="shared" si="77"/>
        <x:v/>
      </x:c>
      <x:c r="EU20" s="829">
        <x:f t="shared" si="78"/>
        <x:v>4</x:v>
      </x:c>
      <x:c r="EV20" s="824" t="str">
        <x:f t="shared" si="79"/>
        <x:v/>
      </x:c>
      <x:c r="EW20" s="829"/>
      <x:c r="EX20" s="829" t="str">
        <x:f>IF(AND(CU20="G", ISBLANK(BK20), ISBLANK(BL20)),VLOOKUP(MIN(BH20:BI20),TblJoistSize!$M$3:$N$10,2),IF(OR(CU20="B",CU20="G"),MIN(BK20:BL20),""))</x:f>
        <x:v/>
      </x:c>
      <x:c r="EY20" s="829" t="str">
        <x:f>IF(AND(CU20="G", ISBLANK(BK20), ISBLANK(BL20)),VLOOKUP(MAX(BH20:BI20),TblJoistSize!$M$3:$N$10,2),IF(OR(CU20="B",CU20="G"),MAX(BK20:BL20),""))</x:f>
        <x:v/>
      </x:c>
      <x:c r="EZ20" s="829" t="str">
        <x:f t="shared" si="80"/>
        <x:v/>
      </x:c>
      <x:c r="FA20" s="829" t="str">
        <x:f>IF(AND(DE20="G", ISBLANK(BW20), ISBLANK(BX20)),VLOOKUP(MIN(BT20:BU20),TblJoistSize!$M$3:$N$10,2),IF(OR(DE20="B", DE20="G"),MIN(BW20:BX20),""))</x:f>
        <x:v/>
      </x:c>
      <x:c r="FB20" s="829" t="str">
        <x:f>IF(AND(DE20="G", ISBLANK(BW20), ISBLANK(BX20)),VLOOKUP(MAX(BT20:BU20),TblJoistSize!$M$3:$N$10,2),IF(OR(DE20="B", DE20="G"),MAX(BW20:BX20),""))</x:f>
        <x:v/>
      </x:c>
      <x:c r="FC20" s="829" t="str">
        <x:f t="shared" si="81"/>
        <x:v/>
      </x:c>
      <x:c r="FD20" s="821">
        <x:f t="shared" si="107"/>
        <x:v>0</x:v>
      </x:c>
      <x:c r="FE20" s="821">
        <x:f t="shared" si="82"/>
        <x:v>0</x:v>
      </x:c>
      <x:c r="FF20" s="821">
        <x:f t="shared" si="83"/>
        <x:v>0</x:v>
      </x:c>
      <x:c r="FG20" s="821" t="str">
        <x:f t="shared" si="84"/>
        <x:v/>
      </x:c>
      <x:c r="FH20" s="822" t="str">
        <x:f t="shared" si="85"/>
        <x:v/>
      </x:c>
      <x:c r="FI20" s="821">
        <x:f t="shared" si="108"/>
        <x:v>0</x:v>
      </x:c>
      <x:c r="FJ20" s="821">
        <x:f t="shared" si="86"/>
        <x:v>0</x:v>
      </x:c>
      <x:c r="FK20" s="821">
        <x:f t="shared" si="87"/>
        <x:v>0</x:v>
      </x:c>
      <x:c r="FL20" s="821" t="str">
        <x:f t="shared" si="88"/>
        <x:v/>
      </x:c>
      <x:c r="FM20" s="822" t="str">
        <x:f t="shared" si="89"/>
        <x:v/>
      </x:c>
      <x:c r="FN20" s="822" t="e">
        <x:f t="shared" si="90"/>
        <x:v>#VALUE!</x:v>
      </x:c>
      <x:c r="FO20" s="940" t="e">
        <x:f t="shared" si="91"/>
        <x:v>#VALUE!</x:v>
      </x:c>
      <x:c r="FP20" s="940" t="e">
        <x:f t="shared" si="92"/>
        <x:v>#VALUE!</x:v>
      </x:c>
      <x:c r="FQ20" s="830" t="e">
        <x:f t="shared" si="93"/>
        <x:v>#VALUE!</x:v>
      </x:c>
      <x:c r="FR20" s="831" t="e">
        <x:f t="shared" si="94"/>
        <x:v>#VALUE!</x:v>
      </x:c>
      <x:c r="FS20" s="832" t="str">
        <x:f t="shared" si="95"/>
        <x:v/>
      </x:c>
      <x:c r="FT20" s="833" t="str">
        <x:f t="shared" si="96"/>
        <x:v/>
      </x:c>
      <x:c r="FU20" s="870">
        <x:f t="shared" si="97"/>
        <x:v>0</x:v>
      </x:c>
      <x:c r="FV20" s="871">
        <x:f t="shared" si="98"/>
        <x:v>0</x:v>
      </x:c>
      <x:c r="GA20" s="1791">
        <x:v>50</x:v>
      </x:c>
      <x:c r="GB20" s="1792">
        <x:v>0</x:v>
      </x:c>
      <x:c r="GC20" s="1793">
        <x:v>-0.25</x:v>
      </x:c>
      <x:c r="GD20" s="1794">
        <x:v>-0.25</x:v>
      </x:c>
      <x:c r="GE20" s="1795">
        <x:f t="shared" si="99"/>
        <x:v>0</x:v>
      </x:c>
      <x:c r="GF20" s="600" t="str">
        <x:f t="shared" si="100"/>
        <x:v>J21</x:v>
      </x:c>
      <x:c r="GG20" s="1130">
        <x:v>0</x:v>
      </x:c>
      <x:c r="GH20" s="1131">
        <x:v>0</x:v>
      </x:c>
      <x:c r="GI20" s="1130"/>
      <x:c r="GJ20" s="1131"/>
      <x:c r="GK20" s="1638">
        <x:f t="shared" si="101"/>
        <x:v>599.5</x:v>
      </x:c>
      <x:c r="GL20" s="1636">
        <x:f t="shared" si="102"/>
        <x:v>599.5</x:v>
      </x:c>
      <x:c r="GM20" s="1637">
        <x:f>IF(ABS(GK20-GL20)&gt;='Job Info.'!$L$22,ABS(GK20-GL20),0)</x:f>
        <x:v>0</x:v>
      </x:c>
      <x:c r="HA20" s="1269" t="s">
        <x:v>1451</x:v>
      </x:c>
      <x:c r="HB20" s="1270">
        <x:v>2</x:v>
      </x:c>
      <x:c r="HC20" s="1270" t="s">
        <x:v>1592</x:v>
      </x:c>
      <x:c r="HD20" s="1271">
        <x:v>49</x:v>
      </x:c>
      <x:c r="HE20" s="1272">
        <x:v>11.5</x:v>
      </x:c>
      <x:c r="HF20" s="1270" t="s">
        <x:v>116</x:v>
      </x:c>
      <x:c r="HG20" s="1270" t="s">
        <x:v>116</x:v>
      </x:c>
      <x:c r="HH20" s="1270" t="s">
        <x:v>116</x:v>
      </x:c>
      <x:c r="HI20" s="1273" t="s">
        <x:v>116</x:v>
      </x:c>
      <x:c r="HJ20" s="1270" t="s">
        <x:v>116</x:v>
      </x:c>
      <x:c r="HK20" s="1270" t="s">
        <x:v>116</x:v>
      </x:c>
      <x:c r="HL20" s="1270">
        <x:v>5</x:v>
      </x:c>
      <x:c r="HM20" s="1270">
        <x:v>5</x:v>
      </x:c>
      <x:c r="HN20" s="1270" t="s">
        <x:v>116</x:v>
      </x:c>
      <x:c r="HO20" s="1270" t="s">
        <x:v>116</x:v>
      </x:c>
      <x:c r="HP20" s="1270" t="s">
        <x:v>116</x:v>
      </x:c>
      <x:c r="HQ20" s="1273" t="s">
        <x:v>116</x:v>
      </x:c>
      <x:c r="HR20" s="1270" t="s">
        <x:v>116</x:v>
      </x:c>
      <x:c r="HS20" s="1270" t="s">
        <x:v>116</x:v>
      </x:c>
      <x:c r="HT20" s="1270">
        <x:v>0</x:v>
      </x:c>
      <x:c r="HU20" s="1270">
        <x:v>2.25</x:v>
      </x:c>
      <x:c r="HV20" s="1270">
        <x:v>0</x:v>
      </x:c>
      <x:c r="HW20" s="1272">
        <x:v>2.25</x:v>
      </x:c>
      <x:c r="HX20" s="1272">
        <x:v>4</x:v>
      </x:c>
      <x:c r="HY20" s="1272" t="s">
        <x:v>116</x:v>
      </x:c>
      <x:c r="HZ20" s="1272" t="s">
        <x:v>116</x:v>
      </x:c>
      <x:c r="IA20" s="1272" t="s">
        <x:v>1663</x:v>
      </x:c>
      <x:c r="IB20" s="1272"/>
      <x:c r="IC20" s="1272"/>
      <x:c r="ID20" s="1272"/>
      <x:c r="IE20" s="1272"/>
      <x:c r="IF20" s="1274"/>
    </x:row>
    <x:row r="21" spans="1:240" ht="12.6" customHeight="1" x14ac:dyDescent="0.25">
      <x:c r="A21" s="2764" t="s">
        <x:v>1452</x:v>
      </x:c>
      <x:c r="B21" s="2765">
        <x:v>2</x:v>
      </x:c>
      <x:c r="C21" s="2766" t="s">
        <x:v>1592</x:v>
      </x:c>
      <x:c r="D21" s="2767">
        <x:v>49</x:v>
      </x:c>
      <x:c r="E21" s="2768">
        <x:v>11.5</x:v>
      </x:c>
      <x:c r="F21" s="2776" t="str">
        <x:f t="shared" si="1"/>
        <x:v/>
      </x:c>
      <x:c r="G21" s="2771" t="str">
        <x:f t="shared" si="2"/>
        <x:v/>
      </x:c>
      <x:c r="H21" s="2842" t="str">
        <x:f t="shared" si="3"/>
        <x:v/>
      </x:c>
      <x:c r="I21" s="2767" t="str">
        <x:f t="shared" si="4"/>
        <x:v/>
      </x:c>
      <x:c r="J21" s="2771" t="str">
        <x:f t="shared" si="5"/>
        <x:v/>
      </x:c>
      <x:c r="K21" s="2855" t="str">
        <x:f t="shared" si="6"/>
        <x:v/>
      </x:c>
      <x:c r="L21" s="2774">
        <x:v>5</x:v>
      </x:c>
      <x:c r="M21" s="2775">
        <x:v>5</x:v>
      </x:c>
      <x:c r="N21" s="2770" t="str">
        <x:f t="shared" si="103"/>
        <x:v/>
      </x:c>
      <x:c r="O21" s="2771" t="str">
        <x:f t="shared" si="104"/>
        <x:v/>
      </x:c>
      <x:c r="P21" s="2772" t="str">
        <x:f t="shared" si="105"/>
        <x:v/>
      </x:c>
      <x:c r="Q21" s="2767" t="str">
        <x:f t="shared" si="7"/>
        <x:v/>
      </x:c>
      <x:c r="R21" s="2771" t="str">
        <x:f t="shared" si="8"/>
        <x:v/>
      </x:c>
      <x:c r="S21" s="2773" t="str">
        <x:f t="shared" si="9"/>
        <x:v/>
      </x:c>
      <x:c r="T21" s="2776">
        <x:v>0</x:v>
      </x:c>
      <x:c r="U21" s="2771">
        <x:v>2.25</x:v>
      </x:c>
      <x:c r="V21" s="2767">
        <x:v>0</x:v>
      </x:c>
      <x:c r="W21" s="2771">
        <x:v>2.25</x:v>
      </x:c>
      <x:c r="X21" s="2775">
        <x:v>4</x:v>
      </x:c>
      <x:c r="Y21" s="2844" t="str">
        <x:f t="shared" si="10"/>
        <x:v/>
      </x:c>
      <x:c r="Z21" s="2845" t="str">
        <x:f t="shared" si="11"/>
        <x:v/>
      </x:c>
      <x:c r="AA21" s="2846" t="s">
        <x:v>1664</x:v>
      </x:c>
      <x:c r="AB21" s="1413"/>
      <x:c r="AC21" s="964" t="b">
        <x:v>0</x:v>
      </x:c>
      <x:c r="AD21" s="441">
        <x:f t="shared" si="12"/>
        <x:v>0</x:v>
      </x:c>
      <x:c r="AE21" s="442">
        <x:f t="shared" si="13"/>
        <x:v>2</x:v>
      </x:c>
      <x:c r="AF21" s="442">
        <x:f t="shared" si="14"/>
        <x:v>0</x:v>
      </x:c>
      <x:c r="AG21" s="442">
        <x:f t="shared" si="15"/>
        <x:v>0</x:v>
      </x:c>
      <x:c r="AH21" s="443">
        <x:f t="shared" si="16"/>
        <x:v>0</x:v>
      </x:c>
      <x:c r="AI21" s="444" t="b">
        <x:v>0</x:v>
      </x:c>
      <x:c r="AJ21" s="238">
        <x:f t="shared" si="17"/>
        <x:v>32</x:v>
      </x:c>
      <x:c r="AK21" s="830" t="str">
        <x:f t="shared" si="18"/>
        <x:v>LH</x:v>
      </x:c>
      <x:c r="AL21" s="945" t="str">
        <x:f t="shared" si="19"/>
        <x:v/>
      </x:c>
      <x:c r="AM21" s="830">
        <x:f t="shared" si="20"/>
        <x:v>305</x:v>
      </x:c>
      <x:c r="AN21" s="830">
        <x:f t="shared" si="21"/>
        <x:v>180</x:v>
      </x:c>
      <x:c r="AO21" s="830" t="str">
        <x:f t="shared" si="22"/>
        <x:v/>
      </x:c>
      <x:c r="AP21" s="830" t="b">
        <x:f>IF(ISERROR(AJ21),FALSE,IF(OR(AJ21=0,ISERROR(AL21),ISERROR(AM21),ISERROR(AN21),ISERROR(AO21)),FALSE,IF(AL21&lt;&gt;"",IF(ISERROR(VLOOKUP(SUBSTITUTE(SUBSTITUTE(C21,"R",""),"A",""),TblJoistSize!$A:$A,1,FALSE)),FALSE,TRUE),TRUE)))</x:f>
        <x:v>1</x:v>
      </x:c>
      <x:c r="AQ21" s="1038">
        <x:f t="shared" si="23"/>
        <x:v>6</x:v>
      </x:c>
      <x:c r="AR21" s="945" t="b">
        <x:f t="shared" si="24"/>
        <x:v>1</x:v>
      </x:c>
      <x:c r="AS21" s="1038">
        <x:f t="shared" si="25"/>
        <x:v>6</x:v>
      </x:c>
      <x:c r="AT21" s="945" t="b">
        <x:f t="shared" si="26"/>
        <x:v>1</x:v>
      </x:c>
      <x:c r="AU21" s="946" t="str">
        <x:f t="shared" si="27"/>
        <x:v>LH</x:v>
      </x:c>
      <x:c r="AV21" s="830" t="str">
        <x:f t="shared" si="28"/>
        <x:v/>
      </x:c>
      <x:c r="AW21" s="830" t="str">
        <x:f t="shared" si="29"/>
        <x:v>LH</x:v>
      </x:c>
      <x:c r="AX21" s="830" t="str">
        <x:f t="shared" si="106"/>
        <x:v>J22</x:v>
      </x:c>
      <x:c r="AY21" s="1039" t="b">
        <x:f t="shared" si="30"/>
        <x:v>0</x:v>
      </x:c>
      <x:c r="AZ21" s="856" t="b">
        <x:f t="shared" si="31"/>
        <x:v>0</x:v>
      </x:c>
      <x:c r="BA21" s="549"/>
      <x:c r="BB21" s="672"/>
      <x:c r="BC21" s="1684"/>
      <x:c r="BD21" s="733"/>
      <x:c r="BE21" s="734"/>
      <x:c r="BF21" s="735"/>
      <x:c r="BG21" s="672"/>
      <x:c r="BH21" s="982"/>
      <x:c r="BI21" s="983"/>
      <x:c r="BJ21" s="1625"/>
      <x:c r="BK21" s="713"/>
      <x:c r="BL21" s="714"/>
      <x:c r="BM21" s="715"/>
      <x:c r="BN21" s="716"/>
      <x:c r="BO21" s="672" t="str">
        <x:f>IF(ISERROR(CU21),"",IF(CU21="","",IF(VLOOKUP(BG21,SectInfo!$B:$N,10,FALSE)="","","X")))</x:f>
        <x:v/>
      </x:c>
      <x:c r="BP21" s="738"/>
      <x:c r="BQ21" s="1551" t="str">
        <x:f t="shared" si="32"/>
        <x:v/>
      </x:c>
      <x:c r="BR21" s="910"/>
      <x:c r="BS21" s="672"/>
      <x:c r="BT21" s="713"/>
      <x:c r="BU21" s="714"/>
      <x:c r="BV21" s="1625"/>
      <x:c r="BW21" s="713"/>
      <x:c r="BX21" s="714"/>
      <x:c r="BY21" s="715"/>
      <x:c r="BZ21" s="716"/>
      <x:c r="CA21" s="680" t="str">
        <x:f>IF(ISERROR(DE21),"",IF(DE21="","",IF(VLOOKUP(BS21,SectInfo!$B:$N,10,FALSE)="","","X")))</x:f>
        <x:v/>
      </x:c>
      <x:c r="CB21" s="738"/>
      <x:c r="CC21" s="1551" t="str">
        <x:f t="shared" si="33"/>
        <x:v/>
      </x:c>
      <x:c r="CD21" s="910"/>
      <x:c r="CE21" s="717"/>
      <x:c r="CF21" s="736"/>
      <x:c r="CG21" s="737"/>
      <x:c r="CH21" s="591" t="str">
        <x:f t="shared" si="34"/>
        <x:v/>
      </x:c>
      <x:c r="CI21" s="592" t="str">
        <x:f t="shared" si="35"/>
        <x:v/>
      </x:c>
      <x:c r="CJ21" s="593" t="str">
        <x:f t="shared" si="36"/>
        <x:v/>
      </x:c>
      <x:c r="CK21" s="594" t="str">
        <x:f t="shared" si="37"/>
        <x:v/>
      </x:c>
      <x:c r="CL21" s="595" t="str">
        <x:f t="shared" si="38"/>
        <x:v/>
      </x:c>
      <x:c r="CM21" s="596" t="str">
        <x:f t="shared" si="39"/>
        <x:v/>
      </x:c>
      <x:c r="CN21" s="597" t="str">
        <x:f t="shared" si="40"/>
        <x:v/>
      </x:c>
      <x:c r="CO21" s="598" t="str">
        <x:f t="shared" si="41"/>
        <x:v/>
      </x:c>
      <x:c r="CP21" s="615" t="str">
        <x:f t="shared" si="42"/>
        <x:v/>
      </x:c>
      <x:c r="CQ21" s="616" t="str">
        <x:f t="shared" si="43"/>
        <x:v/>
      </x:c>
      <x:c r="CR21" s="750">
        <x:f t="shared" si="44"/>
        <x:v>5</x:v>
      </x:c>
      <x:c r="CS21" s="751">
        <x:f t="shared" si="45"/>
        <x:v>5</x:v>
      </x:c>
      <x:c r="CU21" s="817" t="str">
        <x:f>IF(BG21="","",VLOOKUP(BG21,SectInfo!$B:$N,12,FALSE))</x:f>
        <x:v/>
      </x:c>
      <x:c r="CV21" s="815" t="str">
        <x:f>IF(BG21="","",IF(ISBLANK(BP21),VLOOKUP(BG21,SectInfo!$B:$N,13,FALSE),BP21))</x:f>
        <x:v/>
      </x:c>
      <x:c r="CW21" s="815" t="str">
        <x:f>IF(BG21="","",IF(VLOOKUP(BG21,SectInfo!$B:$N,5,FALSE)="","R",UPPER(VLOOKUP(BG21,SectInfo!$B:$N,5,FALSE))))</x:f>
        <x:v/>
      </x:c>
      <x:c r="CX21" s="815" t="str">
        <x:f>IF(BG21="","",IF(ISBLANK(BR21),VLOOKUP(BG21,SectInfo!$B:$N,6,FALSE),BR21))</x:f>
        <x:v/>
      </x:c>
      <x:c r="CY21" s="1286" t="str">
        <x:f>IF(BG21="","",IF(VLOOKUP(BG21,SectInfo!$B:$N,10,FALSE)="","",(IF(BO21="X",VLOOKUP(BG21,SectInfo!$B:$N,10,FALSE),VALUE(BO21))*-1)))</x:f>
        <x:v/>
      </x:c>
      <x:c r="CZ21" s="1122" t="str">
        <x:f>IF(BG21="","",IF(VLOOKUP(BG21,SectInfo!$B:$N,11,FALSE)="","2",(VLOOKUP(BG21,SectInfo!$B:$N,11,FALSE))))</x:f>
        <x:v/>
      </x:c>
      <x:c r="DA21" s="815" t="str">
        <x:f>IF(BG21="","",IF(VLOOKUP(BG21,SectInfo!$B:$N,7,FALSE)="","",(VLOOKUP(BG21,SectInfo!$B:$N,7,FALSE)*-1)))</x:f>
        <x:v/>
      </x:c>
      <x:c r="DB21" s="815" t="str">
        <x:f>IF(BG21="","",IF(VLOOKUP(BG21,SectInfo!$B:$N,8,FALSE)="",VLOOKUP(AU21,$DF$2:$DN$9,6,FALSE),(VLOOKUP(BG21,SectInfo!$B:$N,8,FALSE))))</x:f>
        <x:v/>
      </x:c>
      <x:c r="DC21" s="815" t="str">
        <x:f>IF(BG21="","",VLOOKUP(BG21,SectInfo!$B:$N,9,FALSE))</x:f>
        <x:v/>
      </x:c>
      <x:c r="DD21" s="816">
        <x:f t="shared" si="46"/>
        <x:v>0</x:v>
      </x:c>
      <x:c r="DE21" s="817" t="str">
        <x:f>IF(BS21="","",VLOOKUP(BS21,SectInfo!$B:$N,12,FALSE))</x:f>
        <x:v/>
      </x:c>
      <x:c r="DF21" s="815" t="str">
        <x:f>IF(BS21="","",IF(ISBLANK(CB21),VLOOKUP(BS21,SectInfo!$B:$N,13,FALSE),CB21))</x:f>
        <x:v/>
      </x:c>
      <x:c r="DG21" s="815" t="str">
        <x:f>IF(BS21="","",IF(VLOOKUP(BS21,SectInfo!$B:$N,5,FALSE)="","R",UPPER(VLOOKUP(BS21,SectInfo!$B:$N,5,FALSE))))</x:f>
        <x:v/>
      </x:c>
      <x:c r="DH21" s="815" t="str">
        <x:f>IF(BS21="","",IF(ISBLANK(CD21),VLOOKUP(BS21,SectInfo!$B:$N,6,FALSE),CD21))</x:f>
        <x:v/>
      </x:c>
      <x:c r="DI21" s="1286" t="str">
        <x:f>IF(BS21="","",IF(VLOOKUP(BS21,SectInfo!$B:$N,10,FALSE)="","",(IF(CA21="X",VLOOKUP(BS21,SectInfo!$B:$N,10,FALSE),VALUE(CA21))*-1)))</x:f>
        <x:v/>
      </x:c>
      <x:c r="DJ21" s="1122" t="str">
        <x:f>IF(BS21="","",IF(VLOOKUP(BS21,SectInfo!$B:$N,11,FALSE)="","2",(VLOOKUP(BS21,SectInfo!$B:$N,11,FALSE))))</x:f>
        <x:v/>
      </x:c>
      <x:c r="DK21" s="815" t="str">
        <x:f>IF(BS21="","",IF(VLOOKUP(BS21,SectInfo!$B:$N,7,FALSE)="","",(VLOOKUP(BS21,SectInfo!$B:$N,7,FALSE)*-1)))</x:f>
        <x:v/>
      </x:c>
      <x:c r="DL21" s="815" t="str">
        <x:f>IF(BS21="","",IF(VLOOKUP(BS21,SectInfo!$B:$N,8,FALSE)="",VLOOKUP(AU21,$DF$2:$DN$9,6,FALSE),(VLOOKUP(BS21,SectInfo!$B:$N,8,FALSE))))</x:f>
        <x:v/>
      </x:c>
      <x:c r="DM21" s="815" t="str">
        <x:f>IF(BS21="","",VLOOKUP(BS21,SectInfo!$B:$N,9,FALSE))</x:f>
        <x:v/>
      </x:c>
      <x:c r="DN21" s="816">
        <x:f t="shared" si="47"/>
        <x:v>0</x:v>
      </x:c>
      <x:c r="DO21" s="818">
        <x:f t="shared" si="48"/>
        <x:v>0</x:v>
      </x:c>
      <x:c r="DP21" s="822" t="str">
        <x:f t="shared" si="49"/>
        <x:v/>
      </x:c>
      <x:c r="DQ21" s="822" t="str">
        <x:f t="shared" si="50"/>
        <x:v/>
      </x:c>
      <x:c r="DR21" s="822" t="str">
        <x:f t="shared" si="51"/>
        <x:v/>
      </x:c>
      <x:c r="DS21" s="821">
        <x:f t="shared" si="52"/>
        <x:v>0</x:v>
      </x:c>
      <x:c r="DT21" s="821">
        <x:f t="shared" si="53"/>
        <x:v>0</x:v>
      </x:c>
      <x:c r="DU21" s="821" t="str">
        <x:f t="shared" si="54"/>
        <x:v/>
      </x:c>
      <x:c r="DV21" s="822" t="str">
        <x:f t="shared" si="55"/>
        <x:v/>
      </x:c>
      <x:c r="DW21" s="856" t="str">
        <x:f t="shared" si="56"/>
        <x:v/>
      </x:c>
      <x:c r="DX21" s="1006">
        <x:f t="shared" si="57"/>
        <x:v>0</x:v>
      </x:c>
      <x:c r="DY21" s="822">
        <x:f t="shared" si="58"/>
        <x:v>0</x:v>
      </x:c>
      <x:c r="DZ21" s="821">
        <x:f t="shared" si="59"/>
        <x:v>0</x:v>
      </x:c>
      <x:c r="EA21" s="821" t="str">
        <x:f t="shared" si="60"/>
        <x:v/>
      </x:c>
      <x:c r="EB21" s="822" t="str">
        <x:f t="shared" si="61"/>
        <x:v/>
      </x:c>
      <x:c r="EC21" s="856" t="str">
        <x:f t="shared" si="62"/>
        <x:v/>
      </x:c>
      <x:c r="ED21" s="1006">
        <x:f t="shared" si="63"/>
        <x:v>0</x:v>
      </x:c>
      <x:c r="EE21" s="1293" t="str">
        <x:f t="shared" si="64"/>
        <x:v/>
      </x:c>
      <x:c r="EF21" s="1293" t="str">
        <x:f t="shared" si="65"/>
        <x:v/>
      </x:c>
      <x:c r="EG21" s="1293" t="str">
        <x:f t="shared" si="66"/>
        <x:v/>
      </x:c>
      <x:c r="EH21" s="856" t="str">
        <x:f t="shared" si="67"/>
        <x:v>ERR</x:v>
      </x:c>
      <x:c r="EI21" s="856" t="str">
        <x:f t="shared" si="68"/>
        <x:v>ERR</x:v>
      </x:c>
      <x:c r="EJ21" s="822" t="str">
        <x:f t="shared" si="69"/>
        <x:v/>
      </x:c>
      <x:c r="EK21" s="822" t="str">
        <x:f t="shared" si="69"/>
        <x:v/>
      </x:c>
      <x:c r="EL21" s="1293" t="str">
        <x:f t="shared" si="70"/>
        <x:v/>
      </x:c>
      <x:c r="EM21" s="822" t="str">
        <x:f t="shared" si="71"/>
        <x:v/>
      </x:c>
      <x:c r="EN21" s="822" t="str">
        <x:f t="shared" si="72"/>
        <x:v/>
      </x:c>
      <x:c r="EO21" s="856" t="str">
        <x:f t="shared" si="73"/>
        <x:v>ERR</x:v>
      </x:c>
      <x:c r="EP21" s="856" t="str">
        <x:f t="shared" si="74"/>
        <x:v>ERR</x:v>
      </x:c>
      <x:c r="EQ21" s="1293" t="str">
        <x:f t="shared" si="75"/>
        <x:v/>
      </x:c>
      <x:c r="ER21" s="822" t="str">
        <x:f t="shared" si="75"/>
        <x:v/>
      </x:c>
      <x:c r="ES21" s="822" t="str">
        <x:f t="shared" si="76"/>
        <x:v/>
      </x:c>
      <x:c r="ET21" s="822" t="str">
        <x:f t="shared" si="77"/>
        <x:v/>
      </x:c>
      <x:c r="EU21" s="829">
        <x:f t="shared" si="78"/>
        <x:v>4</x:v>
      </x:c>
      <x:c r="EV21" s="824" t="str">
        <x:f t="shared" si="79"/>
        <x:v/>
      </x:c>
      <x:c r="EW21" s="829"/>
      <x:c r="EX21" s="829" t="str">
        <x:f>IF(AND(CU21="G", ISBLANK(BK21), ISBLANK(BL21)),VLOOKUP(MIN(BH21:BI21),TblJoistSize!$M$3:$N$10,2),IF(OR(CU21="B",CU21="G"),MIN(BK21:BL21),""))</x:f>
        <x:v/>
      </x:c>
      <x:c r="EY21" s="829" t="str">
        <x:f>IF(AND(CU21="G", ISBLANK(BK21), ISBLANK(BL21)),VLOOKUP(MAX(BH21:BI21),TblJoistSize!$M$3:$N$10,2),IF(OR(CU21="B",CU21="G"),MAX(BK21:BL21),""))</x:f>
        <x:v/>
      </x:c>
      <x:c r="EZ21" s="829" t="str">
        <x:f t="shared" si="80"/>
        <x:v/>
      </x:c>
      <x:c r="FA21" s="829" t="str">
        <x:f>IF(AND(DE21="G", ISBLANK(BW21), ISBLANK(BX21)),VLOOKUP(MIN(BT21:BU21),TblJoistSize!$M$3:$N$10,2),IF(OR(DE21="B", DE21="G"),MIN(BW21:BX21),""))</x:f>
        <x:v/>
      </x:c>
      <x:c r="FB21" s="829" t="str">
        <x:f>IF(AND(DE21="G", ISBLANK(BW21), ISBLANK(BX21)),VLOOKUP(MAX(BT21:BU21),TblJoistSize!$M$3:$N$10,2),IF(OR(DE21="B", DE21="G"),MAX(BW21:BX21),""))</x:f>
        <x:v/>
      </x:c>
      <x:c r="FC21" s="829" t="str">
        <x:f t="shared" si="81"/>
        <x:v/>
      </x:c>
      <x:c r="FD21" s="821">
        <x:f t="shared" si="107"/>
        <x:v>0</x:v>
      </x:c>
      <x:c r="FE21" s="821">
        <x:f t="shared" si="82"/>
        <x:v>0</x:v>
      </x:c>
      <x:c r="FF21" s="821">
        <x:f t="shared" si="83"/>
        <x:v>0</x:v>
      </x:c>
      <x:c r="FG21" s="821" t="str">
        <x:f t="shared" si="84"/>
        <x:v/>
      </x:c>
      <x:c r="FH21" s="822" t="str">
        <x:f t="shared" si="85"/>
        <x:v/>
      </x:c>
      <x:c r="FI21" s="821">
        <x:f t="shared" si="108"/>
        <x:v>0</x:v>
      </x:c>
      <x:c r="FJ21" s="821">
        <x:f t="shared" si="86"/>
        <x:v>0</x:v>
      </x:c>
      <x:c r="FK21" s="821">
        <x:f t="shared" si="87"/>
        <x:v>0</x:v>
      </x:c>
      <x:c r="FL21" s="821" t="str">
        <x:f t="shared" si="88"/>
        <x:v/>
      </x:c>
      <x:c r="FM21" s="822" t="str">
        <x:f t="shared" si="89"/>
        <x:v/>
      </x:c>
      <x:c r="FN21" s="822" t="e">
        <x:f t="shared" si="90"/>
        <x:v>#VALUE!</x:v>
      </x:c>
      <x:c r="FO21" s="940" t="e">
        <x:f t="shared" si="91"/>
        <x:v>#VALUE!</x:v>
      </x:c>
      <x:c r="FP21" s="940" t="e">
        <x:f t="shared" si="92"/>
        <x:v>#VALUE!</x:v>
      </x:c>
      <x:c r="FQ21" s="830" t="e">
        <x:f t="shared" si="93"/>
        <x:v>#VALUE!</x:v>
      </x:c>
      <x:c r="FR21" s="831" t="e">
        <x:f t="shared" si="94"/>
        <x:v>#VALUE!</x:v>
      </x:c>
      <x:c r="FS21" s="832" t="str">
        <x:f t="shared" si="95"/>
        <x:v/>
      </x:c>
      <x:c r="FT21" s="833" t="str">
        <x:f t="shared" si="96"/>
        <x:v/>
      </x:c>
      <x:c r="FU21" s="870">
        <x:f t="shared" si="97"/>
        <x:v>0</x:v>
      </x:c>
      <x:c r="FV21" s="871">
        <x:f t="shared" si="98"/>
        <x:v>0</x:v>
      </x:c>
      <x:c r="GA21" s="1791">
        <x:v>50</x:v>
      </x:c>
      <x:c r="GB21" s="1792">
        <x:v>0</x:v>
      </x:c>
      <x:c r="GC21" s="1793">
        <x:v>-0.25</x:v>
      </x:c>
      <x:c r="GD21" s="1794">
        <x:v>-0.25</x:v>
      </x:c>
      <x:c r="GE21" s="1795">
        <x:f t="shared" si="99"/>
        <x:v>0</x:v>
      </x:c>
      <x:c r="GF21" s="600" t="str">
        <x:f t="shared" si="100"/>
        <x:v>J22</x:v>
      </x:c>
      <x:c r="GG21" s="1130">
        <x:v>0</x:v>
      </x:c>
      <x:c r="GH21" s="1131">
        <x:v>0</x:v>
      </x:c>
      <x:c r="GI21" s="1130"/>
      <x:c r="GJ21" s="1131"/>
      <x:c r="GK21" s="1638">
        <x:f t="shared" si="101"/>
        <x:v>599.5</x:v>
      </x:c>
      <x:c r="GL21" s="1636">
        <x:f t="shared" si="102"/>
        <x:v>599.5</x:v>
      </x:c>
      <x:c r="GM21" s="1637">
        <x:f>IF(ABS(GK21-GL21)&gt;='Job Info.'!$L$22,ABS(GK21-GL21),0)</x:f>
        <x:v>0</x:v>
      </x:c>
      <x:c r="HA21" s="1269" t="s">
        <x:v>1452</x:v>
      </x:c>
      <x:c r="HB21" s="1270">
        <x:v>2</x:v>
      </x:c>
      <x:c r="HC21" s="1270" t="s">
        <x:v>1592</x:v>
      </x:c>
      <x:c r="HD21" s="1271">
        <x:v>49</x:v>
      </x:c>
      <x:c r="HE21" s="1272">
        <x:v>11.5</x:v>
      </x:c>
      <x:c r="HF21" s="1270" t="s">
        <x:v>116</x:v>
      </x:c>
      <x:c r="HG21" s="1270" t="s">
        <x:v>116</x:v>
      </x:c>
      <x:c r="HH21" s="1270" t="s">
        <x:v>116</x:v>
      </x:c>
      <x:c r="HI21" s="1273" t="s">
        <x:v>116</x:v>
      </x:c>
      <x:c r="HJ21" s="1270" t="s">
        <x:v>116</x:v>
      </x:c>
      <x:c r="HK21" s="1270" t="s">
        <x:v>116</x:v>
      </x:c>
      <x:c r="HL21" s="1270">
        <x:v>5</x:v>
      </x:c>
      <x:c r="HM21" s="1270">
        <x:v>5</x:v>
      </x:c>
      <x:c r="HN21" s="1270" t="s">
        <x:v>116</x:v>
      </x:c>
      <x:c r="HO21" s="1270" t="s">
        <x:v>116</x:v>
      </x:c>
      <x:c r="HP21" s="1270" t="s">
        <x:v>116</x:v>
      </x:c>
      <x:c r="HQ21" s="1273" t="s">
        <x:v>116</x:v>
      </x:c>
      <x:c r="HR21" s="1270" t="s">
        <x:v>116</x:v>
      </x:c>
      <x:c r="HS21" s="1270" t="s">
        <x:v>116</x:v>
      </x:c>
      <x:c r="HT21" s="1270">
        <x:v>0</x:v>
      </x:c>
      <x:c r="HU21" s="1270">
        <x:v>2.25</x:v>
      </x:c>
      <x:c r="HV21" s="1270">
        <x:v>0</x:v>
      </x:c>
      <x:c r="HW21" s="1272">
        <x:v>2.25</x:v>
      </x:c>
      <x:c r="HX21" s="1272">
        <x:v>4</x:v>
      </x:c>
      <x:c r="HY21" s="1272" t="s">
        <x:v>116</x:v>
      </x:c>
      <x:c r="HZ21" s="1272" t="s">
        <x:v>116</x:v>
      </x:c>
      <x:c r="IA21" s="1272" t="s">
        <x:v>1664</x:v>
      </x:c>
      <x:c r="IB21" s="1272"/>
      <x:c r="IC21" s="1272"/>
      <x:c r="ID21" s="1272"/>
      <x:c r="IE21" s="1272"/>
      <x:c r="IF21" s="1274"/>
    </x:row>
    <x:row r="22" spans="1:240" ht="12.6" customHeight="1" x14ac:dyDescent="0.25">
      <x:c r="A22" s="2764" t="s">
        <x:v>1453</x:v>
      </x:c>
      <x:c r="B22" s="2765">
        <x:v>2</x:v>
      </x:c>
      <x:c r="C22" s="2766" t="s">
        <x:v>1592</x:v>
      </x:c>
      <x:c r="D22" s="2767">
        <x:v>49</x:v>
      </x:c>
      <x:c r="E22" s="2768">
        <x:v>11.5</x:v>
      </x:c>
      <x:c r="F22" s="2776" t="str">
        <x:f t="shared" si="1"/>
        <x:v/>
      </x:c>
      <x:c r="G22" s="2771" t="str">
        <x:f t="shared" si="2"/>
        <x:v/>
      </x:c>
      <x:c r="H22" s="2842" t="str">
        <x:f t="shared" si="3"/>
        <x:v/>
      </x:c>
      <x:c r="I22" s="2767" t="str">
        <x:f t="shared" si="4"/>
        <x:v/>
      </x:c>
      <x:c r="J22" s="2771" t="str">
        <x:f t="shared" si="5"/>
        <x:v/>
      </x:c>
      <x:c r="K22" s="2855" t="str">
        <x:f t="shared" si="6"/>
        <x:v/>
      </x:c>
      <x:c r="L22" s="2774">
        <x:v>5</x:v>
      </x:c>
      <x:c r="M22" s="2775">
        <x:v>5</x:v>
      </x:c>
      <x:c r="N22" s="2770" t="str">
        <x:f t="shared" si="103"/>
        <x:v/>
      </x:c>
      <x:c r="O22" s="2771" t="str">
        <x:f t="shared" si="104"/>
        <x:v/>
      </x:c>
      <x:c r="P22" s="2772" t="str">
        <x:f t="shared" si="105"/>
        <x:v/>
      </x:c>
      <x:c r="Q22" s="2767" t="str">
        <x:f t="shared" si="7"/>
        <x:v/>
      </x:c>
      <x:c r="R22" s="2771" t="str">
        <x:f t="shared" si="8"/>
        <x:v/>
      </x:c>
      <x:c r="S22" s="2773" t="str">
        <x:f t="shared" si="9"/>
        <x:v/>
      </x:c>
      <x:c r="T22" s="2776">
        <x:v>0</x:v>
      </x:c>
      <x:c r="U22" s="2771">
        <x:v>2.25</x:v>
      </x:c>
      <x:c r="V22" s="2767">
        <x:v>0</x:v>
      </x:c>
      <x:c r="W22" s="2771">
        <x:v>2.25</x:v>
      </x:c>
      <x:c r="X22" s="2775">
        <x:v>4</x:v>
      </x:c>
      <x:c r="Y22" s="2844" t="str">
        <x:f t="shared" si="10"/>
        <x:v/>
      </x:c>
      <x:c r="Z22" s="2845" t="str">
        <x:f t="shared" si="11"/>
        <x:v/>
      </x:c>
      <x:c r="AA22" s="2846" t="s">
        <x:v>1665</x:v>
      </x:c>
      <x:c r="AB22" s="1413"/>
      <x:c r="AC22" s="964" t="b">
        <x:v>0</x:v>
      </x:c>
      <x:c r="AD22" s="441">
        <x:f t="shared" si="12"/>
        <x:v>0</x:v>
      </x:c>
      <x:c r="AE22" s="442">
        <x:f t="shared" si="13"/>
        <x:v>2</x:v>
      </x:c>
      <x:c r="AF22" s="442">
        <x:f t="shared" si="14"/>
        <x:v>0</x:v>
      </x:c>
      <x:c r="AG22" s="442">
        <x:f t="shared" si="15"/>
        <x:v>0</x:v>
      </x:c>
      <x:c r="AH22" s="443">
        <x:f t="shared" si="16"/>
        <x:v>0</x:v>
      </x:c>
      <x:c r="AI22" s="444" t="b">
        <x:v>0</x:v>
      </x:c>
      <x:c r="AJ22" s="238">
        <x:f t="shared" si="17"/>
        <x:v>32</x:v>
      </x:c>
      <x:c r="AK22" s="830" t="str">
        <x:f t="shared" si="18"/>
        <x:v>LH</x:v>
      </x:c>
      <x:c r="AL22" s="945" t="str">
        <x:f t="shared" si="19"/>
        <x:v/>
      </x:c>
      <x:c r="AM22" s="830">
        <x:f t="shared" si="20"/>
        <x:v>305</x:v>
      </x:c>
      <x:c r="AN22" s="830">
        <x:f t="shared" si="21"/>
        <x:v>180</x:v>
      </x:c>
      <x:c r="AO22" s="830" t="str">
        <x:f t="shared" si="22"/>
        <x:v/>
      </x:c>
      <x:c r="AP22" s="830" t="b">
        <x:f>IF(ISERROR(AJ22),FALSE,IF(OR(AJ22=0,ISERROR(AL22),ISERROR(AM22),ISERROR(AN22),ISERROR(AO22)),FALSE,IF(AL22&lt;&gt;"",IF(ISERROR(VLOOKUP(SUBSTITUTE(SUBSTITUTE(C22,"R",""),"A",""),TblJoistSize!$A:$A,1,FALSE)),FALSE,TRUE),TRUE)))</x:f>
        <x:v>1</x:v>
      </x:c>
      <x:c r="AQ22" s="1038">
        <x:f t="shared" si="23"/>
        <x:v>6</x:v>
      </x:c>
      <x:c r="AR22" s="945" t="b">
        <x:f t="shared" si="24"/>
        <x:v>1</x:v>
      </x:c>
      <x:c r="AS22" s="1038">
        <x:f t="shared" si="25"/>
        <x:v>6</x:v>
      </x:c>
      <x:c r="AT22" s="945" t="b">
        <x:f t="shared" si="26"/>
        <x:v>1</x:v>
      </x:c>
      <x:c r="AU22" s="946" t="str">
        <x:f t="shared" si="27"/>
        <x:v>LH</x:v>
      </x:c>
      <x:c r="AV22" s="830" t="str">
        <x:f t="shared" si="28"/>
        <x:v/>
      </x:c>
      <x:c r="AW22" s="830" t="str">
        <x:f t="shared" si="29"/>
        <x:v>LH</x:v>
      </x:c>
      <x:c r="AX22" s="830" t="str">
        <x:f t="shared" si="106"/>
        <x:v>J23</x:v>
      </x:c>
      <x:c r="AY22" s="1039" t="b">
        <x:f t="shared" si="30"/>
        <x:v>0</x:v>
      </x:c>
      <x:c r="AZ22" s="856" t="b">
        <x:f t="shared" si="31"/>
        <x:v>0</x:v>
      </x:c>
      <x:c r="BA22" s="549"/>
      <x:c r="BB22" s="672"/>
      <x:c r="BC22" s="1684"/>
      <x:c r="BD22" s="733"/>
      <x:c r="BE22" s="734"/>
      <x:c r="BF22" s="735"/>
      <x:c r="BG22" s="672"/>
      <x:c r="BH22" s="982"/>
      <x:c r="BI22" s="983"/>
      <x:c r="BJ22" s="1625"/>
      <x:c r="BK22" s="713"/>
      <x:c r="BL22" s="714"/>
      <x:c r="BM22" s="715"/>
      <x:c r="BN22" s="716"/>
      <x:c r="BO22" s="672" t="str">
        <x:f>IF(ISERROR(CU22),"",IF(CU22="","",IF(VLOOKUP(BG22,SectInfo!$B:$N,10,FALSE)="","","X")))</x:f>
        <x:v/>
      </x:c>
      <x:c r="BP22" s="738"/>
      <x:c r="BQ22" s="1551" t="str">
        <x:f t="shared" si="32"/>
        <x:v/>
      </x:c>
      <x:c r="BR22" s="910"/>
      <x:c r="BS22" s="672"/>
      <x:c r="BT22" s="713"/>
      <x:c r="BU22" s="714"/>
      <x:c r="BV22" s="1625"/>
      <x:c r="BW22" s="713"/>
      <x:c r="BX22" s="714"/>
      <x:c r="BY22" s="715"/>
      <x:c r="BZ22" s="716"/>
      <x:c r="CA22" s="680" t="str">
        <x:f>IF(ISERROR(DE22),"",IF(DE22="","",IF(VLOOKUP(BS22,SectInfo!$B:$N,10,FALSE)="","","X")))</x:f>
        <x:v/>
      </x:c>
      <x:c r="CB22" s="738"/>
      <x:c r="CC22" s="1551" t="str">
        <x:f t="shared" si="33"/>
        <x:v/>
      </x:c>
      <x:c r="CD22" s="910"/>
      <x:c r="CE22" s="717"/>
      <x:c r="CF22" s="736"/>
      <x:c r="CG22" s="737"/>
      <x:c r="CH22" s="591" t="str">
        <x:f t="shared" si="34"/>
        <x:v/>
      </x:c>
      <x:c r="CI22" s="592" t="str">
        <x:f t="shared" si="35"/>
        <x:v/>
      </x:c>
      <x:c r="CJ22" s="593" t="str">
        <x:f t="shared" si="36"/>
        <x:v/>
      </x:c>
      <x:c r="CK22" s="594" t="str">
        <x:f t="shared" si="37"/>
        <x:v/>
      </x:c>
      <x:c r="CL22" s="595" t="str">
        <x:f t="shared" si="38"/>
        <x:v/>
      </x:c>
      <x:c r="CM22" s="596" t="str">
        <x:f t="shared" si="39"/>
        <x:v/>
      </x:c>
      <x:c r="CN22" s="597" t="str">
        <x:f t="shared" si="40"/>
        <x:v/>
      </x:c>
      <x:c r="CO22" s="598" t="str">
        <x:f t="shared" si="41"/>
        <x:v/>
      </x:c>
      <x:c r="CP22" s="615" t="str">
        <x:f t="shared" si="42"/>
        <x:v/>
      </x:c>
      <x:c r="CQ22" s="616" t="str">
        <x:f t="shared" si="43"/>
        <x:v/>
      </x:c>
      <x:c r="CR22" s="750">
        <x:f t="shared" si="44"/>
        <x:v>5</x:v>
      </x:c>
      <x:c r="CS22" s="751">
        <x:f t="shared" si="45"/>
        <x:v>5</x:v>
      </x:c>
      <x:c r="CU22" s="817" t="str">
        <x:f>IF(BG22="","",VLOOKUP(BG22,SectInfo!$B:$N,12,FALSE))</x:f>
        <x:v/>
      </x:c>
      <x:c r="CV22" s="815" t="str">
        <x:f>IF(BG22="","",IF(ISBLANK(BP22),VLOOKUP(BG22,SectInfo!$B:$N,13,FALSE),BP22))</x:f>
        <x:v/>
      </x:c>
      <x:c r="CW22" s="815" t="str">
        <x:f>IF(BG22="","",IF(VLOOKUP(BG22,SectInfo!$B:$N,5,FALSE)="","R",UPPER(VLOOKUP(BG22,SectInfo!$B:$N,5,FALSE))))</x:f>
        <x:v/>
      </x:c>
      <x:c r="CX22" s="815" t="str">
        <x:f>IF(BG22="","",IF(ISBLANK(BR22),VLOOKUP(BG22,SectInfo!$B:$N,6,FALSE),BR22))</x:f>
        <x:v/>
      </x:c>
      <x:c r="CY22" s="1286" t="str">
        <x:f>IF(BG22="","",IF(VLOOKUP(BG22,SectInfo!$B:$N,10,FALSE)="","",(IF(BO22="X",VLOOKUP(BG22,SectInfo!$B:$N,10,FALSE),VALUE(BO22))*-1)))</x:f>
        <x:v/>
      </x:c>
      <x:c r="CZ22" s="1122" t="str">
        <x:f>IF(BG22="","",IF(VLOOKUP(BG22,SectInfo!$B:$N,11,FALSE)="","2",(VLOOKUP(BG22,SectInfo!$B:$N,11,FALSE))))</x:f>
        <x:v/>
      </x:c>
      <x:c r="DA22" s="815" t="str">
        <x:f>IF(BG22="","",IF(VLOOKUP(BG22,SectInfo!$B:$N,7,FALSE)="","",(VLOOKUP(BG22,SectInfo!$B:$N,7,FALSE)*-1)))</x:f>
        <x:v/>
      </x:c>
      <x:c r="DB22" s="815" t="str">
        <x:f>IF(BG22="","",IF(VLOOKUP(BG22,SectInfo!$B:$N,8,FALSE)="",VLOOKUP(AU22,$DF$2:$DN$9,6,FALSE),(VLOOKUP(BG22,SectInfo!$B:$N,8,FALSE))))</x:f>
        <x:v/>
      </x:c>
      <x:c r="DC22" s="815" t="str">
        <x:f>IF(BG22="","",VLOOKUP(BG22,SectInfo!$B:$N,9,FALSE))</x:f>
        <x:v/>
      </x:c>
      <x:c r="DD22" s="816">
        <x:f t="shared" si="46"/>
        <x:v>0</x:v>
      </x:c>
      <x:c r="DE22" s="817" t="str">
        <x:f>IF(BS22="","",VLOOKUP(BS22,SectInfo!$B:$N,12,FALSE))</x:f>
        <x:v/>
      </x:c>
      <x:c r="DF22" s="815" t="str">
        <x:f>IF(BS22="","",IF(ISBLANK(CB22),VLOOKUP(BS22,SectInfo!$B:$N,13,FALSE),CB22))</x:f>
        <x:v/>
      </x:c>
      <x:c r="DG22" s="815" t="str">
        <x:f>IF(BS22="","",IF(VLOOKUP(BS22,SectInfo!$B:$N,5,FALSE)="","R",UPPER(VLOOKUP(BS22,SectInfo!$B:$N,5,FALSE))))</x:f>
        <x:v/>
      </x:c>
      <x:c r="DH22" s="815" t="str">
        <x:f>IF(BS22="","",IF(ISBLANK(CD22),VLOOKUP(BS22,SectInfo!$B:$N,6,FALSE),CD22))</x:f>
        <x:v/>
      </x:c>
      <x:c r="DI22" s="1286" t="str">
        <x:f>IF(BS22="","",IF(VLOOKUP(BS22,SectInfo!$B:$N,10,FALSE)="","",(IF(CA22="X",VLOOKUP(BS22,SectInfo!$B:$N,10,FALSE),VALUE(CA22))*-1)))</x:f>
        <x:v/>
      </x:c>
      <x:c r="DJ22" s="1122" t="str">
        <x:f>IF(BS22="","",IF(VLOOKUP(BS22,SectInfo!$B:$N,11,FALSE)="","2",(VLOOKUP(BS22,SectInfo!$B:$N,11,FALSE))))</x:f>
        <x:v/>
      </x:c>
      <x:c r="DK22" s="815" t="str">
        <x:f>IF(BS22="","",IF(VLOOKUP(BS22,SectInfo!$B:$N,7,FALSE)="","",(VLOOKUP(BS22,SectInfo!$B:$N,7,FALSE)*-1)))</x:f>
        <x:v/>
      </x:c>
      <x:c r="DL22" s="815" t="str">
        <x:f>IF(BS22="","",IF(VLOOKUP(BS22,SectInfo!$B:$N,8,FALSE)="",VLOOKUP(AU22,$DF$2:$DN$9,6,FALSE),(VLOOKUP(BS22,SectInfo!$B:$N,8,FALSE))))</x:f>
        <x:v/>
      </x:c>
      <x:c r="DM22" s="815" t="str">
        <x:f>IF(BS22="","",VLOOKUP(BS22,SectInfo!$B:$N,9,FALSE))</x:f>
        <x:v/>
      </x:c>
      <x:c r="DN22" s="816">
        <x:f t="shared" si="47"/>
        <x:v>0</x:v>
      </x:c>
      <x:c r="DO22" s="818">
        <x:f t="shared" si="48"/>
        <x:v>0</x:v>
      </x:c>
      <x:c r="DP22" s="822" t="str">
        <x:f t="shared" si="49"/>
        <x:v/>
      </x:c>
      <x:c r="DQ22" s="822" t="str">
        <x:f t="shared" si="50"/>
        <x:v/>
      </x:c>
      <x:c r="DR22" s="822" t="str">
        <x:f t="shared" si="51"/>
        <x:v/>
      </x:c>
      <x:c r="DS22" s="821">
        <x:f t="shared" si="52"/>
        <x:v>0</x:v>
      </x:c>
      <x:c r="DT22" s="821">
        <x:f t="shared" si="53"/>
        <x:v>0</x:v>
      </x:c>
      <x:c r="DU22" s="821" t="str">
        <x:f t="shared" si="54"/>
        <x:v/>
      </x:c>
      <x:c r="DV22" s="822" t="str">
        <x:f t="shared" si="55"/>
        <x:v/>
      </x:c>
      <x:c r="DW22" s="856" t="str">
        <x:f t="shared" si="56"/>
        <x:v/>
      </x:c>
      <x:c r="DX22" s="1006">
        <x:f t="shared" si="57"/>
        <x:v>0</x:v>
      </x:c>
      <x:c r="DY22" s="822">
        <x:f t="shared" si="58"/>
        <x:v>0</x:v>
      </x:c>
      <x:c r="DZ22" s="821">
        <x:f t="shared" si="59"/>
        <x:v>0</x:v>
      </x:c>
      <x:c r="EA22" s="821" t="str">
        <x:f t="shared" si="60"/>
        <x:v/>
      </x:c>
      <x:c r="EB22" s="822" t="str">
        <x:f t="shared" si="61"/>
        <x:v/>
      </x:c>
      <x:c r="EC22" s="856" t="str">
        <x:f t="shared" si="62"/>
        <x:v/>
      </x:c>
      <x:c r="ED22" s="1006">
        <x:f t="shared" si="63"/>
        <x:v>0</x:v>
      </x:c>
      <x:c r="EE22" s="1293" t="str">
        <x:f t="shared" si="64"/>
        <x:v/>
      </x:c>
      <x:c r="EF22" s="1293" t="str">
        <x:f t="shared" si="65"/>
        <x:v/>
      </x:c>
      <x:c r="EG22" s="1293" t="str">
        <x:f t="shared" si="66"/>
        <x:v/>
      </x:c>
      <x:c r="EH22" s="856" t="str">
        <x:f t="shared" si="67"/>
        <x:v>ERR</x:v>
      </x:c>
      <x:c r="EI22" s="856" t="str">
        <x:f t="shared" si="68"/>
        <x:v>ERR</x:v>
      </x:c>
      <x:c r="EJ22" s="822" t="str">
        <x:f t="shared" si="69"/>
        <x:v/>
      </x:c>
      <x:c r="EK22" s="822" t="str">
        <x:f t="shared" si="69"/>
        <x:v/>
      </x:c>
      <x:c r="EL22" s="1293" t="str">
        <x:f t="shared" si="70"/>
        <x:v/>
      </x:c>
      <x:c r="EM22" s="822" t="str">
        <x:f t="shared" si="71"/>
        <x:v/>
      </x:c>
      <x:c r="EN22" s="822" t="str">
        <x:f t="shared" si="72"/>
        <x:v/>
      </x:c>
      <x:c r="EO22" s="856" t="str">
        <x:f t="shared" si="73"/>
        <x:v>ERR</x:v>
      </x:c>
      <x:c r="EP22" s="856" t="str">
        <x:f t="shared" si="74"/>
        <x:v>ERR</x:v>
      </x:c>
      <x:c r="EQ22" s="1293" t="str">
        <x:f t="shared" si="75"/>
        <x:v/>
      </x:c>
      <x:c r="ER22" s="822" t="str">
        <x:f t="shared" si="75"/>
        <x:v/>
      </x:c>
      <x:c r="ES22" s="822" t="str">
        <x:f t="shared" si="76"/>
        <x:v/>
      </x:c>
      <x:c r="ET22" s="822" t="str">
        <x:f t="shared" si="77"/>
        <x:v/>
      </x:c>
      <x:c r="EU22" s="829">
        <x:f t="shared" si="78"/>
        <x:v>4</x:v>
      </x:c>
      <x:c r="EV22" s="824" t="str">
        <x:f t="shared" si="79"/>
        <x:v/>
      </x:c>
      <x:c r="EW22" s="829"/>
      <x:c r="EX22" s="829" t="str">
        <x:f>IF(AND(CU22="G", ISBLANK(BK22), ISBLANK(BL22)),VLOOKUP(MIN(BH22:BI22),TblJoistSize!$M$3:$N$10,2),IF(OR(CU22="B",CU22="G"),MIN(BK22:BL22),""))</x:f>
        <x:v/>
      </x:c>
      <x:c r="EY22" s="829" t="str">
        <x:f>IF(AND(CU22="G", ISBLANK(BK22), ISBLANK(BL22)),VLOOKUP(MAX(BH22:BI22),TblJoistSize!$M$3:$N$10,2),IF(OR(CU22="B",CU22="G"),MAX(BK22:BL22),""))</x:f>
        <x:v/>
      </x:c>
      <x:c r="EZ22" s="829" t="str">
        <x:f t="shared" si="80"/>
        <x:v/>
      </x:c>
      <x:c r="FA22" s="829" t="str">
        <x:f>IF(AND(DE22="G", ISBLANK(BW22), ISBLANK(BX22)),VLOOKUP(MIN(BT22:BU22),TblJoistSize!$M$3:$N$10,2),IF(OR(DE22="B", DE22="G"),MIN(BW22:BX22),""))</x:f>
        <x:v/>
      </x:c>
      <x:c r="FB22" s="829" t="str">
        <x:f>IF(AND(DE22="G", ISBLANK(BW22), ISBLANK(BX22)),VLOOKUP(MAX(BT22:BU22),TblJoistSize!$M$3:$N$10,2),IF(OR(DE22="B", DE22="G"),MAX(BW22:BX22),""))</x:f>
        <x:v/>
      </x:c>
      <x:c r="FC22" s="829" t="str">
        <x:f t="shared" si="81"/>
        <x:v/>
      </x:c>
      <x:c r="FD22" s="821">
        <x:f t="shared" si="107"/>
        <x:v>0</x:v>
      </x:c>
      <x:c r="FE22" s="821">
        <x:f t="shared" si="82"/>
        <x:v>0</x:v>
      </x:c>
      <x:c r="FF22" s="821">
        <x:f t="shared" si="83"/>
        <x:v>0</x:v>
      </x:c>
      <x:c r="FG22" s="821" t="str">
        <x:f t="shared" si="84"/>
        <x:v/>
      </x:c>
      <x:c r="FH22" s="822" t="str">
        <x:f t="shared" si="85"/>
        <x:v/>
      </x:c>
      <x:c r="FI22" s="821">
        <x:f t="shared" si="108"/>
        <x:v>0</x:v>
      </x:c>
      <x:c r="FJ22" s="821">
        <x:f t="shared" si="86"/>
        <x:v>0</x:v>
      </x:c>
      <x:c r="FK22" s="821">
        <x:f t="shared" si="87"/>
        <x:v>0</x:v>
      </x:c>
      <x:c r="FL22" s="821" t="str">
        <x:f t="shared" si="88"/>
        <x:v/>
      </x:c>
      <x:c r="FM22" s="822" t="str">
        <x:f t="shared" si="89"/>
        <x:v/>
      </x:c>
      <x:c r="FN22" s="822" t="e">
        <x:f t="shared" si="90"/>
        <x:v>#VALUE!</x:v>
      </x:c>
      <x:c r="FO22" s="940" t="e">
        <x:f t="shared" si="91"/>
        <x:v>#VALUE!</x:v>
      </x:c>
      <x:c r="FP22" s="940" t="e">
        <x:f t="shared" si="92"/>
        <x:v>#VALUE!</x:v>
      </x:c>
      <x:c r="FQ22" s="830" t="e">
        <x:f t="shared" si="93"/>
        <x:v>#VALUE!</x:v>
      </x:c>
      <x:c r="FR22" s="831" t="e">
        <x:f t="shared" si="94"/>
        <x:v>#VALUE!</x:v>
      </x:c>
      <x:c r="FS22" s="832" t="str">
        <x:f t="shared" si="95"/>
        <x:v/>
      </x:c>
      <x:c r="FT22" s="833" t="str">
        <x:f t="shared" si="96"/>
        <x:v/>
      </x:c>
      <x:c r="FU22" s="870">
        <x:f t="shared" si="97"/>
        <x:v>0</x:v>
      </x:c>
      <x:c r="FV22" s="871">
        <x:f t="shared" si="98"/>
        <x:v>0</x:v>
      </x:c>
      <x:c r="GA22" s="1791">
        <x:v>50</x:v>
      </x:c>
      <x:c r="GB22" s="1792">
        <x:v>0</x:v>
      </x:c>
      <x:c r="GC22" s="1793">
        <x:v>-0.25</x:v>
      </x:c>
      <x:c r="GD22" s="1794">
        <x:v>-0.25</x:v>
      </x:c>
      <x:c r="GE22" s="1795">
        <x:f t="shared" si="99"/>
        <x:v>0</x:v>
      </x:c>
      <x:c r="GF22" s="600" t="str">
        <x:f t="shared" si="100"/>
        <x:v>J23</x:v>
      </x:c>
      <x:c r="GG22" s="1130">
        <x:v>0</x:v>
      </x:c>
      <x:c r="GH22" s="1131">
        <x:v>0</x:v>
      </x:c>
      <x:c r="GI22" s="1130"/>
      <x:c r="GJ22" s="1131"/>
      <x:c r="GK22" s="1638">
        <x:f t="shared" si="101"/>
        <x:v>599.5</x:v>
      </x:c>
      <x:c r="GL22" s="1636">
        <x:f t="shared" si="102"/>
        <x:v>599.5</x:v>
      </x:c>
      <x:c r="GM22" s="1637">
        <x:f>IF(ABS(GK22-GL22)&gt;='Job Info.'!$L$22,ABS(GK22-GL22),0)</x:f>
        <x:v>0</x:v>
      </x:c>
      <x:c r="HA22" s="1269" t="s">
        <x:v>1453</x:v>
      </x:c>
      <x:c r="HB22" s="1270">
        <x:v>2</x:v>
      </x:c>
      <x:c r="HC22" s="1270" t="s">
        <x:v>1592</x:v>
      </x:c>
      <x:c r="HD22" s="1271">
        <x:v>49</x:v>
      </x:c>
      <x:c r="HE22" s="1272">
        <x:v>11.5</x:v>
      </x:c>
      <x:c r="HF22" s="1270" t="s">
        <x:v>116</x:v>
      </x:c>
      <x:c r="HG22" s="1270" t="s">
        <x:v>116</x:v>
      </x:c>
      <x:c r="HH22" s="1270" t="s">
        <x:v>116</x:v>
      </x:c>
      <x:c r="HI22" s="1273" t="s">
        <x:v>116</x:v>
      </x:c>
      <x:c r="HJ22" s="1270" t="s">
        <x:v>116</x:v>
      </x:c>
      <x:c r="HK22" s="1270" t="s">
        <x:v>116</x:v>
      </x:c>
      <x:c r="HL22" s="1270">
        <x:v>5</x:v>
      </x:c>
      <x:c r="HM22" s="1270">
        <x:v>5</x:v>
      </x:c>
      <x:c r="HN22" s="1270" t="s">
        <x:v>116</x:v>
      </x:c>
      <x:c r="HO22" s="1270" t="s">
        <x:v>116</x:v>
      </x:c>
      <x:c r="HP22" s="1270" t="s">
        <x:v>116</x:v>
      </x:c>
      <x:c r="HQ22" s="1273" t="s">
        <x:v>116</x:v>
      </x:c>
      <x:c r="HR22" s="1270" t="s">
        <x:v>116</x:v>
      </x:c>
      <x:c r="HS22" s="1270" t="s">
        <x:v>116</x:v>
      </x:c>
      <x:c r="HT22" s="1270">
        <x:v>0</x:v>
      </x:c>
      <x:c r="HU22" s="1270">
        <x:v>2.25</x:v>
      </x:c>
      <x:c r="HV22" s="1270">
        <x:v>0</x:v>
      </x:c>
      <x:c r="HW22" s="1272">
        <x:v>2.25</x:v>
      </x:c>
      <x:c r="HX22" s="1272">
        <x:v>4</x:v>
      </x:c>
      <x:c r="HY22" s="1272" t="s">
        <x:v>116</x:v>
      </x:c>
      <x:c r="HZ22" s="1272" t="s">
        <x:v>116</x:v>
      </x:c>
      <x:c r="IA22" s="1272" t="s">
        <x:v>1665</x:v>
      </x:c>
      <x:c r="IB22" s="1272"/>
      <x:c r="IC22" s="1272"/>
      <x:c r="ID22" s="1272"/>
      <x:c r="IE22" s="1272"/>
      <x:c r="IF22" s="1274"/>
    </x:row>
    <x:row r="23" spans="1:240" ht="12.6" customHeight="1" x14ac:dyDescent="0.25">
      <x:c r="A23" s="2764" t="s">
        <x:v>1454</x:v>
      </x:c>
      <x:c r="B23" s="2765">
        <x:v>2</x:v>
      </x:c>
      <x:c r="C23" s="2766" t="s">
        <x:v>1592</x:v>
      </x:c>
      <x:c r="D23" s="2767">
        <x:v>49</x:v>
      </x:c>
      <x:c r="E23" s="2768">
        <x:v>11.5</x:v>
      </x:c>
      <x:c r="F23" s="2776" t="str">
        <x:f t="shared" si="1"/>
        <x:v/>
      </x:c>
      <x:c r="G23" s="2771" t="str">
        <x:f t="shared" si="2"/>
        <x:v/>
      </x:c>
      <x:c r="H23" s="2842" t="str">
        <x:f t="shared" si="3"/>
        <x:v/>
      </x:c>
      <x:c r="I23" s="2767" t="str">
        <x:f t="shared" si="4"/>
        <x:v/>
      </x:c>
      <x:c r="J23" s="2771" t="str">
        <x:f t="shared" si="5"/>
        <x:v/>
      </x:c>
      <x:c r="K23" s="2855" t="str">
        <x:f t="shared" si="6"/>
        <x:v/>
      </x:c>
      <x:c r="L23" s="2774">
        <x:v>5</x:v>
      </x:c>
      <x:c r="M23" s="2775">
        <x:v>5</x:v>
      </x:c>
      <x:c r="N23" s="2770" t="str">
        <x:f t="shared" si="103"/>
        <x:v/>
      </x:c>
      <x:c r="O23" s="2771" t="str">
        <x:f t="shared" si="104"/>
        <x:v/>
      </x:c>
      <x:c r="P23" s="2772" t="str">
        <x:f t="shared" si="105"/>
        <x:v/>
      </x:c>
      <x:c r="Q23" s="2767" t="str">
        <x:f t="shared" si="7"/>
        <x:v/>
      </x:c>
      <x:c r="R23" s="2771" t="str">
        <x:f t="shared" si="8"/>
        <x:v/>
      </x:c>
      <x:c r="S23" s="2773" t="str">
        <x:f t="shared" si="9"/>
        <x:v/>
      </x:c>
      <x:c r="T23" s="2776">
        <x:v>0</x:v>
      </x:c>
      <x:c r="U23" s="2771">
        <x:v>2.25</x:v>
      </x:c>
      <x:c r="V23" s="2767">
        <x:v>0</x:v>
      </x:c>
      <x:c r="W23" s="2771">
        <x:v>2.25</x:v>
      </x:c>
      <x:c r="X23" s="2775">
        <x:v>4</x:v>
      </x:c>
      <x:c r="Y23" s="2844" t="str">
        <x:f t="shared" si="10"/>
        <x:v/>
      </x:c>
      <x:c r="Z23" s="2845" t="str">
        <x:f t="shared" si="11"/>
        <x:v/>
      </x:c>
      <x:c r="AA23" s="2846" t="s">
        <x:v>1666</x:v>
      </x:c>
      <x:c r="AB23" s="1413"/>
      <x:c r="AC23" s="964" t="b">
        <x:v>0</x:v>
      </x:c>
      <x:c r="AD23" s="441">
        <x:f t="shared" si="12"/>
        <x:v>0</x:v>
      </x:c>
      <x:c r="AE23" s="442">
        <x:f t="shared" si="13"/>
        <x:v>2</x:v>
      </x:c>
      <x:c r="AF23" s="442">
        <x:f t="shared" si="14"/>
        <x:v>0</x:v>
      </x:c>
      <x:c r="AG23" s="442">
        <x:f t="shared" si="15"/>
        <x:v>0</x:v>
      </x:c>
      <x:c r="AH23" s="443">
        <x:f t="shared" si="16"/>
        <x:v>0</x:v>
      </x:c>
      <x:c r="AI23" s="444" t="b">
        <x:v>0</x:v>
      </x:c>
      <x:c r="AJ23" s="238">
        <x:f t="shared" si="17"/>
        <x:v>32</x:v>
      </x:c>
      <x:c r="AK23" s="830" t="str">
        <x:f t="shared" si="18"/>
        <x:v>LH</x:v>
      </x:c>
      <x:c r="AL23" s="945" t="str">
        <x:f t="shared" si="19"/>
        <x:v/>
      </x:c>
      <x:c r="AM23" s="830">
        <x:f t="shared" si="20"/>
        <x:v>305</x:v>
      </x:c>
      <x:c r="AN23" s="830">
        <x:f t="shared" si="21"/>
        <x:v>180</x:v>
      </x:c>
      <x:c r="AO23" s="830" t="str">
        <x:f t="shared" si="22"/>
        <x:v/>
      </x:c>
      <x:c r="AP23" s="830" t="b">
        <x:f>IF(ISERROR(AJ23),FALSE,IF(OR(AJ23=0,ISERROR(AL23),ISERROR(AM23),ISERROR(AN23),ISERROR(AO23)),FALSE,IF(AL23&lt;&gt;"",IF(ISERROR(VLOOKUP(SUBSTITUTE(SUBSTITUTE(C23,"R",""),"A",""),TblJoistSize!$A:$A,1,FALSE)),FALSE,TRUE),TRUE)))</x:f>
        <x:v>1</x:v>
      </x:c>
      <x:c r="AQ23" s="1038">
        <x:f t="shared" si="23"/>
        <x:v>6</x:v>
      </x:c>
      <x:c r="AR23" s="945" t="b">
        <x:f t="shared" si="24"/>
        <x:v>1</x:v>
      </x:c>
      <x:c r="AS23" s="1038">
        <x:f t="shared" si="25"/>
        <x:v>6</x:v>
      </x:c>
      <x:c r="AT23" s="945" t="b">
        <x:f t="shared" si="26"/>
        <x:v>1</x:v>
      </x:c>
      <x:c r="AU23" s="946" t="str">
        <x:f t="shared" si="27"/>
        <x:v>LH</x:v>
      </x:c>
      <x:c r="AV23" s="830" t="str">
        <x:f t="shared" si="28"/>
        <x:v/>
      </x:c>
      <x:c r="AW23" s="830" t="str">
        <x:f t="shared" si="29"/>
        <x:v>LH</x:v>
      </x:c>
      <x:c r="AX23" s="830" t="str">
        <x:f t="shared" si="106"/>
        <x:v>J24</x:v>
      </x:c>
      <x:c r="AY23" s="1039" t="b">
        <x:f t="shared" si="30"/>
        <x:v>0</x:v>
      </x:c>
      <x:c r="AZ23" s="856" t="b">
        <x:f t="shared" si="31"/>
        <x:v>0</x:v>
      </x:c>
      <x:c r="BA23" s="549"/>
      <x:c r="BB23" s="672"/>
      <x:c r="BC23" s="1684"/>
      <x:c r="BD23" s="733"/>
      <x:c r="BE23" s="734"/>
      <x:c r="BF23" s="735"/>
      <x:c r="BG23" s="672"/>
      <x:c r="BH23" s="982"/>
      <x:c r="BI23" s="983"/>
      <x:c r="BJ23" s="1625"/>
      <x:c r="BK23" s="713"/>
      <x:c r="BL23" s="714"/>
      <x:c r="BM23" s="715"/>
      <x:c r="BN23" s="716"/>
      <x:c r="BO23" s="672" t="str">
        <x:f>IF(ISERROR(CU23),"",IF(CU23="","",IF(VLOOKUP(BG23,SectInfo!$B:$N,10,FALSE)="","","X")))</x:f>
        <x:v/>
      </x:c>
      <x:c r="BP23" s="738"/>
      <x:c r="BQ23" s="1551" t="str">
        <x:f t="shared" si="32"/>
        <x:v/>
      </x:c>
      <x:c r="BR23" s="910"/>
      <x:c r="BS23" s="672"/>
      <x:c r="BT23" s="713"/>
      <x:c r="BU23" s="714"/>
      <x:c r="BV23" s="1625"/>
      <x:c r="BW23" s="713"/>
      <x:c r="BX23" s="714"/>
      <x:c r="BY23" s="715"/>
      <x:c r="BZ23" s="716"/>
      <x:c r="CA23" s="680" t="str">
        <x:f>IF(ISERROR(DE23),"",IF(DE23="","",IF(VLOOKUP(BS23,SectInfo!$B:$N,10,FALSE)="","","X")))</x:f>
        <x:v/>
      </x:c>
      <x:c r="CB23" s="738"/>
      <x:c r="CC23" s="1551" t="str">
        <x:f t="shared" si="33"/>
        <x:v/>
      </x:c>
      <x:c r="CD23" s="910"/>
      <x:c r="CE23" s="717"/>
      <x:c r="CF23" s="736"/>
      <x:c r="CG23" s="737"/>
      <x:c r="CH23" s="591" t="str">
        <x:f t="shared" si="34"/>
        <x:v/>
      </x:c>
      <x:c r="CI23" s="592" t="str">
        <x:f t="shared" si="35"/>
        <x:v/>
      </x:c>
      <x:c r="CJ23" s="593" t="str">
        <x:f t="shared" si="36"/>
        <x:v/>
      </x:c>
      <x:c r="CK23" s="594" t="str">
        <x:f t="shared" si="37"/>
        <x:v/>
      </x:c>
      <x:c r="CL23" s="595" t="str">
        <x:f t="shared" si="38"/>
        <x:v/>
      </x:c>
      <x:c r="CM23" s="596" t="str">
        <x:f t="shared" si="39"/>
        <x:v/>
      </x:c>
      <x:c r="CN23" s="597" t="str">
        <x:f t="shared" si="40"/>
        <x:v/>
      </x:c>
      <x:c r="CO23" s="598" t="str">
        <x:f t="shared" si="41"/>
        <x:v/>
      </x:c>
      <x:c r="CP23" s="615" t="str">
        <x:f t="shared" si="42"/>
        <x:v/>
      </x:c>
      <x:c r="CQ23" s="616" t="str">
        <x:f t="shared" si="43"/>
        <x:v/>
      </x:c>
      <x:c r="CR23" s="750">
        <x:f t="shared" si="44"/>
        <x:v>5</x:v>
      </x:c>
      <x:c r="CS23" s="751">
        <x:f t="shared" si="45"/>
        <x:v>5</x:v>
      </x:c>
      <x:c r="CU23" s="817" t="str">
        <x:f>IF(BG23="","",VLOOKUP(BG23,SectInfo!$B:$N,12,FALSE))</x:f>
        <x:v/>
      </x:c>
      <x:c r="CV23" s="815" t="str">
        <x:f>IF(BG23="","",IF(ISBLANK(BP23),VLOOKUP(BG23,SectInfo!$B:$N,13,FALSE),BP23))</x:f>
        <x:v/>
      </x:c>
      <x:c r="CW23" s="8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8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si="46"/>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si="47"/>
        <x:v>0</x:v>
      </x:c>
      <x:c r="DO23" s="818">
        <x:f t="shared" si="48"/>
        <x:v>0</x:v>
      </x:c>
      <x:c r="DP23" s="822" t="str">
        <x:f t="shared" si="49"/>
        <x:v/>
      </x:c>
      <x:c r="DQ23" s="822" t="str">
        <x:f t="shared" si="50"/>
        <x:v/>
      </x:c>
      <x:c r="DR23" s="822" t="str">
        <x:f t="shared" si="51"/>
        <x:v/>
      </x:c>
      <x:c r="DS23" s="821">
        <x:f t="shared" si="52"/>
        <x:v>0</x:v>
      </x:c>
      <x:c r="DT23" s="821">
        <x:f t="shared" si="53"/>
        <x:v>0</x:v>
      </x:c>
      <x:c r="DU23" s="821" t="str">
        <x:f t="shared" si="54"/>
        <x:v/>
      </x:c>
      <x:c r="DV23" s="822" t="str">
        <x:f t="shared" si="55"/>
        <x:v/>
      </x:c>
      <x:c r="DW23" s="856" t="str">
        <x:f t="shared" si="56"/>
        <x:v/>
      </x:c>
      <x:c r="DX23" s="1006">
        <x:f t="shared" si="57"/>
        <x:v>0</x:v>
      </x:c>
      <x:c r="DY23" s="822">
        <x:f t="shared" si="58"/>
        <x:v>0</x:v>
      </x:c>
      <x:c r="DZ23" s="821">
        <x:f t="shared" si="59"/>
        <x:v>0</x:v>
      </x:c>
      <x:c r="EA23" s="821" t="str">
        <x:f t="shared" si="60"/>
        <x:v/>
      </x:c>
      <x:c r="EB23" s="822" t="str">
        <x:f t="shared" si="61"/>
        <x:v/>
      </x:c>
      <x:c r="EC23" s="856" t="str">
        <x:f t="shared" si="62"/>
        <x:v/>
      </x:c>
      <x:c r="ED23" s="1006">
        <x:f t="shared" si="63"/>
        <x:v>0</x:v>
      </x:c>
      <x:c r="EE23" s="1293" t="str">
        <x:f t="shared" si="64"/>
        <x:v/>
      </x:c>
      <x:c r="EF23" s="1293" t="str">
        <x:f t="shared" si="65"/>
        <x:v/>
      </x:c>
      <x:c r="EG23" s="1293" t="str">
        <x:f t="shared" si="66"/>
        <x:v/>
      </x:c>
      <x:c r="EH23" s="856" t="str">
        <x:f t="shared" si="67"/>
        <x:v>ERR</x:v>
      </x:c>
      <x:c r="EI23" s="856" t="str">
        <x:f t="shared" si="68"/>
        <x:v>ERR</x:v>
      </x:c>
      <x:c r="EJ23" s="822" t="str">
        <x:f t="shared" si="69"/>
        <x:v/>
      </x:c>
      <x:c r="EK23" s="822" t="str">
        <x:f t="shared" si="69"/>
        <x:v/>
      </x:c>
      <x:c r="EL23" s="1293" t="str">
        <x:f t="shared" si="70"/>
        <x:v/>
      </x:c>
      <x:c r="EM23" s="822" t="str">
        <x:f t="shared" si="71"/>
        <x:v/>
      </x:c>
      <x:c r="EN23" s="822" t="str">
        <x:f t="shared" si="72"/>
        <x:v/>
      </x:c>
      <x:c r="EO23" s="856" t="str">
        <x:f t="shared" si="73"/>
        <x:v>ERR</x:v>
      </x:c>
      <x:c r="EP23" s="856" t="str">
        <x:f t="shared" si="74"/>
        <x:v>ERR</x:v>
      </x:c>
      <x:c r="EQ23" s="1293" t="str">
        <x:f t="shared" si="75"/>
        <x:v/>
      </x:c>
      <x:c r="ER23" s="822" t="str">
        <x:f t="shared" si="75"/>
        <x:v/>
      </x:c>
      <x:c r="ES23" s="822" t="str">
        <x:f t="shared" si="76"/>
        <x:v/>
      </x:c>
      <x:c r="ET23" s="822" t="str">
        <x:f t="shared" si="77"/>
        <x:v/>
      </x:c>
      <x:c r="EU23" s="829">
        <x:f t="shared" si="78"/>
        <x:v>4</x:v>
      </x:c>
      <x:c r="EV23" s="824" t="str">
        <x:f t="shared" si="79"/>
        <x:v/>
      </x:c>
      <x:c r="EW23" s="829"/>
      <x:c r="EX23" s="829" t="str">
        <x:f>IF(AND(CU23="G", ISBLANK(BK23), ISBLANK(BL23)),VLOOKUP(MIN(BH23:BI23),TblJoistSize!$M$3:$N$10,2),IF(OR(CU23="B",CU23="G"),MIN(BK23:BL23),""))</x:f>
        <x:v/>
      </x:c>
      <x:c r="EY23" s="829" t="str">
        <x:f>IF(AND(CU23="G", ISBLANK(BK23), ISBLANK(BL23)),VLOOKUP(MAX(BH23:BI23),TblJoistSize!$M$3:$N$10,2),IF(OR(CU23="B",CU23="G"),MAX(BK23:BL23),""))</x:f>
        <x:v/>
      </x:c>
      <x:c r="EZ23" s="829" t="str">
        <x:f t="shared" si="80"/>
        <x:v/>
      </x:c>
      <x:c r="FA23" s="829" t="str">
        <x:f>IF(AND(DE23="G", ISBLANK(BW23), ISBLANK(BX23)),VLOOKUP(MIN(BT23:BU23),TblJoistSize!$M$3:$N$10,2),IF(OR(DE23="B", DE23="G"),MIN(BW23:BX23),""))</x:f>
        <x:v/>
      </x:c>
      <x:c r="FB23" s="829" t="str">
        <x:f>IF(AND(DE23="G", ISBLANK(BW23), ISBLANK(BX23)),VLOOKUP(MAX(BT23:BU23),TblJoistSize!$M$3:$N$10,2),IF(OR(DE23="B", DE23="G"),MAX(BW23:BX23),""))</x:f>
        <x:v/>
      </x:c>
      <x:c r="FC23" s="829" t="str">
        <x:f t="shared" si="81"/>
        <x:v/>
      </x:c>
      <x:c r="FD23" s="821">
        <x:f t="shared" si="107"/>
        <x:v>0</x:v>
      </x:c>
      <x:c r="FE23" s="821">
        <x:f t="shared" si="82"/>
        <x:v>0</x:v>
      </x:c>
      <x:c r="FF23" s="821">
        <x:f t="shared" si="83"/>
        <x:v>0</x:v>
      </x:c>
      <x:c r="FG23" s="821" t="str">
        <x:f t="shared" si="84"/>
        <x:v/>
      </x:c>
      <x:c r="FH23" s="822" t="str">
        <x:f t="shared" si="85"/>
        <x:v/>
      </x:c>
      <x:c r="FI23" s="821">
        <x:f t="shared" si="108"/>
        <x:v>0</x:v>
      </x:c>
      <x:c r="FJ23" s="821">
        <x:f t="shared" si="86"/>
        <x:v>0</x:v>
      </x:c>
      <x:c r="FK23" s="821">
        <x:f t="shared" si="87"/>
        <x:v>0</x:v>
      </x:c>
      <x:c r="FL23" s="821" t="str">
        <x:f t="shared" si="88"/>
        <x:v/>
      </x:c>
      <x:c r="FM23" s="822" t="str">
        <x:f t="shared" si="89"/>
        <x:v/>
      </x:c>
      <x:c r="FN23" s="822" t="e">
        <x:f t="shared" si="90"/>
        <x:v>#VALUE!</x:v>
      </x:c>
      <x:c r="FO23" s="940" t="e">
        <x:f t="shared" si="91"/>
        <x:v>#VALUE!</x:v>
      </x:c>
      <x:c r="FP23" s="940" t="e">
        <x:f t="shared" si="92"/>
        <x:v>#VALUE!</x:v>
      </x:c>
      <x:c r="FQ23" s="830" t="e">
        <x:f t="shared" si="93"/>
        <x:v>#VALUE!</x:v>
      </x:c>
      <x:c r="FR23" s="831" t="e">
        <x:f t="shared" si="94"/>
        <x:v>#VALUE!</x:v>
      </x:c>
      <x:c r="FS23" s="832" t="str">
        <x:f t="shared" si="95"/>
        <x:v/>
      </x:c>
      <x:c r="FT23" s="833" t="str">
        <x:f t="shared" si="96"/>
        <x:v/>
      </x:c>
      <x:c r="FU23" s="870">
        <x:f t="shared" si="97"/>
        <x:v>0</x:v>
      </x:c>
      <x:c r="FV23" s="871">
        <x:f t="shared" si="98"/>
        <x:v>0</x:v>
      </x:c>
      <x:c r="GA23" s="1791">
        <x:v>50</x:v>
      </x:c>
      <x:c r="GB23" s="1792">
        <x:v>0</x:v>
      </x:c>
      <x:c r="GC23" s="1793">
        <x:v>-0.25</x:v>
      </x:c>
      <x:c r="GD23" s="1794">
        <x:v>-0.25</x:v>
      </x:c>
      <x:c r="GE23" s="1795">
        <x:f t="shared" si="99"/>
        <x:v>0</x:v>
      </x:c>
      <x:c r="GF23" s="600" t="str">
        <x:f t="shared" si="100"/>
        <x:v>J24</x:v>
      </x:c>
      <x:c r="GG23" s="1130">
        <x:v>0</x:v>
      </x:c>
      <x:c r="GH23" s="1131">
        <x:v>0</x:v>
      </x:c>
      <x:c r="GI23" s="1130"/>
      <x:c r="GJ23" s="1131"/>
      <x:c r="GK23" s="1638">
        <x:f t="shared" si="101"/>
        <x:v>599.5</x:v>
      </x:c>
      <x:c r="GL23" s="1636">
        <x:f t="shared" si="102"/>
        <x:v>599.5</x:v>
      </x:c>
      <x:c r="GM23" s="1637">
        <x:f>IF(ABS(GK23-GL23)&gt;='Job Info.'!$L$22,ABS(GK23-GL23),0)</x:f>
        <x:v>0</x:v>
      </x:c>
      <x:c r="HA23" s="1269" t="s">
        <x:v>1454</x:v>
      </x:c>
      <x:c r="HB23" s="1270">
        <x:v>2</x:v>
      </x:c>
      <x:c r="HC23" s="1270" t="s">
        <x:v>1592</x:v>
      </x:c>
      <x:c r="HD23" s="1271">
        <x:v>49</x:v>
      </x:c>
      <x:c r="HE23" s="1272">
        <x:v>11.5</x:v>
      </x:c>
      <x:c r="HF23" s="1270" t="s">
        <x:v>116</x:v>
      </x:c>
      <x:c r="HG23" s="1270" t="s">
        <x:v>116</x:v>
      </x:c>
      <x:c r="HH23" s="1270" t="s">
        <x:v>116</x:v>
      </x:c>
      <x:c r="HI23" s="1273" t="s">
        <x:v>116</x:v>
      </x:c>
      <x:c r="HJ23" s="1270" t="s">
        <x:v>116</x:v>
      </x:c>
      <x:c r="HK23" s="1270" t="s">
        <x:v>116</x:v>
      </x:c>
      <x:c r="HL23" s="1270">
        <x:v>5</x:v>
      </x:c>
      <x:c r="HM23" s="1270">
        <x:v>5</x:v>
      </x:c>
      <x:c r="HN23" s="1270" t="s">
        <x:v>116</x:v>
      </x:c>
      <x:c r="HO23" s="1270" t="s">
        <x:v>116</x:v>
      </x:c>
      <x:c r="HP23" s="1270" t="s">
        <x:v>116</x:v>
      </x:c>
      <x:c r="HQ23" s="1273" t="s">
        <x:v>116</x:v>
      </x:c>
      <x:c r="HR23" s="1270" t="s">
        <x:v>116</x:v>
      </x:c>
      <x:c r="HS23" s="1270" t="s">
        <x:v>116</x:v>
      </x:c>
      <x:c r="HT23" s="1270">
        <x:v>0</x:v>
      </x:c>
      <x:c r="HU23" s="1270">
        <x:v>2.25</x:v>
      </x:c>
      <x:c r="HV23" s="1270">
        <x:v>0</x:v>
      </x:c>
      <x:c r="HW23" s="1272">
        <x:v>2.25</x:v>
      </x:c>
      <x:c r="HX23" s="1272">
        <x:v>4</x:v>
      </x:c>
      <x:c r="HY23" s="1272" t="s">
        <x:v>116</x:v>
      </x:c>
      <x:c r="HZ23" s="1272" t="s">
        <x:v>116</x:v>
      </x:c>
      <x:c r="IA23" s="1272" t="s">
        <x:v>1666</x:v>
      </x:c>
      <x:c r="IB23" s="1272"/>
      <x:c r="IC23" s="1272"/>
      <x:c r="ID23" s="1272"/>
      <x:c r="IE23" s="1272"/>
      <x:c r="IF23" s="1274"/>
    </x:row>
    <x:row r="24" spans="1:240" ht="12.6" customHeight="1" x14ac:dyDescent="0.25">
      <x:c r="A24" s="2764" t="s">
        <x:v>1455</x:v>
      </x:c>
      <x:c r="B24" s="2765">
        <x:v>136</x:v>
      </x:c>
      <x:c r="C24" s="2766" t="s">
        <x:v>1592</x:v>
      </x:c>
      <x:c r="D24" s="2767">
        <x:v>49</x:v>
      </x:c>
      <x:c r="E24" s="2768">
        <x:v>11.5</x:v>
      </x:c>
      <x:c r="F24" s="2776" t="str">
        <x:f t="shared" si="1"/>
        <x:v/>
      </x:c>
      <x:c r="G24" s="2771" t="str">
        <x:f t="shared" si="2"/>
        <x:v/>
      </x:c>
      <x:c r="H24" s="2842" t="str">
        <x:f t="shared" si="3"/>
        <x:v/>
      </x:c>
      <x:c r="I24" s="2767" t="str">
        <x:f t="shared" si="4"/>
        <x:v/>
      </x:c>
      <x:c r="J24" s="2771" t="str">
        <x:f t="shared" si="5"/>
        <x:v/>
      </x:c>
      <x:c r="K24" s="2855" t="str">
        <x:f t="shared" si="6"/>
        <x:v/>
      </x:c>
      <x:c r="L24" s="2774">
        <x:v>5</x:v>
      </x:c>
      <x:c r="M24" s="2775">
        <x:v>5</x:v>
      </x:c>
      <x:c r="N24" s="2770" t="str">
        <x:f t="shared" si="103"/>
        <x:v/>
      </x:c>
      <x:c r="O24" s="2771" t="str">
        <x:f t="shared" si="104"/>
        <x:v/>
      </x:c>
      <x:c r="P24" s="2772" t="str">
        <x:f t="shared" si="105"/>
        <x:v/>
      </x:c>
      <x:c r="Q24" s="2767" t="str">
        <x:f t="shared" si="7"/>
        <x:v/>
      </x:c>
      <x:c r="R24" s="2771" t="str">
        <x:f t="shared" si="8"/>
        <x:v/>
      </x:c>
      <x:c r="S24" s="2773" t="str">
        <x:f t="shared" si="9"/>
        <x:v/>
      </x:c>
      <x:c r="T24" s="2776">
        <x:v>0</x:v>
      </x:c>
      <x:c r="U24" s="2771">
        <x:v>2.25</x:v>
      </x:c>
      <x:c r="V24" s="2767">
        <x:v>0</x:v>
      </x:c>
      <x:c r="W24" s="2771">
        <x:v>2.25</x:v>
      </x:c>
      <x:c r="X24" s="2775">
        <x:v>4</x:v>
      </x:c>
      <x:c r="Y24" s="2844" t="str">
        <x:f t="shared" si="10"/>
        <x:v/>
      </x:c>
      <x:c r="Z24" s="2845" t="str">
        <x:f t="shared" si="11"/>
        <x:v/>
      </x:c>
      <x:c r="AA24" s="2846" t="s">
        <x:v>1667</x:v>
      </x:c>
      <x:c r="AB24" s="1413"/>
      <x:c r="AC24" s="964" t="b">
        <x:v>0</x:v>
      </x:c>
      <x:c r="AD24" s="441">
        <x:f t="shared" si="12"/>
        <x:v>0</x:v>
      </x:c>
      <x:c r="AE24" s="442">
        <x:f t="shared" si="13"/>
        <x:v>136</x:v>
      </x:c>
      <x:c r="AF24" s="442">
        <x:f t="shared" si="14"/>
        <x:v>0</x:v>
      </x:c>
      <x:c r="AG24" s="442">
        <x:f t="shared" si="15"/>
        <x:v>0</x:v>
      </x:c>
      <x:c r="AH24" s="443">
        <x:f t="shared" si="16"/>
        <x:v>0</x:v>
      </x:c>
      <x:c r="AI24" s="444" t="b">
        <x:v>0</x:v>
      </x:c>
      <x:c r="AJ24" s="238">
        <x:f t="shared" si="17"/>
        <x:v>32</x:v>
      </x:c>
      <x:c r="AK24" s="830" t="str">
        <x:f t="shared" si="18"/>
        <x:v>LH</x:v>
      </x:c>
      <x:c r="AL24" s="945" t="str">
        <x:f t="shared" si="19"/>
        <x:v/>
      </x:c>
      <x:c r="AM24" s="830">
        <x:f t="shared" si="20"/>
        <x:v>305</x:v>
      </x:c>
      <x:c r="AN24" s="830">
        <x:f t="shared" si="21"/>
        <x:v>180</x:v>
      </x:c>
      <x:c r="AO24" s="830" t="str">
        <x:f t="shared" si="22"/>
        <x:v/>
      </x:c>
      <x:c r="AP24" s="830" t="b">
        <x:f>IF(ISERROR(AJ24),FALSE,IF(OR(AJ24=0,ISERROR(AL24),ISERROR(AM24),ISERROR(AN24),ISERROR(AO24)),FALSE,IF(AL24&lt;&gt;"",IF(ISERROR(VLOOKUP(SUBSTITUTE(SUBSTITUTE(C24,"R",""),"A",""),TblJoistSize!$A:$A,1,FALSE)),FALSE,TRUE),TRUE)))</x:f>
        <x:v>1</x:v>
      </x:c>
      <x:c r="AQ24" s="1038">
        <x:f t="shared" si="23"/>
        <x:v>6</x:v>
      </x:c>
      <x:c r="AR24" s="945" t="b">
        <x:f t="shared" si="24"/>
        <x:v>1</x:v>
      </x:c>
      <x:c r="AS24" s="1038">
        <x:f t="shared" si="25"/>
        <x:v>6</x:v>
      </x:c>
      <x:c r="AT24" s="945" t="b">
        <x:f t="shared" si="26"/>
        <x:v>1</x:v>
      </x:c>
      <x:c r="AU24" s="946" t="str">
        <x:f t="shared" si="27"/>
        <x:v>LH</x:v>
      </x:c>
      <x:c r="AV24" s="830" t="str">
        <x:f t="shared" si="28"/>
        <x:v/>
      </x:c>
      <x:c r="AW24" s="830" t="str">
        <x:f t="shared" si="29"/>
        <x:v>LH</x:v>
      </x:c>
      <x:c r="AX24" s="830" t="str">
        <x:f t="shared" si="106"/>
        <x:v>J25</x:v>
      </x:c>
      <x:c r="AY24" s="1039" t="b">
        <x:f t="shared" si="30"/>
        <x:v>0</x:v>
      </x:c>
      <x:c r="AZ24" s="856" t="b">
        <x:f t="shared" si="31"/>
        <x:v>0</x:v>
      </x:c>
      <x:c r="BA24" s="549"/>
      <x:c r="BB24" s="672"/>
      <x:c r="BC24" s="1684"/>
      <x:c r="BD24" s="733"/>
      <x:c r="BE24" s="734"/>
      <x:c r="BF24" s="735"/>
      <x:c r="BG24" s="672"/>
      <x:c r="BH24" s="982"/>
      <x:c r="BI24" s="983"/>
      <x:c r="BJ24" s="1625"/>
      <x:c r="BK24" s="713"/>
      <x:c r="BL24" s="714"/>
      <x:c r="BM24" s="715"/>
      <x:c r="BN24" s="716"/>
      <x:c r="BO24" s="672" t="str">
        <x:f>IF(ISERROR(CU24),"",IF(CU24="","",IF(VLOOKUP(BG24,SectInfo!$B:$N,10,FALSE)="","","X")))</x:f>
        <x:v/>
      </x:c>
      <x:c r="BP24" s="738"/>
      <x:c r="BQ24" s="1551" t="str">
        <x:f t="shared" si="32"/>
        <x:v/>
      </x:c>
      <x:c r="BR24" s="910"/>
      <x:c r="BS24" s="672"/>
      <x:c r="BT24" s="713"/>
      <x:c r="BU24" s="714"/>
      <x:c r="BV24" s="1625"/>
      <x:c r="BW24" s="713"/>
      <x:c r="BX24" s="714"/>
      <x:c r="BY24" s="715"/>
      <x:c r="BZ24" s="716"/>
      <x:c r="CA24" s="680" t="str">
        <x:f>IF(ISERROR(DE24),"",IF(DE24="","",IF(VLOOKUP(BS24,SectInfo!$B:$N,10,FALSE)="","","X")))</x:f>
        <x:v/>
      </x:c>
      <x:c r="CB24" s="738"/>
      <x:c r="CC24" s="1551" t="str">
        <x:f t="shared" si="33"/>
        <x:v/>
      </x:c>
      <x:c r="CD24" s="910"/>
      <x:c r="CE24" s="717"/>
      <x:c r="CF24" s="736"/>
      <x:c r="CG24" s="737"/>
      <x:c r="CH24" s="591" t="str">
        <x:f t="shared" si="34"/>
        <x:v/>
      </x:c>
      <x:c r="CI24" s="592" t="str">
        <x:f t="shared" si="35"/>
        <x:v/>
      </x:c>
      <x:c r="CJ24" s="593" t="str">
        <x:f t="shared" si="36"/>
        <x:v/>
      </x:c>
      <x:c r="CK24" s="594" t="str">
        <x:f t="shared" si="37"/>
        <x:v/>
      </x:c>
      <x:c r="CL24" s="595" t="str">
        <x:f t="shared" si="38"/>
        <x:v/>
      </x:c>
      <x:c r="CM24" s="596" t="str">
        <x:f t="shared" si="39"/>
        <x:v/>
      </x:c>
      <x:c r="CN24" s="597" t="str">
        <x:f t="shared" si="40"/>
        <x:v/>
      </x:c>
      <x:c r="CO24" s="598" t="str">
        <x:f t="shared" si="41"/>
        <x:v/>
      </x:c>
      <x:c r="CP24" s="615" t="str">
        <x:f t="shared" si="42"/>
        <x:v/>
      </x:c>
      <x:c r="CQ24" s="616" t="str">
        <x:f t="shared" si="43"/>
        <x:v/>
      </x:c>
      <x:c r="CR24" s="750">
        <x:f t="shared" si="44"/>
        <x:v>5</x:v>
      </x:c>
      <x:c r="CS24" s="751">
        <x:f t="shared" si="45"/>
        <x:v>5</x:v>
      </x:c>
      <x:c r="CU24" s="817" t="str">
        <x:f>IF(BG24="","",VLOOKUP(BG24,SectInfo!$B:$N,12,FALSE))</x:f>
        <x:v/>
      </x:c>
      <x:c r="CV24" s="815" t="str">
        <x:f>IF(BG24="","",IF(ISBLANK(BP24),VLOOKUP(BG24,SectInfo!$B:$N,13,FALSE),BP24))</x:f>
        <x:v/>
      </x:c>
      <x:c r="CW24" s="8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8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46"/>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47"/>
        <x:v>0</x:v>
      </x:c>
      <x:c r="DO24" s="818">
        <x:f t="shared" si="48"/>
        <x:v>0</x:v>
      </x:c>
      <x:c r="DP24" s="822" t="str">
        <x:f t="shared" si="49"/>
        <x:v/>
      </x:c>
      <x:c r="DQ24" s="822" t="str">
        <x:f t="shared" si="50"/>
        <x:v/>
      </x:c>
      <x:c r="DR24" s="822" t="str">
        <x:f t="shared" si="51"/>
        <x:v/>
      </x:c>
      <x:c r="DS24" s="821">
        <x:f t="shared" si="52"/>
        <x:v>0</x:v>
      </x:c>
      <x:c r="DT24" s="821">
        <x:f t="shared" si="53"/>
        <x:v>0</x:v>
      </x:c>
      <x:c r="DU24" s="821" t="str">
        <x:f t="shared" si="54"/>
        <x:v/>
      </x:c>
      <x:c r="DV24" s="822" t="str">
        <x:f t="shared" si="55"/>
        <x:v/>
      </x:c>
      <x:c r="DW24" s="856" t="str">
        <x:f t="shared" si="56"/>
        <x:v/>
      </x:c>
      <x:c r="DX24" s="1006">
        <x:f t="shared" si="57"/>
        <x:v>0</x:v>
      </x:c>
      <x:c r="DY24" s="822">
        <x:f t="shared" si="58"/>
        <x:v>0</x:v>
      </x:c>
      <x:c r="DZ24" s="821">
        <x:f t="shared" si="59"/>
        <x:v>0</x:v>
      </x:c>
      <x:c r="EA24" s="821" t="str">
        <x:f t="shared" si="60"/>
        <x:v/>
      </x:c>
      <x:c r="EB24" s="822" t="str">
        <x:f t="shared" si="61"/>
        <x:v/>
      </x:c>
      <x:c r="EC24" s="856" t="str">
        <x:f t="shared" si="62"/>
        <x:v/>
      </x:c>
      <x:c r="ED24" s="1006">
        <x:f t="shared" si="63"/>
        <x:v>0</x:v>
      </x:c>
      <x:c r="EE24" s="1293" t="str">
        <x:f t="shared" si="64"/>
        <x:v/>
      </x:c>
      <x:c r="EF24" s="1293" t="str">
        <x:f t="shared" si="65"/>
        <x:v/>
      </x:c>
      <x:c r="EG24" s="1293" t="str">
        <x:f t="shared" si="66"/>
        <x:v/>
      </x:c>
      <x:c r="EH24" s="856" t="str">
        <x:f t="shared" si="67"/>
        <x:v>ERR</x:v>
      </x:c>
      <x:c r="EI24" s="856" t="str">
        <x:f t="shared" si="68"/>
        <x:v>ERR</x:v>
      </x:c>
      <x:c r="EJ24" s="822" t="str">
        <x:f t="shared" si="69"/>
        <x:v/>
      </x:c>
      <x:c r="EK24" s="822" t="str">
        <x:f t="shared" si="69"/>
        <x:v/>
      </x:c>
      <x:c r="EL24" s="1293" t="str">
        <x:f t="shared" si="70"/>
        <x:v/>
      </x:c>
      <x:c r="EM24" s="822" t="str">
        <x:f t="shared" si="71"/>
        <x:v/>
      </x:c>
      <x:c r="EN24" s="822" t="str">
        <x:f t="shared" si="72"/>
        <x:v/>
      </x:c>
      <x:c r="EO24" s="856" t="str">
        <x:f t="shared" si="73"/>
        <x:v>ERR</x:v>
      </x:c>
      <x:c r="EP24" s="856" t="str">
        <x:f t="shared" si="74"/>
        <x:v>ERR</x:v>
      </x:c>
      <x:c r="EQ24" s="1293" t="str">
        <x:f t="shared" si="75"/>
        <x:v/>
      </x:c>
      <x:c r="ER24" s="822" t="str">
        <x:f t="shared" si="75"/>
        <x:v/>
      </x:c>
      <x:c r="ES24" s="822" t="str">
        <x:f t="shared" si="76"/>
        <x:v/>
      </x:c>
      <x:c r="ET24" s="822" t="str">
        <x:f t="shared" si="77"/>
        <x:v/>
      </x:c>
      <x:c r="EU24" s="829">
        <x:f t="shared" si="78"/>
        <x:v>4</x:v>
      </x:c>
      <x:c r="EV24" s="824" t="str">
        <x:f t="shared" si="79"/>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80"/>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81"/>
        <x:v/>
      </x:c>
      <x:c r="FD24" s="821">
        <x:f t="shared" si="107"/>
        <x:v>0</x:v>
      </x:c>
      <x:c r="FE24" s="821">
        <x:f t="shared" si="82"/>
        <x:v>0</x:v>
      </x:c>
      <x:c r="FF24" s="821">
        <x:f t="shared" si="83"/>
        <x:v>0</x:v>
      </x:c>
      <x:c r="FG24" s="821" t="str">
        <x:f t="shared" si="84"/>
        <x:v/>
      </x:c>
      <x:c r="FH24" s="822" t="str">
        <x:f t="shared" si="85"/>
        <x:v/>
      </x:c>
      <x:c r="FI24" s="821">
        <x:f t="shared" si="108"/>
        <x:v>0</x:v>
      </x:c>
      <x:c r="FJ24" s="821">
        <x:f t="shared" si="86"/>
        <x:v>0</x:v>
      </x:c>
      <x:c r="FK24" s="821">
        <x:f t="shared" si="87"/>
        <x:v>0</x:v>
      </x:c>
      <x:c r="FL24" s="821" t="str">
        <x:f t="shared" si="88"/>
        <x:v/>
      </x:c>
      <x:c r="FM24" s="822" t="str">
        <x:f t="shared" si="89"/>
        <x:v/>
      </x:c>
      <x:c r="FN24" s="822" t="e">
        <x:f t="shared" si="90"/>
        <x:v>#VALUE!</x:v>
      </x:c>
      <x:c r="FO24" s="940" t="e">
        <x:f t="shared" si="91"/>
        <x:v>#VALUE!</x:v>
      </x:c>
      <x:c r="FP24" s="940" t="e">
        <x:f t="shared" si="92"/>
        <x:v>#VALUE!</x:v>
      </x:c>
      <x:c r="FQ24" s="830" t="e">
        <x:f t="shared" si="93"/>
        <x:v>#VALUE!</x:v>
      </x:c>
      <x:c r="FR24" s="831" t="e">
        <x:f t="shared" si="94"/>
        <x:v>#VALUE!</x:v>
      </x:c>
      <x:c r="FS24" s="832" t="str">
        <x:f t="shared" si="95"/>
        <x:v/>
      </x:c>
      <x:c r="FT24" s="833" t="str">
        <x:f t="shared" si="96"/>
        <x:v/>
      </x:c>
      <x:c r="FU24" s="870">
        <x:f t="shared" si="97"/>
        <x:v>0</x:v>
      </x:c>
      <x:c r="FV24" s="871">
        <x:f t="shared" si="98"/>
        <x:v>0</x:v>
      </x:c>
      <x:c r="GA24" s="1791">
        <x:v>50</x:v>
      </x:c>
      <x:c r="GB24" s="1792">
        <x:v>0</x:v>
      </x:c>
      <x:c r="GC24" s="1793">
        <x:v>-0.25</x:v>
      </x:c>
      <x:c r="GD24" s="1794">
        <x:v>-0.25</x:v>
      </x:c>
      <x:c r="GE24" s="1795">
        <x:f t="shared" si="99"/>
        <x:v>0</x:v>
      </x:c>
      <x:c r="GF24" s="600" t="str">
        <x:f t="shared" si="100"/>
        <x:v>J25</x:v>
      </x:c>
      <x:c r="GG24" s="1130">
        <x:v>0</x:v>
      </x:c>
      <x:c r="GH24" s="1131">
        <x:v>0</x:v>
      </x:c>
      <x:c r="GI24" s="1130"/>
      <x:c r="GJ24" s="1131"/>
      <x:c r="GK24" s="1638">
        <x:f t="shared" si="101"/>
        <x:v>599.5</x:v>
      </x:c>
      <x:c r="GL24" s="1636">
        <x:f t="shared" si="102"/>
        <x:v>599.5</x:v>
      </x:c>
      <x:c r="GM24" s="1637">
        <x:f>IF(ABS(GK24-GL24)&gt;='Job Info.'!$L$22,ABS(GK24-GL24),0)</x:f>
        <x:v>0</x:v>
      </x:c>
      <x:c r="HA24" s="1269" t="s">
        <x:v>1455</x:v>
      </x:c>
      <x:c r="HB24" s="1270">
        <x:v>136</x:v>
      </x:c>
      <x:c r="HC24" s="1270" t="s">
        <x:v>1592</x:v>
      </x:c>
      <x:c r="HD24" s="1271">
        <x:v>49</x:v>
      </x:c>
      <x:c r="HE24" s="1272">
        <x:v>11.5</x:v>
      </x:c>
      <x:c r="HF24" s="1270" t="s">
        <x:v>116</x:v>
      </x:c>
      <x:c r="HG24" s="1270" t="s">
        <x:v>116</x:v>
      </x:c>
      <x:c r="HH24" s="1270" t="s">
        <x:v>116</x:v>
      </x:c>
      <x:c r="HI24" s="1273" t="s">
        <x:v>116</x:v>
      </x:c>
      <x:c r="HJ24" s="1270" t="s">
        <x:v>116</x:v>
      </x:c>
      <x:c r="HK24" s="1270" t="s">
        <x:v>116</x:v>
      </x:c>
      <x:c r="HL24" s="1270">
        <x:v>5</x:v>
      </x:c>
      <x:c r="HM24" s="1270">
        <x:v>5</x:v>
      </x:c>
      <x:c r="HN24" s="1270" t="s">
        <x:v>116</x:v>
      </x:c>
      <x:c r="HO24" s="1270" t="s">
        <x:v>116</x:v>
      </x:c>
      <x:c r="HP24" s="1270" t="s">
        <x:v>116</x:v>
      </x:c>
      <x:c r="HQ24" s="1273" t="s">
        <x:v>116</x:v>
      </x:c>
      <x:c r="HR24" s="1270" t="s">
        <x:v>116</x:v>
      </x:c>
      <x:c r="HS24" s="1270" t="s">
        <x:v>116</x:v>
      </x:c>
      <x:c r="HT24" s="1270">
        <x:v>0</x:v>
      </x:c>
      <x:c r="HU24" s="1270">
        <x:v>2.25</x:v>
      </x:c>
      <x:c r="HV24" s="1270">
        <x:v>0</x:v>
      </x:c>
      <x:c r="HW24" s="1272">
        <x:v>2.25</x:v>
      </x:c>
      <x:c r="HX24" s="1272">
        <x:v>4</x:v>
      </x:c>
      <x:c r="HY24" s="1272" t="s">
        <x:v>116</x:v>
      </x:c>
      <x:c r="HZ24" s="1272" t="s">
        <x:v>116</x:v>
      </x:c>
      <x:c r="IA24" s="1272" t="s">
        <x:v>1667</x:v>
      </x:c>
      <x:c r="IB24" s="1272"/>
      <x:c r="IC24" s="1272"/>
      <x:c r="ID24" s="1272"/>
      <x:c r="IE24" s="1272"/>
      <x:c r="IF24" s="1274"/>
    </x:row>
    <x:row r="25" spans="1:240" ht="12.6" customHeight="1" x14ac:dyDescent="0.25">
      <x:c r="A25" s="2764" t="s">
        <x:v>1456</x:v>
      </x:c>
      <x:c r="B25" s="2765">
        <x:v>16</x:v>
      </x:c>
      <x:c r="C25" s="2766" t="s">
        <x:v>1592</x:v>
      </x:c>
      <x:c r="D25" s="2767">
        <x:v>49</x:v>
      </x:c>
      <x:c r="E25" s="2768">
        <x:v>11.5</x:v>
      </x:c>
      <x:c r="F25" s="2776" t="str">
        <x:f t="shared" si="1"/>
        <x:v/>
      </x:c>
      <x:c r="G25" s="2771" t="str">
        <x:f t="shared" si="2"/>
        <x:v/>
      </x:c>
      <x:c r="H25" s="2842" t="str">
        <x:f t="shared" si="3"/>
        <x:v/>
      </x:c>
      <x:c r="I25" s="2767" t="str">
        <x:f t="shared" si="4"/>
        <x:v/>
      </x:c>
      <x:c r="J25" s="2771" t="str">
        <x:f t="shared" si="5"/>
        <x:v/>
      </x:c>
      <x:c r="K25" s="2855" t="str">
        <x:f t="shared" si="6"/>
        <x:v/>
      </x:c>
      <x:c r="L25" s="2774">
        <x:v>5</x:v>
      </x:c>
      <x:c r="M25" s="2775">
        <x:v>5</x:v>
      </x:c>
      <x:c r="N25" s="2770">
        <x:v>0</x:v>
      </x:c>
      <x:c r="O25" s="2771">
        <x:v>6.75</x:v>
      </x:c>
      <x:c r="P25" s="2772">
        <x:v>2</x:v>
      </x:c>
      <x:c r="Q25" s="2767">
        <x:v>0</x:v>
      </x:c>
      <x:c r="R25" s="2771">
        <x:v>6.75</x:v>
      </x:c>
      <x:c r="S25" s="2773">
        <x:v>2</x:v>
      </x:c>
      <x:c r="T25" s="2776">
        <x:v>0</x:v>
      </x:c>
      <x:c r="U25" s="2771">
        <x:v>2.25</x:v>
      </x:c>
      <x:c r="V25" s="2767">
        <x:v>0</x:v>
      </x:c>
      <x:c r="W25" s="2771">
        <x:v>2.25</x:v>
      </x:c>
      <x:c r="X25" s="2775">
        <x:v>4</x:v>
      </x:c>
      <x:c r="Y25" s="2844" t="str">
        <x:f t="shared" si="10"/>
        <x:v/>
      </x:c>
      <x:c r="Z25" s="2845" t="str">
        <x:f t="shared" si="11"/>
        <x:v/>
      </x:c>
      <x:c r="AA25" s="2846" t="s">
        <x:v>1667</x:v>
      </x:c>
      <x:c r="AB25" s="1413"/>
      <x:c r="AC25" s="964" t="b">
        <x:v>0</x:v>
      </x:c>
      <x:c r="AD25" s="441">
        <x:f t="shared" si="12"/>
        <x:v>0</x:v>
      </x:c>
      <x:c r="AE25" s="442">
        <x:f t="shared" si="13"/>
        <x:v>16</x:v>
      </x:c>
      <x:c r="AF25" s="442">
        <x:f t="shared" si="14"/>
        <x:v>0</x:v>
      </x:c>
      <x:c r="AG25" s="442">
        <x:f t="shared" si="15"/>
        <x:v>0</x:v>
      </x:c>
      <x:c r="AH25" s="443">
        <x:f t="shared" si="16"/>
        <x:v>0</x:v>
      </x:c>
      <x:c r="AI25" s="444" t="b">
        <x:v>0</x:v>
      </x:c>
      <x:c r="AJ25" s="238">
        <x:f t="shared" si="17"/>
        <x:v>32</x:v>
      </x:c>
      <x:c r="AK25" s="830" t="str">
        <x:f t="shared" si="18"/>
        <x:v>LH</x:v>
      </x:c>
      <x:c r="AL25" s="945" t="str">
        <x:f t="shared" si="19"/>
        <x:v/>
      </x:c>
      <x:c r="AM25" s="830">
        <x:f t="shared" si="20"/>
        <x:v>305</x:v>
      </x:c>
      <x:c r="AN25" s="830">
        <x:f t="shared" si="21"/>
        <x:v>180</x:v>
      </x:c>
      <x:c r="AO25" s="830" t="str">
        <x:f t="shared" si="22"/>
        <x:v/>
      </x:c>
      <x:c r="AP25" s="830" t="b">
        <x:f>IF(ISERROR(AJ25),FALSE,IF(OR(AJ25=0,ISERROR(AL25),ISERROR(AM25),ISERROR(AN25),ISERROR(AO25)),FALSE,IF(AL25&lt;&gt;"",IF(ISERROR(VLOOKUP(SUBSTITUTE(SUBSTITUTE(C25,"R",""),"A",""),TblJoistSize!$A:$A,1,FALSE)),FALSE,TRUE),TRUE)))</x:f>
        <x:v>1</x:v>
      </x:c>
      <x:c r="AQ25" s="1038">
        <x:f t="shared" si="23"/>
        <x:v>6</x:v>
      </x:c>
      <x:c r="AR25" s="945" t="b">
        <x:f t="shared" si="24"/>
        <x:v>1</x:v>
      </x:c>
      <x:c r="AS25" s="1038">
        <x:f t="shared" si="25"/>
        <x:v>6</x:v>
      </x:c>
      <x:c r="AT25" s="945" t="b">
        <x:f t="shared" si="26"/>
        <x:v>1</x:v>
      </x:c>
      <x:c r="AU25" s="946" t="str">
        <x:f t="shared" si="27"/>
        <x:v>LH</x:v>
      </x:c>
      <x:c r="AV25" s="830" t="str">
        <x:f t="shared" si="28"/>
        <x:v/>
      </x:c>
      <x:c r="AW25" s="830" t="str">
        <x:f t="shared" si="29"/>
        <x:v>LH</x:v>
      </x:c>
      <x:c r="AX25" s="830" t="str">
        <x:f t="shared" si="106"/>
        <x:v>TJ26</x:v>
      </x:c>
      <x:c r="AY25" s="1039" t="b">
        <x:f t="shared" si="30"/>
        <x:v>0</x:v>
      </x:c>
      <x:c r="AZ25" s="856" t="b">
        <x:f t="shared" si="31"/>
        <x:v>0</x:v>
      </x:c>
      <x:c r="BA25" s="549"/>
      <x:c r="BB25" s="672"/>
      <x:c r="BC25" s="1684"/>
      <x:c r="BD25" s="733"/>
      <x:c r="BE25" s="734"/>
      <x:c r="BF25" s="735"/>
      <x:c r="BG25" s="672"/>
      <x:c r="BH25" s="982"/>
      <x:c r="BI25" s="983"/>
      <x:c r="BJ25" s="1625"/>
      <x:c r="BK25" s="713"/>
      <x:c r="BL25" s="714"/>
      <x:c r="BM25" s="715"/>
      <x:c r="BN25" s="716"/>
      <x:c r="BO25" s="672" t="str">
        <x:f>IF(ISERROR(CU25),"",IF(CU25="","",IF(VLOOKUP(BG25,SectInfo!$B:$N,10,FALSE)="","","X")))</x:f>
        <x:v/>
      </x:c>
      <x:c r="BP25" s="738"/>
      <x:c r="BQ25" s="1551" t="str">
        <x:f t="shared" si="32"/>
        <x:v/>
      </x:c>
      <x:c r="BR25" s="910"/>
      <x:c r="BS25" s="672"/>
      <x:c r="BT25" s="713"/>
      <x:c r="BU25" s="714"/>
      <x:c r="BV25" s="1625"/>
      <x:c r="BW25" s="713"/>
      <x:c r="BX25" s="714"/>
      <x:c r="BY25" s="715"/>
      <x:c r="BZ25" s="716"/>
      <x:c r="CA25" s="680" t="str">
        <x:f>IF(ISERROR(DE25),"",IF(DE25="","",IF(VLOOKUP(BS25,SectInfo!$B:$N,10,FALSE)="","","X")))</x:f>
        <x:v/>
      </x:c>
      <x:c r="CB25" s="738"/>
      <x:c r="CC25" s="1551" t="str">
        <x:f t="shared" si="33"/>
        <x:v/>
      </x:c>
      <x:c r="CD25" s="910"/>
      <x:c r="CE25" s="717"/>
      <x:c r="CF25" s="736"/>
      <x:c r="CG25" s="737"/>
      <x:c r="CH25" s="591" t="str">
        <x:f t="shared" si="34"/>
        <x:v/>
      </x:c>
      <x:c r="CI25" s="592" t="str">
        <x:f t="shared" si="35"/>
        <x:v/>
      </x:c>
      <x:c r="CJ25" s="593" t="str">
        <x:f t="shared" si="36"/>
        <x:v/>
      </x:c>
      <x:c r="CK25" s="594" t="str">
        <x:f t="shared" si="37"/>
        <x:v/>
      </x:c>
      <x:c r="CL25" s="595" t="str">
        <x:f t="shared" si="38"/>
        <x:v/>
      </x:c>
      <x:c r="CM25" s="596" t="str">
        <x:f t="shared" si="39"/>
        <x:v/>
      </x:c>
      <x:c r="CN25" s="597" t="str">
        <x:f t="shared" si="40"/>
        <x:v/>
      </x:c>
      <x:c r="CO25" s="598" t="str">
        <x:f t="shared" si="41"/>
        <x:v/>
      </x:c>
      <x:c r="CP25" s="615" t="str">
        <x:f t="shared" si="42"/>
        <x:v/>
      </x:c>
      <x:c r="CQ25" s="616" t="str">
        <x:f t="shared" si="43"/>
        <x:v/>
      </x:c>
      <x:c r="CR25" s="750">
        <x:f t="shared" si="44"/>
        <x:v>5</x:v>
      </x:c>
      <x:c r="CS25" s="751">
        <x:f t="shared" si="45"/>
        <x:v>5</x:v>
      </x:c>
      <x:c r="CU25" s="817" t="str">
        <x:f>IF(BG25="","",VLOOKUP(BG25,SectInfo!$B:$N,12,FALSE))</x:f>
        <x:v/>
      </x:c>
      <x:c r="CV25" s="815" t="str">
        <x:f>IF(BG25="","",IF(ISBLANK(BP25),VLOOKUP(BG25,SectInfo!$B:$N,13,FALSE),BP25))</x:f>
        <x:v/>
      </x:c>
      <x:c r="CW25" s="8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8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46"/>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47"/>
        <x:v>0</x:v>
      </x:c>
      <x:c r="DO25" s="818">
        <x:f t="shared" si="48"/>
        <x:v>0</x:v>
      </x:c>
      <x:c r="DP25" s="822" t="str">
        <x:f t="shared" si="49"/>
        <x:v/>
      </x:c>
      <x:c r="DQ25" s="822" t="str">
        <x:f t="shared" si="50"/>
        <x:v/>
      </x:c>
      <x:c r="DR25" s="822" t="str">
        <x:f t="shared" si="51"/>
        <x:v/>
      </x:c>
      <x:c r="DS25" s="821">
        <x:f t="shared" si="52"/>
        <x:v>0</x:v>
      </x:c>
      <x:c r="DT25" s="821">
        <x:f t="shared" si="53"/>
        <x:v>0</x:v>
      </x:c>
      <x:c r="DU25" s="821" t="str">
        <x:f t="shared" si="54"/>
        <x:v/>
      </x:c>
      <x:c r="DV25" s="822" t="str">
        <x:f t="shared" si="55"/>
        <x:v/>
      </x:c>
      <x:c r="DW25" s="856" t="str">
        <x:f t="shared" si="56"/>
        <x:v/>
      </x:c>
      <x:c r="DX25" s="1006">
        <x:f t="shared" si="57"/>
        <x:v>0</x:v>
      </x:c>
      <x:c r="DY25" s="822">
        <x:f t="shared" si="58"/>
        <x:v>0</x:v>
      </x:c>
      <x:c r="DZ25" s="821">
        <x:f t="shared" si="59"/>
        <x:v>0</x:v>
      </x:c>
      <x:c r="EA25" s="821" t="str">
        <x:f t="shared" si="60"/>
        <x:v/>
      </x:c>
      <x:c r="EB25" s="822" t="str">
        <x:f t="shared" si="61"/>
        <x:v/>
      </x:c>
      <x:c r="EC25" s="856" t="str">
        <x:f t="shared" si="62"/>
        <x:v/>
      </x:c>
      <x:c r="ED25" s="1006">
        <x:f t="shared" si="63"/>
        <x:v>0</x:v>
      </x:c>
      <x:c r="EE25" s="1293" t="str">
        <x:f t="shared" si="64"/>
        <x:v/>
      </x:c>
      <x:c r="EF25" s="1293" t="str">
        <x:f t="shared" si="65"/>
        <x:v/>
      </x:c>
      <x:c r="EG25" s="1293" t="str">
        <x:f t="shared" si="66"/>
        <x:v/>
      </x:c>
      <x:c r="EH25" s="856" t="str">
        <x:f t="shared" si="67"/>
        <x:v>ERR</x:v>
      </x:c>
      <x:c r="EI25" s="856" t="str">
        <x:f t="shared" si="68"/>
        <x:v>ERR</x:v>
      </x:c>
      <x:c r="EJ25" s="822" t="str">
        <x:f t="shared" si="69"/>
        <x:v/>
      </x:c>
      <x:c r="EK25" s="822" t="str">
        <x:f t="shared" si="69"/>
        <x:v/>
      </x:c>
      <x:c r="EL25" s="1293" t="str">
        <x:f t="shared" si="70"/>
        <x:v/>
      </x:c>
      <x:c r="EM25" s="822" t="str">
        <x:f t="shared" si="71"/>
        <x:v/>
      </x:c>
      <x:c r="EN25" s="822" t="str">
        <x:f t="shared" si="72"/>
        <x:v/>
      </x:c>
      <x:c r="EO25" s="856" t="str">
        <x:f t="shared" si="73"/>
        <x:v>ERR</x:v>
      </x:c>
      <x:c r="EP25" s="856" t="str">
        <x:f t="shared" si="74"/>
        <x:v>ERR</x:v>
      </x:c>
      <x:c r="EQ25" s="1293" t="str">
        <x:f t="shared" si="75"/>
        <x:v/>
      </x:c>
      <x:c r="ER25" s="822" t="str">
        <x:f t="shared" si="75"/>
        <x:v/>
      </x:c>
      <x:c r="ES25" s="822" t="str">
        <x:f t="shared" si="76"/>
        <x:v/>
      </x:c>
      <x:c r="ET25" s="822" t="str">
        <x:f t="shared" si="77"/>
        <x:v/>
      </x:c>
      <x:c r="EU25" s="829">
        <x:f t="shared" si="78"/>
        <x:v>4</x:v>
      </x:c>
      <x:c r="EV25" s="824" t="str">
        <x:f t="shared" si="79"/>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80"/>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81"/>
        <x:v/>
      </x:c>
      <x:c r="FD25" s="821">
        <x:f t="shared" si="107"/>
        <x:v>0</x:v>
      </x:c>
      <x:c r="FE25" s="821">
        <x:f t="shared" si="82"/>
        <x:v>0</x:v>
      </x:c>
      <x:c r="FF25" s="821">
        <x:f t="shared" si="83"/>
        <x:v>0</x:v>
      </x:c>
      <x:c r="FG25" s="821" t="str">
        <x:f t="shared" si="84"/>
        <x:v/>
      </x:c>
      <x:c r="FH25" s="822" t="str">
        <x:f t="shared" si="85"/>
        <x:v/>
      </x:c>
      <x:c r="FI25" s="821">
        <x:f t="shared" si="108"/>
        <x:v>0</x:v>
      </x:c>
      <x:c r="FJ25" s="821">
        <x:f t="shared" si="86"/>
        <x:v>0</x:v>
      </x:c>
      <x:c r="FK25" s="821">
        <x:f t="shared" si="87"/>
        <x:v>0</x:v>
      </x:c>
      <x:c r="FL25" s="821" t="str">
        <x:f t="shared" si="88"/>
        <x:v/>
      </x:c>
      <x:c r="FM25" s="822" t="str">
        <x:f t="shared" si="89"/>
        <x:v/>
      </x:c>
      <x:c r="FN25" s="822" t="e">
        <x:f t="shared" si="90"/>
        <x:v>#VALUE!</x:v>
      </x:c>
      <x:c r="FO25" s="940" t="e">
        <x:f t="shared" si="91"/>
        <x:v>#VALUE!</x:v>
      </x:c>
      <x:c r="FP25" s="940" t="e">
        <x:f t="shared" si="92"/>
        <x:v>#VALUE!</x:v>
      </x:c>
      <x:c r="FQ25" s="830" t="e">
        <x:f t="shared" si="93"/>
        <x:v>#VALUE!</x:v>
      </x:c>
      <x:c r="FR25" s="831" t="e">
        <x:f t="shared" si="94"/>
        <x:v>#VALUE!</x:v>
      </x:c>
      <x:c r="FS25" s="832" t="str">
        <x:f t="shared" si="95"/>
        <x:v/>
      </x:c>
      <x:c r="FT25" s="833" t="str">
        <x:f t="shared" si="96"/>
        <x:v/>
      </x:c>
      <x:c r="FU25" s="870">
        <x:f t="shared" si="97"/>
        <x:v>0</x:v>
      </x:c>
      <x:c r="FV25" s="871">
        <x:f t="shared" si="98"/>
        <x:v>0</x:v>
      </x:c>
      <x:c r="GA25" s="1791">
        <x:v>50</x:v>
      </x:c>
      <x:c r="GB25" s="1792">
        <x:v>0</x:v>
      </x:c>
      <x:c r="GC25" s="1793">
        <x:v>-0.25</x:v>
      </x:c>
      <x:c r="GD25" s="1794">
        <x:v>-0.25</x:v>
      </x:c>
      <x:c r="GE25" s="1795">
        <x:f t="shared" si="99"/>
        <x:v>0</x:v>
      </x:c>
      <x:c r="GF25" s="600" t="str">
        <x:f t="shared" si="100"/>
        <x:v>TJ26</x:v>
      </x:c>
      <x:c r="GG25" s="1130">
        <x:v>0</x:v>
      </x:c>
      <x:c r="GH25" s="1131">
        <x:v>0</x:v>
      </x:c>
      <x:c r="GI25" s="1130"/>
      <x:c r="GJ25" s="1131"/>
      <x:c r="GK25" s="1638">
        <x:f t="shared" si="101"/>
        <x:v>599.5</x:v>
      </x:c>
      <x:c r="GL25" s="1636">
        <x:f t="shared" si="102"/>
        <x:v>599.5</x:v>
      </x:c>
      <x:c r="GM25" s="1637">
        <x:f>IF(ABS(GK25-GL25)&gt;='Job Info.'!$L$22,ABS(GK25-GL25),0)</x:f>
        <x:v>0</x:v>
      </x:c>
      <x:c r="HA25" s="1269" t="s">
        <x:v>1456</x:v>
      </x:c>
      <x:c r="HB25" s="1270">
        <x:v>16</x:v>
      </x:c>
      <x:c r="HC25" s="1270" t="s">
        <x:v>1592</x:v>
      </x:c>
      <x:c r="HD25" s="1271">
        <x:v>49</x:v>
      </x:c>
      <x:c r="HE25" s="1272">
        <x:v>11.5</x:v>
      </x:c>
      <x:c r="HF25" s="1270" t="s">
        <x:v>116</x:v>
      </x:c>
      <x:c r="HG25" s="1270" t="s">
        <x:v>116</x:v>
      </x:c>
      <x:c r="HH25" s="1270" t="s">
        <x:v>116</x:v>
      </x:c>
      <x:c r="HI25" s="1273" t="s">
        <x:v>116</x:v>
      </x:c>
      <x:c r="HJ25" s="1270" t="s">
        <x:v>116</x:v>
      </x:c>
      <x:c r="HK25" s="1270" t="s">
        <x:v>116</x:v>
      </x:c>
      <x:c r="HL25" s="1270">
        <x:v>5</x:v>
      </x:c>
      <x:c r="HM25" s="1270">
        <x:v>5</x:v>
      </x:c>
      <x:c r="HN25" s="1270">
        <x:v>0</x:v>
      </x:c>
      <x:c r="HO25" s="1270">
        <x:v>6.75</x:v>
      </x:c>
      <x:c r="HP25" s="1270">
        <x:v>2</x:v>
      </x:c>
      <x:c r="HQ25" s="1273">
        <x:v>0</x:v>
      </x:c>
      <x:c r="HR25" s="1270">
        <x:v>6.75</x:v>
      </x:c>
      <x:c r="HS25" s="1270">
        <x:v>2</x:v>
      </x:c>
      <x:c r="HT25" s="1270">
        <x:v>0</x:v>
      </x:c>
      <x:c r="HU25" s="1270">
        <x:v>2.25</x:v>
      </x:c>
      <x:c r="HV25" s="1270">
        <x:v>0</x:v>
      </x:c>
      <x:c r="HW25" s="1272">
        <x:v>2.25</x:v>
      </x:c>
      <x:c r="HX25" s="1272">
        <x:v>4</x:v>
      </x:c>
      <x:c r="HY25" s="1272" t="s">
        <x:v>116</x:v>
      </x:c>
      <x:c r="HZ25" s="1272" t="s">
        <x:v>116</x:v>
      </x:c>
      <x:c r="IA25" s="1272" t="s">
        <x:v>1667</x:v>
      </x:c>
      <x:c r="IB25" s="1272"/>
      <x:c r="IC25" s="1272"/>
      <x:c r="ID25" s="1272"/>
      <x:c r="IE25" s="1272"/>
      <x:c r="IF25" s="1274"/>
    </x:row>
    <x:row r="26" spans="1:240" ht="12.6" customHeight="1" x14ac:dyDescent="0.25">
      <x:c r="A26" s="2764" t="s">
        <x:v>1457</x:v>
      </x:c>
      <x:c r="B26" s="2765">
        <x:v>3</x:v>
      </x:c>
      <x:c r="C26" s="2766" t="s">
        <x:v>1592</x:v>
      </x:c>
      <x:c r="D26" s="2767">
        <x:v>49</x:v>
      </x:c>
      <x:c r="E26" s="2768">
        <x:v>11.5</x:v>
      </x:c>
      <x:c r="F26" s="2776" t="str">
        <x:f t="shared" si="1"/>
        <x:v/>
      </x:c>
      <x:c r="G26" s="2771" t="str">
        <x:f t="shared" si="2"/>
        <x:v/>
      </x:c>
      <x:c r="H26" s="2842" t="str">
        <x:f t="shared" si="3"/>
        <x:v/>
      </x:c>
      <x:c r="I26" s="2767" t="str">
        <x:f t="shared" si="4"/>
        <x:v/>
      </x:c>
      <x:c r="J26" s="2771" t="str">
        <x:f t="shared" si="5"/>
        <x:v/>
      </x:c>
      <x:c r="K26" s="2855" t="str">
        <x:f t="shared" si="6"/>
        <x:v/>
      </x:c>
      <x:c r="L26" s="2774">
        <x:v>5</x:v>
      </x:c>
      <x:c r="M26" s="2775">
        <x:v>5</x:v>
      </x:c>
      <x:c r="N26" s="2770" t="str">
        <x:f t="shared" si="103"/>
        <x:v/>
      </x:c>
      <x:c r="O26" s="2771" t="str">
        <x:f t="shared" si="104"/>
        <x:v/>
      </x:c>
      <x:c r="P26" s="2772" t="str">
        <x:f t="shared" si="105"/>
        <x:v/>
      </x:c>
      <x:c r="Q26" s="2767" t="str">
        <x:f t="shared" si="7"/>
        <x:v/>
      </x:c>
      <x:c r="R26" s="2771" t="str">
        <x:f t="shared" si="8"/>
        <x:v/>
      </x:c>
      <x:c r="S26" s="2773" t="str">
        <x:f t="shared" si="9"/>
        <x:v/>
      </x:c>
      <x:c r="T26" s="2776">
        <x:v>0</x:v>
      </x:c>
      <x:c r="U26" s="2771">
        <x:v>2.25</x:v>
      </x:c>
      <x:c r="V26" s="2767">
        <x:v>0</x:v>
      </x:c>
      <x:c r="W26" s="2771">
        <x:v>2.25</x:v>
      </x:c>
      <x:c r="X26" s="2775">
        <x:v>4</x:v>
      </x:c>
      <x:c r="Y26" s="2844" t="str">
        <x:f t="shared" si="10"/>
        <x:v/>
      </x:c>
      <x:c r="Z26" s="2845" t="str">
        <x:f t="shared" si="11"/>
        <x:v/>
      </x:c>
      <x:c r="AA26" s="2846" t="s">
        <x:v>1668</x:v>
      </x:c>
      <x:c r="AB26" s="1413"/>
      <x:c r="AC26" s="964" t="b">
        <x:v>0</x:v>
      </x:c>
      <x:c r="AD26" s="441">
        <x:f t="shared" si="12"/>
        <x:v>0</x:v>
      </x:c>
      <x:c r="AE26" s="442">
        <x:f t="shared" si="13"/>
        <x:v>3</x:v>
      </x:c>
      <x:c r="AF26" s="442">
        <x:f t="shared" si="14"/>
        <x:v>0</x:v>
      </x:c>
      <x:c r="AG26" s="442">
        <x:f t="shared" si="15"/>
        <x:v>0</x:v>
      </x:c>
      <x:c r="AH26" s="443">
        <x:f t="shared" si="16"/>
        <x:v>0</x:v>
      </x:c>
      <x:c r="AI26" s="444" t="b">
        <x:v>0</x:v>
      </x:c>
      <x:c r="AJ26" s="238">
        <x:f t="shared" si="17"/>
        <x:v>32</x:v>
      </x:c>
      <x:c r="AK26" s="830" t="str">
        <x:f t="shared" si="18"/>
        <x:v>LH</x:v>
      </x:c>
      <x:c r="AL26" s="945" t="str">
        <x:f t="shared" si="19"/>
        <x:v/>
      </x:c>
      <x:c r="AM26" s="830">
        <x:f t="shared" si="20"/>
        <x:v>305</x:v>
      </x:c>
      <x:c r="AN26" s="830">
        <x:f t="shared" si="21"/>
        <x:v>180</x:v>
      </x:c>
      <x:c r="AO26" s="830" t="str">
        <x:f t="shared" si="22"/>
        <x:v/>
      </x:c>
      <x:c r="AP26" s="830" t="b">
        <x:f>IF(ISERROR(AJ26),FALSE,IF(OR(AJ26=0,ISERROR(AL26),ISERROR(AM26),ISERROR(AN26),ISERROR(AO26)),FALSE,IF(AL26&lt;&gt;"",IF(ISERROR(VLOOKUP(SUBSTITUTE(SUBSTITUTE(C26,"R",""),"A",""),TblJoistSize!$A:$A,1,FALSE)),FALSE,TRUE),TRUE)))</x:f>
        <x:v>1</x:v>
      </x:c>
      <x:c r="AQ26" s="1038">
        <x:f t="shared" si="23"/>
        <x:v>6</x:v>
      </x:c>
      <x:c r="AR26" s="945" t="b">
        <x:f t="shared" si="24"/>
        <x:v>1</x:v>
      </x:c>
      <x:c r="AS26" s="1038">
        <x:f t="shared" si="25"/>
        <x:v>6</x:v>
      </x:c>
      <x:c r="AT26" s="945" t="b">
        <x:f t="shared" si="26"/>
        <x:v>1</x:v>
      </x:c>
      <x:c r="AU26" s="946" t="str">
        <x:f t="shared" si="27"/>
        <x:v>LH</x:v>
      </x:c>
      <x:c r="AV26" s="830" t="str">
        <x:f t="shared" si="28"/>
        <x:v/>
      </x:c>
      <x:c r="AW26" s="830" t="str">
        <x:f t="shared" si="29"/>
        <x:v>LH</x:v>
      </x:c>
      <x:c r="AX26" s="830" t="str">
        <x:f t="shared" si="106"/>
        <x:v>J27</x:v>
      </x:c>
      <x:c r="AY26" s="1039" t="b">
        <x:f t="shared" si="30"/>
        <x:v>0</x:v>
      </x:c>
      <x:c r="AZ26" s="856" t="b">
        <x:f t="shared" si="31"/>
        <x:v>0</x:v>
      </x:c>
      <x:c r="BA26" s="549"/>
      <x:c r="BB26" s="672"/>
      <x:c r="BC26" s="1684"/>
      <x:c r="BD26" s="733"/>
      <x:c r="BE26" s="734"/>
      <x:c r="BF26" s="735"/>
      <x:c r="BG26" s="672"/>
      <x:c r="BH26" s="982"/>
      <x:c r="BI26" s="983"/>
      <x:c r="BJ26" s="1625"/>
      <x:c r="BK26" s="713"/>
      <x:c r="BL26" s="714"/>
      <x:c r="BM26" s="715"/>
      <x:c r="BN26" s="716"/>
      <x:c r="BO26" s="672" t="str">
        <x:f>IF(ISERROR(CU26),"",IF(CU26="","",IF(VLOOKUP(BG26,SectInfo!$B:$N,10,FALSE)="","","X")))</x:f>
        <x:v/>
      </x:c>
      <x:c r="BP26" s="738"/>
      <x:c r="BQ26" s="1551" t="str">
        <x:f t="shared" si="32"/>
        <x:v/>
      </x:c>
      <x:c r="BR26" s="910"/>
      <x:c r="BS26" s="672"/>
      <x:c r="BT26" s="713"/>
      <x:c r="BU26" s="714"/>
      <x:c r="BV26" s="1625"/>
      <x:c r="BW26" s="713"/>
      <x:c r="BX26" s="714"/>
      <x:c r="BY26" s="715"/>
      <x:c r="BZ26" s="716"/>
      <x:c r="CA26" s="680" t="str">
        <x:f>IF(ISERROR(DE26),"",IF(DE26="","",IF(VLOOKUP(BS26,SectInfo!$B:$N,10,FALSE)="","","X")))</x:f>
        <x:v/>
      </x:c>
      <x:c r="CB26" s="738"/>
      <x:c r="CC26" s="1551" t="str">
        <x:f t="shared" si="33"/>
        <x:v/>
      </x:c>
      <x:c r="CD26" s="910"/>
      <x:c r="CE26" s="717"/>
      <x:c r="CF26" s="736"/>
      <x:c r="CG26" s="737"/>
      <x:c r="CH26" s="591" t="str">
        <x:f t="shared" si="34"/>
        <x:v/>
      </x:c>
      <x:c r="CI26" s="592" t="str">
        <x:f t="shared" si="35"/>
        <x:v/>
      </x:c>
      <x:c r="CJ26" s="593" t="str">
        <x:f t="shared" si="36"/>
        <x:v/>
      </x:c>
      <x:c r="CK26" s="594" t="str">
        <x:f t="shared" si="37"/>
        <x:v/>
      </x:c>
      <x:c r="CL26" s="595" t="str">
        <x:f t="shared" si="38"/>
        <x:v/>
      </x:c>
      <x:c r="CM26" s="596" t="str">
        <x:f t="shared" si="39"/>
        <x:v/>
      </x:c>
      <x:c r="CN26" s="597" t="str">
        <x:f t="shared" si="40"/>
        <x:v/>
      </x:c>
      <x:c r="CO26" s="598" t="str">
        <x:f t="shared" si="41"/>
        <x:v/>
      </x:c>
      <x:c r="CP26" s="615" t="str">
        <x:f t="shared" si="42"/>
        <x:v/>
      </x:c>
      <x:c r="CQ26" s="616" t="str">
        <x:f t="shared" si="43"/>
        <x:v/>
      </x:c>
      <x:c r="CR26" s="750">
        <x:f t="shared" si="44"/>
        <x:v>5</x:v>
      </x:c>
      <x:c r="CS26" s="751">
        <x:f t="shared" si="45"/>
        <x:v>5</x:v>
      </x:c>
      <x:c r="CU26" s="817" t="str">
        <x:f>IF(BG26="","",VLOOKUP(BG26,SectInfo!$B:$N,12,FALSE))</x:f>
        <x:v/>
      </x:c>
      <x:c r="CV26" s="815" t="str">
        <x:f>IF(BG26="","",IF(ISBLANK(BP26),VLOOKUP(BG26,SectInfo!$B:$N,13,FALSE),BP26))</x:f>
        <x:v/>
      </x:c>
      <x:c r="CW26" s="8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8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46"/>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47"/>
        <x:v>0</x:v>
      </x:c>
      <x:c r="DO26" s="818">
        <x:f t="shared" si="48"/>
        <x:v>0</x:v>
      </x:c>
      <x:c r="DP26" s="822" t="str">
        <x:f t="shared" si="49"/>
        <x:v/>
      </x:c>
      <x:c r="DQ26" s="822" t="str">
        <x:f t="shared" si="50"/>
        <x:v/>
      </x:c>
      <x:c r="DR26" s="822" t="str">
        <x:f t="shared" si="51"/>
        <x:v/>
      </x:c>
      <x:c r="DS26" s="821">
        <x:f t="shared" si="52"/>
        <x:v>0</x:v>
      </x:c>
      <x:c r="DT26" s="821">
        <x:f t="shared" si="53"/>
        <x:v>0</x:v>
      </x:c>
      <x:c r="DU26" s="821" t="str">
        <x:f t="shared" si="54"/>
        <x:v/>
      </x:c>
      <x:c r="DV26" s="822" t="str">
        <x:f t="shared" si="55"/>
        <x:v/>
      </x:c>
      <x:c r="DW26" s="856" t="str">
        <x:f t="shared" si="56"/>
        <x:v/>
      </x:c>
      <x:c r="DX26" s="1006">
        <x:f t="shared" si="57"/>
        <x:v>0</x:v>
      </x:c>
      <x:c r="DY26" s="822">
        <x:f t="shared" si="58"/>
        <x:v>0</x:v>
      </x:c>
      <x:c r="DZ26" s="821">
        <x:f t="shared" si="59"/>
        <x:v>0</x:v>
      </x:c>
      <x:c r="EA26" s="821" t="str">
        <x:f t="shared" si="60"/>
        <x:v/>
      </x:c>
      <x:c r="EB26" s="822" t="str">
        <x:f t="shared" si="61"/>
        <x:v/>
      </x:c>
      <x:c r="EC26" s="856" t="str">
        <x:f t="shared" si="62"/>
        <x:v/>
      </x:c>
      <x:c r="ED26" s="1006">
        <x:f t="shared" si="63"/>
        <x:v>0</x:v>
      </x:c>
      <x:c r="EE26" s="1293" t="str">
        <x:f t="shared" si="64"/>
        <x:v/>
      </x:c>
      <x:c r="EF26" s="1293" t="str">
        <x:f t="shared" si="65"/>
        <x:v/>
      </x:c>
      <x:c r="EG26" s="1293" t="str">
        <x:f t="shared" si="66"/>
        <x:v/>
      </x:c>
      <x:c r="EH26" s="856" t="str">
        <x:f t="shared" si="67"/>
        <x:v>ERR</x:v>
      </x:c>
      <x:c r="EI26" s="856" t="str">
        <x:f t="shared" si="68"/>
        <x:v>ERR</x:v>
      </x:c>
      <x:c r="EJ26" s="822" t="str">
        <x:f t="shared" si="69"/>
        <x:v/>
      </x:c>
      <x:c r="EK26" s="822" t="str">
        <x:f t="shared" si="69"/>
        <x:v/>
      </x:c>
      <x:c r="EL26" s="1293" t="str">
        <x:f t="shared" si="70"/>
        <x:v/>
      </x:c>
      <x:c r="EM26" s="822" t="str">
        <x:f t="shared" si="71"/>
        <x:v/>
      </x:c>
      <x:c r="EN26" s="822" t="str">
        <x:f t="shared" si="72"/>
        <x:v/>
      </x:c>
      <x:c r="EO26" s="856" t="str">
        <x:f t="shared" si="73"/>
        <x:v>ERR</x:v>
      </x:c>
      <x:c r="EP26" s="856" t="str">
        <x:f t="shared" si="74"/>
        <x:v>ERR</x:v>
      </x:c>
      <x:c r="EQ26" s="1293" t="str">
        <x:f t="shared" si="75"/>
        <x:v/>
      </x:c>
      <x:c r="ER26" s="822" t="str">
        <x:f t="shared" si="75"/>
        <x:v/>
      </x:c>
      <x:c r="ES26" s="822" t="str">
        <x:f t="shared" si="76"/>
        <x:v/>
      </x:c>
      <x:c r="ET26" s="822" t="str">
        <x:f t="shared" si="77"/>
        <x:v/>
      </x:c>
      <x:c r="EU26" s="829">
        <x:f t="shared" si="78"/>
        <x:v>4</x:v>
      </x:c>
      <x:c r="EV26" s="824" t="str">
        <x:f t="shared" si="79"/>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80"/>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81"/>
        <x:v/>
      </x:c>
      <x:c r="FD26" s="821">
        <x:f t="shared" si="107"/>
        <x:v>0</x:v>
      </x:c>
      <x:c r="FE26" s="821">
        <x:f t="shared" si="82"/>
        <x:v>0</x:v>
      </x:c>
      <x:c r="FF26" s="821">
        <x:f t="shared" si="83"/>
        <x:v>0</x:v>
      </x:c>
      <x:c r="FG26" s="821" t="str">
        <x:f t="shared" si="84"/>
        <x:v/>
      </x:c>
      <x:c r="FH26" s="822" t="str">
        <x:f t="shared" si="85"/>
        <x:v/>
      </x:c>
      <x:c r="FI26" s="821">
        <x:f t="shared" si="108"/>
        <x:v>0</x:v>
      </x:c>
      <x:c r="FJ26" s="821">
        <x:f t="shared" si="86"/>
        <x:v>0</x:v>
      </x:c>
      <x:c r="FK26" s="821">
        <x:f t="shared" si="87"/>
        <x:v>0</x:v>
      </x:c>
      <x:c r="FL26" s="821" t="str">
        <x:f t="shared" si="88"/>
        <x:v/>
      </x:c>
      <x:c r="FM26" s="822" t="str">
        <x:f t="shared" si="89"/>
        <x:v/>
      </x:c>
      <x:c r="FN26" s="822" t="e">
        <x:f t="shared" si="90"/>
        <x:v>#VALUE!</x:v>
      </x:c>
      <x:c r="FO26" s="940" t="e">
        <x:f t="shared" si="91"/>
        <x:v>#VALUE!</x:v>
      </x:c>
      <x:c r="FP26" s="940" t="e">
        <x:f t="shared" si="92"/>
        <x:v>#VALUE!</x:v>
      </x:c>
      <x:c r="FQ26" s="830" t="e">
        <x:f t="shared" si="93"/>
        <x:v>#VALUE!</x:v>
      </x:c>
      <x:c r="FR26" s="831" t="e">
        <x:f t="shared" si="94"/>
        <x:v>#VALUE!</x:v>
      </x:c>
      <x:c r="FS26" s="832" t="str">
        <x:f t="shared" si="95"/>
        <x:v/>
      </x:c>
      <x:c r="FT26" s="833" t="str">
        <x:f t="shared" si="96"/>
        <x:v/>
      </x:c>
      <x:c r="FU26" s="870">
        <x:f t="shared" si="97"/>
        <x:v>0</x:v>
      </x:c>
      <x:c r="FV26" s="871">
        <x:f t="shared" si="98"/>
        <x:v>0</x:v>
      </x:c>
      <x:c r="GA26" s="1791">
        <x:v>50</x:v>
      </x:c>
      <x:c r="GB26" s="1792">
        <x:v>0</x:v>
      </x:c>
      <x:c r="GC26" s="1793">
        <x:v>-0.25</x:v>
      </x:c>
      <x:c r="GD26" s="1794">
        <x:v>-0.25</x:v>
      </x:c>
      <x:c r="GE26" s="1795">
        <x:f t="shared" si="99"/>
        <x:v>0</x:v>
      </x:c>
      <x:c r="GF26" s="600" t="str">
        <x:f t="shared" si="100"/>
        <x:v>J27</x:v>
      </x:c>
      <x:c r="GG26" s="1130">
        <x:v>0</x:v>
      </x:c>
      <x:c r="GH26" s="1131">
        <x:v>0</x:v>
      </x:c>
      <x:c r="GI26" s="1130"/>
      <x:c r="GJ26" s="1131"/>
      <x:c r="GK26" s="1638">
        <x:f t="shared" si="101"/>
        <x:v>599.5</x:v>
      </x:c>
      <x:c r="GL26" s="1636">
        <x:f t="shared" si="102"/>
        <x:v>599.5</x:v>
      </x:c>
      <x:c r="GM26" s="1637">
        <x:f>IF(ABS(GK26-GL26)&gt;='Job Info.'!$L$22,ABS(GK26-GL26),0)</x:f>
        <x:v>0</x:v>
      </x:c>
      <x:c r="HA26" s="1269" t="s">
        <x:v>1457</x:v>
      </x:c>
      <x:c r="HB26" s="1270">
        <x:v>3</x:v>
      </x:c>
      <x:c r="HC26" s="1270" t="s">
        <x:v>1592</x:v>
      </x:c>
      <x:c r="HD26" s="1271">
        <x:v>49</x:v>
      </x:c>
      <x:c r="HE26" s="1272">
        <x:v>11.5</x:v>
      </x:c>
      <x:c r="HF26" s="1270" t="s">
        <x:v>116</x:v>
      </x:c>
      <x:c r="HG26" s="1270" t="s">
        <x:v>116</x:v>
      </x:c>
      <x:c r="HH26" s="1270" t="s">
        <x:v>116</x:v>
      </x:c>
      <x:c r="HI26" s="1273" t="s">
        <x:v>116</x:v>
      </x:c>
      <x:c r="HJ26" s="1270" t="s">
        <x:v>116</x:v>
      </x:c>
      <x:c r="HK26" s="1270" t="s">
        <x:v>116</x:v>
      </x:c>
      <x:c r="HL26" s="1270">
        <x:v>5</x:v>
      </x:c>
      <x:c r="HM26" s="1270">
        <x:v>5</x:v>
      </x:c>
      <x:c r="HN26" s="1270" t="s">
        <x:v>116</x:v>
      </x:c>
      <x:c r="HO26" s="1270" t="s">
        <x:v>116</x:v>
      </x:c>
      <x:c r="HP26" s="1270" t="s">
        <x:v>116</x:v>
      </x:c>
      <x:c r="HQ26" s="1273" t="s">
        <x:v>116</x:v>
      </x:c>
      <x:c r="HR26" s="1270" t="s">
        <x:v>116</x:v>
      </x:c>
      <x:c r="HS26" s="1270" t="s">
        <x:v>116</x:v>
      </x:c>
      <x:c r="HT26" s="1270">
        <x:v>0</x:v>
      </x:c>
      <x:c r="HU26" s="1270">
        <x:v>2.25</x:v>
      </x:c>
      <x:c r="HV26" s="1270">
        <x:v>0</x:v>
      </x:c>
      <x:c r="HW26" s="1272">
        <x:v>2.25</x:v>
      </x:c>
      <x:c r="HX26" s="1272">
        <x:v>4</x:v>
      </x:c>
      <x:c r="HY26" s="1272" t="s">
        <x:v>116</x:v>
      </x:c>
      <x:c r="HZ26" s="1272" t="s">
        <x:v>116</x:v>
      </x:c>
      <x:c r="IA26" s="1272" t="s">
        <x:v>1668</x:v>
      </x:c>
      <x:c r="IB26" s="1272"/>
      <x:c r="IC26" s="1272"/>
      <x:c r="ID26" s="1272"/>
      <x:c r="IE26" s="1272"/>
      <x:c r="IF26" s="1274"/>
    </x:row>
    <x:row r="27" spans="1:240" ht="12.6" customHeight="1" x14ac:dyDescent="0.25">
      <x:c r="A27" s="2764" t="s">
        <x:v>1458</x:v>
      </x:c>
      <x:c r="B27" s="2765">
        <x:v>2</x:v>
      </x:c>
      <x:c r="C27" s="2766" t="s">
        <x:v>1592</x:v>
      </x:c>
      <x:c r="D27" s="2767">
        <x:v>49</x:v>
      </x:c>
      <x:c r="E27" s="2768">
        <x:v>11.5</x:v>
      </x:c>
      <x:c r="F27" s="2776" t="str">
        <x:f t="shared" si="1"/>
        <x:v/>
      </x:c>
      <x:c r="G27" s="2771" t="str">
        <x:f t="shared" si="2"/>
        <x:v/>
      </x:c>
      <x:c r="H27" s="2842" t="str">
        <x:f t="shared" si="3"/>
        <x:v/>
      </x:c>
      <x:c r="I27" s="2767" t="str">
        <x:f t="shared" si="4"/>
        <x:v/>
      </x:c>
      <x:c r="J27" s="2771" t="str">
        <x:f t="shared" si="5"/>
        <x:v/>
      </x:c>
      <x:c r="K27" s="2855" t="str">
        <x:f t="shared" si="6"/>
        <x:v/>
      </x:c>
      <x:c r="L27" s="2774">
        <x:v>5</x:v>
      </x:c>
      <x:c r="M27" s="2775">
        <x:v>5</x:v>
      </x:c>
      <x:c r="N27" s="2770" t="str">
        <x:f t="shared" si="103"/>
        <x:v/>
      </x:c>
      <x:c r="O27" s="2771" t="str">
        <x:f t="shared" si="104"/>
        <x:v/>
      </x:c>
      <x:c r="P27" s="2772" t="str">
        <x:f t="shared" si="105"/>
        <x:v/>
      </x:c>
      <x:c r="Q27" s="2767" t="str">
        <x:f t="shared" si="7"/>
        <x:v/>
      </x:c>
      <x:c r="R27" s="2771" t="str">
        <x:f t="shared" si="8"/>
        <x:v/>
      </x:c>
      <x:c r="S27" s="2773" t="str">
        <x:f t="shared" si="9"/>
        <x:v/>
      </x:c>
      <x:c r="T27" s="2776">
        <x:v>0</x:v>
      </x:c>
      <x:c r="U27" s="2771">
        <x:v>2.25</x:v>
      </x:c>
      <x:c r="V27" s="2767">
        <x:v>0</x:v>
      </x:c>
      <x:c r="W27" s="2771">
        <x:v>2.25</x:v>
      </x:c>
      <x:c r="X27" s="2775">
        <x:v>4</x:v>
      </x:c>
      <x:c r="Y27" s="2844" t="str">
        <x:f t="shared" si="10"/>
        <x:v/>
      </x:c>
      <x:c r="Z27" s="2845" t="str">
        <x:f t="shared" si="11"/>
        <x:v/>
      </x:c>
      <x:c r="AA27" s="2846" t="s">
        <x:v>1669</x:v>
      </x:c>
      <x:c r="AB27" s="1413"/>
      <x:c r="AC27" s="964" t="b">
        <x:v>0</x:v>
      </x:c>
      <x:c r="AD27" s="441">
        <x:f t="shared" si="12"/>
        <x:v>0</x:v>
      </x:c>
      <x:c r="AE27" s="442">
        <x:f t="shared" si="13"/>
        <x:v>2</x:v>
      </x:c>
      <x:c r="AF27" s="442">
        <x:f t="shared" si="14"/>
        <x:v>0</x:v>
      </x:c>
      <x:c r="AG27" s="442">
        <x:f t="shared" si="15"/>
        <x:v>0</x:v>
      </x:c>
      <x:c r="AH27" s="443">
        <x:f t="shared" si="16"/>
        <x:v>0</x:v>
      </x:c>
      <x:c r="AI27" s="444" t="b">
        <x:v>0</x:v>
      </x:c>
      <x:c r="AJ27" s="238">
        <x:f t="shared" si="17"/>
        <x:v>32</x:v>
      </x:c>
      <x:c r="AK27" s="830" t="str">
        <x:f t="shared" si="18"/>
        <x:v>LH</x:v>
      </x:c>
      <x:c r="AL27" s="945" t="str">
        <x:f t="shared" si="19"/>
        <x:v/>
      </x:c>
      <x:c r="AM27" s="830">
        <x:f t="shared" si="20"/>
        <x:v>305</x:v>
      </x:c>
      <x:c r="AN27" s="830">
        <x:f t="shared" si="21"/>
        <x:v>180</x:v>
      </x:c>
      <x:c r="AO27" s="830" t="str">
        <x:f t="shared" si="22"/>
        <x:v/>
      </x:c>
      <x:c r="AP27" s="830" t="b">
        <x:f>IF(ISERROR(AJ27),FALSE,IF(OR(AJ27=0,ISERROR(AL27),ISERROR(AM27),ISERROR(AN27),ISERROR(AO27)),FALSE,IF(AL27&lt;&gt;"",IF(ISERROR(VLOOKUP(SUBSTITUTE(SUBSTITUTE(C27,"R",""),"A",""),TblJoistSize!$A:$A,1,FALSE)),FALSE,TRUE),TRUE)))</x:f>
        <x:v>1</x:v>
      </x:c>
      <x:c r="AQ27" s="1038">
        <x:f t="shared" si="23"/>
        <x:v>6</x:v>
      </x:c>
      <x:c r="AR27" s="945" t="b">
        <x:f t="shared" si="24"/>
        <x:v>1</x:v>
      </x:c>
      <x:c r="AS27" s="1038">
        <x:f t="shared" si="25"/>
        <x:v>6</x:v>
      </x:c>
      <x:c r="AT27" s="945" t="b">
        <x:f t="shared" si="26"/>
        <x:v>1</x:v>
      </x:c>
      <x:c r="AU27" s="946" t="str">
        <x:f t="shared" si="27"/>
        <x:v>LH</x:v>
      </x:c>
      <x:c r="AV27" s="830" t="str">
        <x:f t="shared" si="28"/>
        <x:v/>
      </x:c>
      <x:c r="AW27" s="830" t="str">
        <x:f t="shared" si="29"/>
        <x:v>LH</x:v>
      </x:c>
      <x:c r="AX27" s="830" t="str">
        <x:f t="shared" si="106"/>
        <x:v>J28</x:v>
      </x:c>
      <x:c r="AY27" s="1039" t="b">
        <x:f t="shared" si="30"/>
        <x:v>0</x:v>
      </x:c>
      <x:c r="AZ27" s="856" t="b">
        <x:f t="shared" si="31"/>
        <x:v>0</x:v>
      </x:c>
      <x:c r="BA27" s="549"/>
      <x:c r="BB27" s="672"/>
      <x:c r="BC27" s="1684"/>
      <x:c r="BD27" s="733"/>
      <x:c r="BE27" s="734"/>
      <x:c r="BF27" s="735"/>
      <x:c r="BG27" s="672"/>
      <x:c r="BH27" s="982"/>
      <x:c r="BI27" s="983"/>
      <x:c r="BJ27" s="1625"/>
      <x:c r="BK27" s="713"/>
      <x:c r="BL27" s="714"/>
      <x:c r="BM27" s="715"/>
      <x:c r="BN27" s="716"/>
      <x:c r="BO27" s="672" t="str">
        <x:f>IF(ISERROR(CU27),"",IF(CU27="","",IF(VLOOKUP(BG27,SectInfo!$B:$N,10,FALSE)="","","X")))</x:f>
        <x:v/>
      </x:c>
      <x:c r="BP27" s="738"/>
      <x:c r="BQ27" s="1551" t="str">
        <x:f t="shared" si="32"/>
        <x:v/>
      </x:c>
      <x:c r="BR27" s="910"/>
      <x:c r="BS27" s="672"/>
      <x:c r="BT27" s="713"/>
      <x:c r="BU27" s="714"/>
      <x:c r="BV27" s="1625"/>
      <x:c r="BW27" s="713"/>
      <x:c r="BX27" s="714"/>
      <x:c r="BY27" s="715"/>
      <x:c r="BZ27" s="716"/>
      <x:c r="CA27" s="680" t="str">
        <x:f>IF(ISERROR(DE27),"",IF(DE27="","",IF(VLOOKUP(BS27,SectInfo!$B:$N,10,FALSE)="","","X")))</x:f>
        <x:v/>
      </x:c>
      <x:c r="CB27" s="738"/>
      <x:c r="CC27" s="1551" t="str">
        <x:f t="shared" si="33"/>
        <x:v/>
      </x:c>
      <x:c r="CD27" s="910"/>
      <x:c r="CE27" s="717"/>
      <x:c r="CF27" s="736"/>
      <x:c r="CG27" s="737"/>
      <x:c r="CH27" s="591" t="str">
        <x:f t="shared" si="34"/>
        <x:v/>
      </x:c>
      <x:c r="CI27" s="592" t="str">
        <x:f t="shared" si="35"/>
        <x:v/>
      </x:c>
      <x:c r="CJ27" s="593" t="str">
        <x:f t="shared" si="36"/>
        <x:v/>
      </x:c>
      <x:c r="CK27" s="594" t="str">
        <x:f t="shared" si="37"/>
        <x:v/>
      </x:c>
      <x:c r="CL27" s="595" t="str">
        <x:f t="shared" si="38"/>
        <x:v/>
      </x:c>
      <x:c r="CM27" s="596" t="str">
        <x:f t="shared" si="39"/>
        <x:v/>
      </x:c>
      <x:c r="CN27" s="597" t="str">
        <x:f t="shared" si="40"/>
        <x:v/>
      </x:c>
      <x:c r="CO27" s="598" t="str">
        <x:f t="shared" si="41"/>
        <x:v/>
      </x:c>
      <x:c r="CP27" s="615" t="str">
        <x:f t="shared" si="42"/>
        <x:v/>
      </x:c>
      <x:c r="CQ27" s="616" t="str">
        <x:f t="shared" si="43"/>
        <x:v/>
      </x:c>
      <x:c r="CR27" s="750">
        <x:f t="shared" si="44"/>
        <x:v>5</x:v>
      </x:c>
      <x:c r="CS27" s="751">
        <x:f t="shared" si="45"/>
        <x:v>5</x:v>
      </x:c>
      <x:c r="CU27" s="817" t="str">
        <x:f>IF(BG27="","",VLOOKUP(BG27,SectInfo!$B:$N,12,FALSE))</x:f>
        <x:v/>
      </x:c>
      <x:c r="CV27" s="815" t="str">
        <x:f>IF(BG27="","",IF(ISBLANK(BP27),VLOOKUP(BG27,SectInfo!$B:$N,13,FALSE),BP27))</x:f>
        <x:v/>
      </x:c>
      <x:c r="CW27" s="8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8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46"/>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47"/>
        <x:v>0</x:v>
      </x:c>
      <x:c r="DO27" s="818">
        <x:f t="shared" si="48"/>
        <x:v>0</x:v>
      </x:c>
      <x:c r="DP27" s="822" t="str">
        <x:f t="shared" si="49"/>
        <x:v/>
      </x:c>
      <x:c r="DQ27" s="822" t="str">
        <x:f t="shared" si="50"/>
        <x:v/>
      </x:c>
      <x:c r="DR27" s="822" t="str">
        <x:f t="shared" si="51"/>
        <x:v/>
      </x:c>
      <x:c r="DS27" s="821">
        <x:f t="shared" si="52"/>
        <x:v>0</x:v>
      </x:c>
      <x:c r="DT27" s="821">
        <x:f t="shared" si="53"/>
        <x:v>0</x:v>
      </x:c>
      <x:c r="DU27" s="821" t="str">
        <x:f t="shared" si="54"/>
        <x:v/>
      </x:c>
      <x:c r="DV27" s="822" t="str">
        <x:f t="shared" si="55"/>
        <x:v/>
      </x:c>
      <x:c r="DW27" s="856" t="str">
        <x:f t="shared" si="56"/>
        <x:v/>
      </x:c>
      <x:c r="DX27" s="1006">
        <x:f t="shared" si="57"/>
        <x:v>0</x:v>
      </x:c>
      <x:c r="DY27" s="822">
        <x:f t="shared" si="58"/>
        <x:v>0</x:v>
      </x:c>
      <x:c r="DZ27" s="821">
        <x:f t="shared" si="59"/>
        <x:v>0</x:v>
      </x:c>
      <x:c r="EA27" s="821" t="str">
        <x:f t="shared" si="60"/>
        <x:v/>
      </x:c>
      <x:c r="EB27" s="822" t="str">
        <x:f t="shared" si="61"/>
        <x:v/>
      </x:c>
      <x:c r="EC27" s="856" t="str">
        <x:f t="shared" si="62"/>
        <x:v/>
      </x:c>
      <x:c r="ED27" s="1006">
        <x:f t="shared" si="63"/>
        <x:v>0</x:v>
      </x:c>
      <x:c r="EE27" s="1293" t="str">
        <x:f t="shared" si="64"/>
        <x:v/>
      </x:c>
      <x:c r="EF27" s="1293" t="str">
        <x:f t="shared" si="65"/>
        <x:v/>
      </x:c>
      <x:c r="EG27" s="1293" t="str">
        <x:f t="shared" si="66"/>
        <x:v/>
      </x:c>
      <x:c r="EH27" s="856" t="str">
        <x:f t="shared" si="67"/>
        <x:v>ERR</x:v>
      </x:c>
      <x:c r="EI27" s="856" t="str">
        <x:f t="shared" si="68"/>
        <x:v>ERR</x:v>
      </x:c>
      <x:c r="EJ27" s="822" t="str">
        <x:f t="shared" si="69"/>
        <x:v/>
      </x:c>
      <x:c r="EK27" s="822" t="str">
        <x:f t="shared" si="69"/>
        <x:v/>
      </x:c>
      <x:c r="EL27" s="1293" t="str">
        <x:f t="shared" si="70"/>
        <x:v/>
      </x:c>
      <x:c r="EM27" s="822" t="str">
        <x:f t="shared" si="71"/>
        <x:v/>
      </x:c>
      <x:c r="EN27" s="822" t="str">
        <x:f t="shared" si="72"/>
        <x:v/>
      </x:c>
      <x:c r="EO27" s="856" t="str">
        <x:f t="shared" si="73"/>
        <x:v>ERR</x:v>
      </x:c>
      <x:c r="EP27" s="856" t="str">
        <x:f t="shared" si="74"/>
        <x:v>ERR</x:v>
      </x:c>
      <x:c r="EQ27" s="1293" t="str">
        <x:f t="shared" si="75"/>
        <x:v/>
      </x:c>
      <x:c r="ER27" s="822" t="str">
        <x:f t="shared" si="75"/>
        <x:v/>
      </x:c>
      <x:c r="ES27" s="822" t="str">
        <x:f t="shared" si="76"/>
        <x:v/>
      </x:c>
      <x:c r="ET27" s="822" t="str">
        <x:f t="shared" si="77"/>
        <x:v/>
      </x:c>
      <x:c r="EU27" s="829">
        <x:f t="shared" si="78"/>
        <x:v>4</x:v>
      </x:c>
      <x:c r="EV27" s="824" t="str">
        <x:f t="shared" si="79"/>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80"/>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81"/>
        <x:v/>
      </x:c>
      <x:c r="FD27" s="821">
        <x:f t="shared" si="107"/>
        <x:v>0</x:v>
      </x:c>
      <x:c r="FE27" s="821">
        <x:f t="shared" si="82"/>
        <x:v>0</x:v>
      </x:c>
      <x:c r="FF27" s="821">
        <x:f t="shared" si="83"/>
        <x:v>0</x:v>
      </x:c>
      <x:c r="FG27" s="821" t="str">
        <x:f t="shared" si="84"/>
        <x:v/>
      </x:c>
      <x:c r="FH27" s="822" t="str">
        <x:f t="shared" si="85"/>
        <x:v/>
      </x:c>
      <x:c r="FI27" s="821">
        <x:f t="shared" si="108"/>
        <x:v>0</x:v>
      </x:c>
      <x:c r="FJ27" s="821">
        <x:f t="shared" si="86"/>
        <x:v>0</x:v>
      </x:c>
      <x:c r="FK27" s="821">
        <x:f t="shared" si="87"/>
        <x:v>0</x:v>
      </x:c>
      <x:c r="FL27" s="821" t="str">
        <x:f t="shared" si="88"/>
        <x:v/>
      </x:c>
      <x:c r="FM27" s="822" t="str">
        <x:f t="shared" si="89"/>
        <x:v/>
      </x:c>
      <x:c r="FN27" s="822" t="e">
        <x:f t="shared" si="90"/>
        <x:v>#VALUE!</x:v>
      </x:c>
      <x:c r="FO27" s="940" t="e">
        <x:f t="shared" si="91"/>
        <x:v>#VALUE!</x:v>
      </x:c>
      <x:c r="FP27" s="940" t="e">
        <x:f t="shared" si="92"/>
        <x:v>#VALUE!</x:v>
      </x:c>
      <x:c r="FQ27" s="830" t="e">
        <x:f t="shared" si="93"/>
        <x:v>#VALUE!</x:v>
      </x:c>
      <x:c r="FR27" s="831" t="e">
        <x:f t="shared" si="94"/>
        <x:v>#VALUE!</x:v>
      </x:c>
      <x:c r="FS27" s="832" t="str">
        <x:f t="shared" si="95"/>
        <x:v/>
      </x:c>
      <x:c r="FT27" s="833" t="str">
        <x:f t="shared" si="96"/>
        <x:v/>
      </x:c>
      <x:c r="FU27" s="870">
        <x:f t="shared" si="97"/>
        <x:v>0</x:v>
      </x:c>
      <x:c r="FV27" s="871">
        <x:f t="shared" si="98"/>
        <x:v>0</x:v>
      </x:c>
      <x:c r="GA27" s="1791">
        <x:v>50</x:v>
      </x:c>
      <x:c r="GB27" s="1792">
        <x:v>0</x:v>
      </x:c>
      <x:c r="GC27" s="1793">
        <x:v>-0.25</x:v>
      </x:c>
      <x:c r="GD27" s="1794">
        <x:v>-0.25</x:v>
      </x:c>
      <x:c r="GE27" s="1795">
        <x:f t="shared" si="99"/>
        <x:v>0</x:v>
      </x:c>
      <x:c r="GF27" s="600" t="str">
        <x:f t="shared" si="100"/>
        <x:v>J28</x:v>
      </x:c>
      <x:c r="GG27" s="1130">
        <x:v>0</x:v>
      </x:c>
      <x:c r="GH27" s="1131">
        <x:v>0</x:v>
      </x:c>
      <x:c r="GI27" s="1130"/>
      <x:c r="GJ27" s="1131"/>
      <x:c r="GK27" s="1638">
        <x:f t="shared" si="101"/>
        <x:v>599.5</x:v>
      </x:c>
      <x:c r="GL27" s="1636">
        <x:f t="shared" si="102"/>
        <x:v>599.5</x:v>
      </x:c>
      <x:c r="GM27" s="1637">
        <x:f>IF(ABS(GK27-GL27)&gt;='Job Info.'!$L$22,ABS(GK27-GL27),0)</x:f>
        <x:v>0</x:v>
      </x:c>
      <x:c r="HA27" s="1269" t="s">
        <x:v>1458</x:v>
      </x:c>
      <x:c r="HB27" s="1270">
        <x:v>2</x:v>
      </x:c>
      <x:c r="HC27" s="1270" t="s">
        <x:v>1592</x:v>
      </x:c>
      <x:c r="HD27" s="1271">
        <x:v>49</x:v>
      </x:c>
      <x:c r="HE27" s="1272">
        <x:v>11.5</x:v>
      </x:c>
      <x:c r="HF27" s="1270" t="s">
        <x:v>116</x:v>
      </x:c>
      <x:c r="HG27" s="1270" t="s">
        <x:v>116</x:v>
      </x:c>
      <x:c r="HH27" s="1270" t="s">
        <x:v>116</x:v>
      </x:c>
      <x:c r="HI27" s="1273" t="s">
        <x:v>116</x:v>
      </x:c>
      <x:c r="HJ27" s="1270" t="s">
        <x:v>116</x:v>
      </x:c>
      <x:c r="HK27" s="1270" t="s">
        <x:v>116</x:v>
      </x:c>
      <x:c r="HL27" s="1270">
        <x:v>5</x:v>
      </x:c>
      <x:c r="HM27" s="1270">
        <x:v>5</x:v>
      </x:c>
      <x:c r="HN27" s="1270" t="s">
        <x:v>116</x:v>
      </x:c>
      <x:c r="HO27" s="1270" t="s">
        <x:v>116</x:v>
      </x:c>
      <x:c r="HP27" s="1270" t="s">
        <x:v>116</x:v>
      </x:c>
      <x:c r="HQ27" s="1273" t="s">
        <x:v>116</x:v>
      </x:c>
      <x:c r="HR27" s="1270" t="s">
        <x:v>116</x:v>
      </x:c>
      <x:c r="HS27" s="1270" t="s">
        <x:v>116</x:v>
      </x:c>
      <x:c r="HT27" s="1270">
        <x:v>0</x:v>
      </x:c>
      <x:c r="HU27" s="1270">
        <x:v>2.25</x:v>
      </x:c>
      <x:c r="HV27" s="1270">
        <x:v>0</x:v>
      </x:c>
      <x:c r="HW27" s="1272">
        <x:v>2.25</x:v>
      </x:c>
      <x:c r="HX27" s="1272">
        <x:v>4</x:v>
      </x:c>
      <x:c r="HY27" s="1272" t="s">
        <x:v>116</x:v>
      </x:c>
      <x:c r="HZ27" s="1272" t="s">
        <x:v>116</x:v>
      </x:c>
      <x:c r="IA27" s="1272" t="s">
        <x:v>1669</x:v>
      </x:c>
      <x:c r="IB27" s="1272"/>
      <x:c r="IC27" s="1272"/>
      <x:c r="ID27" s="1272"/>
      <x:c r="IE27" s="1272"/>
      <x:c r="IF27" s="1274"/>
    </x:row>
    <x:row r="28" spans="1:240" ht="12.6" customHeight="1" x14ac:dyDescent="0.25">
      <x:c r="A28" s="2764" t="s">
        <x:v>1459</x:v>
      </x:c>
      <x:c r="B28" s="2765">
        <x:v>6</x:v>
      </x:c>
      <x:c r="C28" s="2766" t="s">
        <x:v>1592</x:v>
      </x:c>
      <x:c r="D28" s="2767">
        <x:v>49</x:v>
      </x:c>
      <x:c r="E28" s="2768">
        <x:v>11.5</x:v>
      </x:c>
      <x:c r="F28" s="2776" t="str">
        <x:f t="shared" si="1"/>
        <x:v/>
      </x:c>
      <x:c r="G28" s="2771" t="str">
        <x:f t="shared" si="2"/>
        <x:v/>
      </x:c>
      <x:c r="H28" s="2842" t="str">
        <x:f t="shared" si="3"/>
        <x:v/>
      </x:c>
      <x:c r="I28" s="2767" t="str">
        <x:f t="shared" si="4"/>
        <x:v/>
      </x:c>
      <x:c r="J28" s="2771" t="str">
        <x:f t="shared" si="5"/>
        <x:v/>
      </x:c>
      <x:c r="K28" s="2855" t="str">
        <x:f t="shared" si="6"/>
        <x:v/>
      </x:c>
      <x:c r="L28" s="2774">
        <x:v>5</x:v>
      </x:c>
      <x:c r="M28" s="2775">
        <x:v>5</x:v>
      </x:c>
      <x:c r="N28" s="2770" t="str">
        <x:f t="shared" si="103"/>
        <x:v/>
      </x:c>
      <x:c r="O28" s="2771" t="str">
        <x:f t="shared" si="104"/>
        <x:v/>
      </x:c>
      <x:c r="P28" s="2772" t="str">
        <x:f t="shared" si="105"/>
        <x:v/>
      </x:c>
      <x:c r="Q28" s="2767" t="str">
        <x:f t="shared" si="7"/>
        <x:v/>
      </x:c>
      <x:c r="R28" s="2771" t="str">
        <x:f t="shared" si="8"/>
        <x:v/>
      </x:c>
      <x:c r="S28" s="2773" t="str">
        <x:f t="shared" si="9"/>
        <x:v/>
      </x:c>
      <x:c r="T28" s="2776">
        <x:v>0</x:v>
      </x:c>
      <x:c r="U28" s="2771">
        <x:v>2.25</x:v>
      </x:c>
      <x:c r="V28" s="2767">
        <x:v>0</x:v>
      </x:c>
      <x:c r="W28" s="2771">
        <x:v>2.25</x:v>
      </x:c>
      <x:c r="X28" s="2775">
        <x:v>4</x:v>
      </x:c>
      <x:c r="Y28" s="2844" t="str">
        <x:f t="shared" si="10"/>
        <x:v/>
      </x:c>
      <x:c r="Z28" s="2845" t="str">
        <x:f t="shared" si="11"/>
        <x:v/>
      </x:c>
      <x:c r="AA28" s="2846" t="s">
        <x:v>1670</x:v>
      </x:c>
      <x:c r="AB28" s="1413"/>
      <x:c r="AC28" s="964" t="b">
        <x:v>0</x:v>
      </x:c>
      <x:c r="AD28" s="441">
        <x:f t="shared" si="12"/>
        <x:v>0</x:v>
      </x:c>
      <x:c r="AE28" s="442">
        <x:f t="shared" si="13"/>
        <x:v>6</x:v>
      </x:c>
      <x:c r="AF28" s="442">
        <x:f t="shared" si="14"/>
        <x:v>0</x:v>
      </x:c>
      <x:c r="AG28" s="442">
        <x:f t="shared" si="15"/>
        <x:v>0</x:v>
      </x:c>
      <x:c r="AH28" s="443">
        <x:f t="shared" si="16"/>
        <x:v>0</x:v>
      </x:c>
      <x:c r="AI28" s="444" t="b">
        <x:v>0</x:v>
      </x:c>
      <x:c r="AJ28" s="238">
        <x:f t="shared" si="17"/>
        <x:v>32</x:v>
      </x:c>
      <x:c r="AK28" s="830" t="str">
        <x:f t="shared" si="18"/>
        <x:v>LH</x:v>
      </x:c>
      <x:c r="AL28" s="945" t="str">
        <x:f t="shared" si="19"/>
        <x:v/>
      </x:c>
      <x:c r="AM28" s="830">
        <x:f t="shared" si="20"/>
        <x:v>305</x:v>
      </x:c>
      <x:c r="AN28" s="830">
        <x:f t="shared" si="21"/>
        <x:v>180</x:v>
      </x:c>
      <x:c r="AO28" s="830" t="str">
        <x:f t="shared" si="22"/>
        <x:v/>
      </x:c>
      <x:c r="AP28" s="830" t="b">
        <x:f>IF(ISERROR(AJ28),FALSE,IF(OR(AJ28=0,ISERROR(AL28),ISERROR(AM28),ISERROR(AN28),ISERROR(AO28)),FALSE,IF(AL28&lt;&gt;"",IF(ISERROR(VLOOKUP(SUBSTITUTE(SUBSTITUTE(C28,"R",""),"A",""),TblJoistSize!$A:$A,1,FALSE)),FALSE,TRUE),TRUE)))</x:f>
        <x:v>1</x:v>
      </x:c>
      <x:c r="AQ28" s="1038">
        <x:f t="shared" si="23"/>
        <x:v>6</x:v>
      </x:c>
      <x:c r="AR28" s="945" t="b">
        <x:f t="shared" si="24"/>
        <x:v>1</x:v>
      </x:c>
      <x:c r="AS28" s="1038">
        <x:f t="shared" si="25"/>
        <x:v>6</x:v>
      </x:c>
      <x:c r="AT28" s="945" t="b">
        <x:f t="shared" si="26"/>
        <x:v>1</x:v>
      </x:c>
      <x:c r="AU28" s="946" t="str">
        <x:f t="shared" si="27"/>
        <x:v>LH</x:v>
      </x:c>
      <x:c r="AV28" s="830" t="str">
        <x:f t="shared" si="28"/>
        <x:v/>
      </x:c>
      <x:c r="AW28" s="830" t="str">
        <x:f t="shared" si="29"/>
        <x:v>LH</x:v>
      </x:c>
      <x:c r="AX28" s="830" t="str">
        <x:f t="shared" si="106"/>
        <x:v>J29</x:v>
      </x:c>
      <x:c r="AY28" s="1039" t="b">
        <x:f t="shared" si="30"/>
        <x:v>0</x:v>
      </x:c>
      <x:c r="AZ28" s="856" t="b">
        <x:f t="shared" si="31"/>
        <x:v>0</x:v>
      </x:c>
      <x:c r="BA28" s="549"/>
      <x:c r="BB28" s="672"/>
      <x:c r="BC28" s="1684"/>
      <x:c r="BD28" s="733"/>
      <x:c r="BE28" s="734"/>
      <x:c r="BF28" s="735"/>
      <x:c r="BG28" s="672"/>
      <x:c r="BH28" s="982"/>
      <x:c r="BI28" s="983"/>
      <x:c r="BJ28" s="1625"/>
      <x:c r="BK28" s="713"/>
      <x:c r="BL28" s="714"/>
      <x:c r="BM28" s="715"/>
      <x:c r="BN28" s="716"/>
      <x:c r="BO28" s="672" t="str">
        <x:f>IF(ISERROR(CU28),"",IF(CU28="","",IF(VLOOKUP(BG28,SectInfo!$B:$N,10,FALSE)="","","X")))</x:f>
        <x:v/>
      </x:c>
      <x:c r="BP28" s="738"/>
      <x:c r="BQ28" s="1551" t="str">
        <x:f t="shared" si="32"/>
        <x:v/>
      </x:c>
      <x:c r="BR28" s="910"/>
      <x:c r="BS28" s="672"/>
      <x:c r="BT28" s="713"/>
      <x:c r="BU28" s="714"/>
      <x:c r="BV28" s="1625"/>
      <x:c r="BW28" s="713"/>
      <x:c r="BX28" s="714"/>
      <x:c r="BY28" s="715"/>
      <x:c r="BZ28" s="716"/>
      <x:c r="CA28" s="680" t="str">
        <x:f>IF(ISERROR(DE28),"",IF(DE28="","",IF(VLOOKUP(BS28,SectInfo!$B:$N,10,FALSE)="","","X")))</x:f>
        <x:v/>
      </x:c>
      <x:c r="CB28" s="738"/>
      <x:c r="CC28" s="1551" t="str">
        <x:f t="shared" si="33"/>
        <x:v/>
      </x:c>
      <x:c r="CD28" s="910"/>
      <x:c r="CE28" s="717"/>
      <x:c r="CF28" s="736"/>
      <x:c r="CG28" s="737"/>
      <x:c r="CH28" s="591" t="str">
        <x:f t="shared" si="34"/>
        <x:v/>
      </x:c>
      <x:c r="CI28" s="592" t="str">
        <x:f t="shared" si="35"/>
        <x:v/>
      </x:c>
      <x:c r="CJ28" s="593" t="str">
        <x:f t="shared" si="36"/>
        <x:v/>
      </x:c>
      <x:c r="CK28" s="594" t="str">
        <x:f t="shared" si="37"/>
        <x:v/>
      </x:c>
      <x:c r="CL28" s="595" t="str">
        <x:f t="shared" si="38"/>
        <x:v/>
      </x:c>
      <x:c r="CM28" s="596" t="str">
        <x:f t="shared" si="39"/>
        <x:v/>
      </x:c>
      <x:c r="CN28" s="597" t="str">
        <x:f t="shared" si="40"/>
        <x:v/>
      </x:c>
      <x:c r="CO28" s="598" t="str">
        <x:f t="shared" si="41"/>
        <x:v/>
      </x:c>
      <x:c r="CP28" s="615" t="str">
        <x:f t="shared" si="42"/>
        <x:v/>
      </x:c>
      <x:c r="CQ28" s="616" t="str">
        <x:f t="shared" si="43"/>
        <x:v/>
      </x:c>
      <x:c r="CR28" s="750">
        <x:f t="shared" si="44"/>
        <x:v>5</x:v>
      </x:c>
      <x:c r="CS28" s="751">
        <x:f t="shared" si="45"/>
        <x:v>5</x:v>
      </x:c>
      <x:c r="CU28" s="817" t="str">
        <x:f>IF(BG28="","",VLOOKUP(BG28,SectInfo!$B:$N,12,FALSE))</x:f>
        <x:v/>
      </x:c>
      <x:c r="CV28" s="815" t="str">
        <x:f>IF(BG28="","",IF(ISBLANK(BP28),VLOOKUP(BG28,SectInfo!$B:$N,13,FALSE),BP28))</x:f>
        <x:v/>
      </x:c>
      <x:c r="CW28" s="8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8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46"/>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47"/>
        <x:v>0</x:v>
      </x:c>
      <x:c r="DO28" s="818">
        <x:f t="shared" si="48"/>
        <x:v>0</x:v>
      </x:c>
      <x:c r="DP28" s="822" t="str">
        <x:f t="shared" si="49"/>
        <x:v/>
      </x:c>
      <x:c r="DQ28" s="822" t="str">
        <x:f t="shared" si="50"/>
        <x:v/>
      </x:c>
      <x:c r="DR28" s="822" t="str">
        <x:f t="shared" si="51"/>
        <x:v/>
      </x:c>
      <x:c r="DS28" s="821">
        <x:f t="shared" si="52"/>
        <x:v>0</x:v>
      </x:c>
      <x:c r="DT28" s="821">
        <x:f t="shared" si="53"/>
        <x:v>0</x:v>
      </x:c>
      <x:c r="DU28" s="821" t="str">
        <x:f t="shared" si="54"/>
        <x:v/>
      </x:c>
      <x:c r="DV28" s="822" t="str">
        <x:f t="shared" si="55"/>
        <x:v/>
      </x:c>
      <x:c r="DW28" s="856" t="str">
        <x:f t="shared" si="56"/>
        <x:v/>
      </x:c>
      <x:c r="DX28" s="1006">
        <x:f t="shared" si="57"/>
        <x:v>0</x:v>
      </x:c>
      <x:c r="DY28" s="822">
        <x:f t="shared" si="58"/>
        <x:v>0</x:v>
      </x:c>
      <x:c r="DZ28" s="821">
        <x:f t="shared" si="59"/>
        <x:v>0</x:v>
      </x:c>
      <x:c r="EA28" s="821" t="str">
        <x:f t="shared" si="60"/>
        <x:v/>
      </x:c>
      <x:c r="EB28" s="822" t="str">
        <x:f t="shared" si="61"/>
        <x:v/>
      </x:c>
      <x:c r="EC28" s="856" t="str">
        <x:f t="shared" si="62"/>
        <x:v/>
      </x:c>
      <x:c r="ED28" s="1006">
        <x:f t="shared" si="63"/>
        <x:v>0</x:v>
      </x:c>
      <x:c r="EE28" s="1293" t="str">
        <x:f t="shared" si="64"/>
        <x:v/>
      </x:c>
      <x:c r="EF28" s="1293" t="str">
        <x:f t="shared" si="65"/>
        <x:v/>
      </x:c>
      <x:c r="EG28" s="1293" t="str">
        <x:f t="shared" si="66"/>
        <x:v/>
      </x:c>
      <x:c r="EH28" s="856" t="str">
        <x:f t="shared" si="67"/>
        <x:v>ERR</x:v>
      </x:c>
      <x:c r="EI28" s="856" t="str">
        <x:f t="shared" si="68"/>
        <x:v>ERR</x:v>
      </x:c>
      <x:c r="EJ28" s="822" t="str">
        <x:f t="shared" si="69"/>
        <x:v/>
      </x:c>
      <x:c r="EK28" s="822" t="str">
        <x:f t="shared" si="69"/>
        <x:v/>
      </x:c>
      <x:c r="EL28" s="1293" t="str">
        <x:f t="shared" si="70"/>
        <x:v/>
      </x:c>
      <x:c r="EM28" s="822" t="str">
        <x:f t="shared" si="71"/>
        <x:v/>
      </x:c>
      <x:c r="EN28" s="822" t="str">
        <x:f t="shared" si="72"/>
        <x:v/>
      </x:c>
      <x:c r="EO28" s="856" t="str">
        <x:f t="shared" si="73"/>
        <x:v>ERR</x:v>
      </x:c>
      <x:c r="EP28" s="856" t="str">
        <x:f t="shared" si="74"/>
        <x:v>ERR</x:v>
      </x:c>
      <x:c r="EQ28" s="1293" t="str">
        <x:f t="shared" si="75"/>
        <x:v/>
      </x:c>
      <x:c r="ER28" s="822" t="str">
        <x:f t="shared" si="75"/>
        <x:v/>
      </x:c>
      <x:c r="ES28" s="822" t="str">
        <x:f t="shared" si="76"/>
        <x:v/>
      </x:c>
      <x:c r="ET28" s="822" t="str">
        <x:f t="shared" si="77"/>
        <x:v/>
      </x:c>
      <x:c r="EU28" s="829">
        <x:f t="shared" si="78"/>
        <x:v>4</x:v>
      </x:c>
      <x:c r="EV28" s="824" t="str">
        <x:f t="shared" si="79"/>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80"/>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81"/>
        <x:v/>
      </x:c>
      <x:c r="FD28" s="821">
        <x:f t="shared" si="107"/>
        <x:v>0</x:v>
      </x:c>
      <x:c r="FE28" s="821">
        <x:f t="shared" si="82"/>
        <x:v>0</x:v>
      </x:c>
      <x:c r="FF28" s="821">
        <x:f t="shared" si="83"/>
        <x:v>0</x:v>
      </x:c>
      <x:c r="FG28" s="821" t="str">
        <x:f t="shared" si="84"/>
        <x:v/>
      </x:c>
      <x:c r="FH28" s="822" t="str">
        <x:f t="shared" si="85"/>
        <x:v/>
      </x:c>
      <x:c r="FI28" s="821">
        <x:f t="shared" si="108"/>
        <x:v>0</x:v>
      </x:c>
      <x:c r="FJ28" s="821">
        <x:f t="shared" si="86"/>
        <x:v>0</x:v>
      </x:c>
      <x:c r="FK28" s="821">
        <x:f t="shared" si="87"/>
        <x:v>0</x:v>
      </x:c>
      <x:c r="FL28" s="821" t="str">
        <x:f t="shared" si="88"/>
        <x:v/>
      </x:c>
      <x:c r="FM28" s="822" t="str">
        <x:f t="shared" si="89"/>
        <x:v/>
      </x:c>
      <x:c r="FN28" s="822" t="e">
        <x:f t="shared" si="90"/>
        <x:v>#VALUE!</x:v>
      </x:c>
      <x:c r="FO28" s="940" t="e">
        <x:f t="shared" si="91"/>
        <x:v>#VALUE!</x:v>
      </x:c>
      <x:c r="FP28" s="940" t="e">
        <x:f t="shared" si="92"/>
        <x:v>#VALUE!</x:v>
      </x:c>
      <x:c r="FQ28" s="830" t="e">
        <x:f t="shared" si="93"/>
        <x:v>#VALUE!</x:v>
      </x:c>
      <x:c r="FR28" s="831" t="e">
        <x:f t="shared" si="94"/>
        <x:v>#VALUE!</x:v>
      </x:c>
      <x:c r="FS28" s="832" t="str">
        <x:f t="shared" si="95"/>
        <x:v/>
      </x:c>
      <x:c r="FT28" s="833" t="str">
        <x:f t="shared" si="96"/>
        <x:v/>
      </x:c>
      <x:c r="FU28" s="870">
        <x:f t="shared" si="97"/>
        <x:v>0</x:v>
      </x:c>
      <x:c r="FV28" s="871">
        <x:f t="shared" si="98"/>
        <x:v>0</x:v>
      </x:c>
      <x:c r="GA28" s="1791">
        <x:v>50</x:v>
      </x:c>
      <x:c r="GB28" s="1792">
        <x:v>0</x:v>
      </x:c>
      <x:c r="GC28" s="1793">
        <x:v>-0.25</x:v>
      </x:c>
      <x:c r="GD28" s="1794">
        <x:v>-0.25</x:v>
      </x:c>
      <x:c r="GE28" s="1795">
        <x:f t="shared" si="99"/>
        <x:v>0</x:v>
      </x:c>
      <x:c r="GF28" s="600" t="str">
        <x:f t="shared" si="100"/>
        <x:v>J29</x:v>
      </x:c>
      <x:c r="GG28" s="1130">
        <x:v>0</x:v>
      </x:c>
      <x:c r="GH28" s="1131">
        <x:v>0</x:v>
      </x:c>
      <x:c r="GI28" s="1130"/>
      <x:c r="GJ28" s="1131"/>
      <x:c r="GK28" s="1638">
        <x:f t="shared" si="101"/>
        <x:v>599.5</x:v>
      </x:c>
      <x:c r="GL28" s="1636">
        <x:f t="shared" si="102"/>
        <x:v>599.5</x:v>
      </x:c>
      <x:c r="GM28" s="1637">
        <x:f>IF(ABS(GK28-GL28)&gt;='Job Info.'!$L$22,ABS(GK28-GL28),0)</x:f>
        <x:v>0</x:v>
      </x:c>
      <x:c r="HA28" s="1269" t="s">
        <x:v>1459</x:v>
      </x:c>
      <x:c r="HB28" s="1270">
        <x:v>6</x:v>
      </x:c>
      <x:c r="HC28" s="1270" t="s">
        <x:v>1592</x:v>
      </x:c>
      <x:c r="HD28" s="1271">
        <x:v>49</x:v>
      </x:c>
      <x:c r="HE28" s="1272">
        <x:v>11.5</x:v>
      </x:c>
      <x:c r="HF28" s="1270" t="s">
        <x:v>116</x:v>
      </x:c>
      <x:c r="HG28" s="1270" t="s">
        <x:v>116</x:v>
      </x:c>
      <x:c r="HH28" s="1270" t="s">
        <x:v>116</x:v>
      </x:c>
      <x:c r="HI28" s="1273" t="s">
        <x:v>116</x:v>
      </x:c>
      <x:c r="HJ28" s="1270" t="s">
        <x:v>116</x:v>
      </x:c>
      <x:c r="HK28" s="1270" t="s">
        <x:v>116</x:v>
      </x:c>
      <x:c r="HL28" s="1270">
        <x:v>5</x:v>
      </x:c>
      <x:c r="HM28" s="1270">
        <x:v>5</x:v>
      </x:c>
      <x:c r="HN28" s="1270" t="s">
        <x:v>116</x:v>
      </x:c>
      <x:c r="HO28" s="1270" t="s">
        <x:v>116</x:v>
      </x:c>
      <x:c r="HP28" s="1270" t="s">
        <x:v>116</x:v>
      </x:c>
      <x:c r="HQ28" s="1273" t="s">
        <x:v>116</x:v>
      </x:c>
      <x:c r="HR28" s="1270" t="s">
        <x:v>116</x:v>
      </x:c>
      <x:c r="HS28" s="1270" t="s">
        <x:v>116</x:v>
      </x:c>
      <x:c r="HT28" s="1270">
        <x:v>0</x:v>
      </x:c>
      <x:c r="HU28" s="1270">
        <x:v>2.25</x:v>
      </x:c>
      <x:c r="HV28" s="1270">
        <x:v>0</x:v>
      </x:c>
      <x:c r="HW28" s="1272">
        <x:v>2.25</x:v>
      </x:c>
      <x:c r="HX28" s="1272">
        <x:v>4</x:v>
      </x:c>
      <x:c r="HY28" s="1272" t="s">
        <x:v>116</x:v>
      </x:c>
      <x:c r="HZ28" s="1272" t="s">
        <x:v>116</x:v>
      </x:c>
      <x:c r="IA28" s="1272" t="s">
        <x:v>1670</x:v>
      </x:c>
      <x:c r="IB28" s="1272"/>
      <x:c r="IC28" s="1272"/>
      <x:c r="ID28" s="1272"/>
      <x:c r="IE28" s="1272"/>
      <x:c r="IF28" s="1274"/>
    </x:row>
    <x:row r="29" spans="1:240" ht="12.6" customHeight="1" x14ac:dyDescent="0.25">
      <x:c r="A29" s="2764" t="s">
        <x:v>1460</x:v>
      </x:c>
      <x:c r="B29" s="2765">
        <x:v>22</x:v>
      </x:c>
      <x:c r="C29" s="2766" t="s">
        <x:v>1592</x:v>
      </x:c>
      <x:c r="D29" s="2767">
        <x:v>49</x:v>
      </x:c>
      <x:c r="E29" s="2768">
        <x:v>11.5</x:v>
      </x:c>
      <x:c r="F29" s="2776" t="str">
        <x:f t="shared" si="1"/>
        <x:v/>
      </x:c>
      <x:c r="G29" s="2771" t="str">
        <x:f t="shared" si="2"/>
        <x:v/>
      </x:c>
      <x:c r="H29" s="2842" t="str">
        <x:f t="shared" si="3"/>
        <x:v/>
      </x:c>
      <x:c r="I29" s="2767" t="str">
        <x:f t="shared" si="4"/>
        <x:v/>
      </x:c>
      <x:c r="J29" s="2771" t="str">
        <x:f t="shared" si="5"/>
        <x:v/>
      </x:c>
      <x:c r="K29" s="2855" t="str">
        <x:f t="shared" si="6"/>
        <x:v/>
      </x:c>
      <x:c r="L29" s="2774">
        <x:v>5</x:v>
      </x:c>
      <x:c r="M29" s="2775">
        <x:v>5</x:v>
      </x:c>
      <x:c r="N29" s="2770" t="str">
        <x:f t="shared" si="103"/>
        <x:v/>
      </x:c>
      <x:c r="O29" s="2771" t="str">
        <x:f t="shared" si="104"/>
        <x:v/>
      </x:c>
      <x:c r="P29" s="2772" t="str">
        <x:f t="shared" si="105"/>
        <x:v/>
      </x:c>
      <x:c r="Q29" s="2767" t="str">
        <x:f t="shared" si="7"/>
        <x:v/>
      </x:c>
      <x:c r="R29" s="2771" t="str">
        <x:f t="shared" si="8"/>
        <x:v/>
      </x:c>
      <x:c r="S29" s="2773" t="str">
        <x:f t="shared" si="9"/>
        <x:v/>
      </x:c>
      <x:c r="T29" s="2776">
        <x:v>0</x:v>
      </x:c>
      <x:c r="U29" s="2771">
        <x:v>2.25</x:v>
      </x:c>
      <x:c r="V29" s="2767">
        <x:v>0</x:v>
      </x:c>
      <x:c r="W29" s="2771">
        <x:v>2.25</x:v>
      </x:c>
      <x:c r="X29" s="2775">
        <x:v>4</x:v>
      </x:c>
      <x:c r="Y29" s="2844" t="str">
        <x:f t="shared" si="10"/>
        <x:v/>
      </x:c>
      <x:c r="Z29" s="2845" t="str">
        <x:f t="shared" si="11"/>
        <x:v/>
      </x:c>
      <x:c r="AA29" s="2846" t="s">
        <x:v>1671</x:v>
      </x:c>
      <x:c r="AB29" s="1413"/>
      <x:c r="AC29" s="964" t="b">
        <x:v>0</x:v>
      </x:c>
      <x:c r="AD29" s="441">
        <x:f t="shared" si="12"/>
        <x:v>0</x:v>
      </x:c>
      <x:c r="AE29" s="442">
        <x:f t="shared" si="13"/>
        <x:v>22</x:v>
      </x:c>
      <x:c r="AF29" s="442">
        <x:f t="shared" si="14"/>
        <x:v>0</x:v>
      </x:c>
      <x:c r="AG29" s="442">
        <x:f t="shared" si="15"/>
        <x:v>0</x:v>
      </x:c>
      <x:c r="AH29" s="443">
        <x:f t="shared" si="16"/>
        <x:v>0</x:v>
      </x:c>
      <x:c r="AI29" s="444" t="b">
        <x:v>0</x:v>
      </x:c>
      <x:c r="AJ29" s="238">
        <x:f t="shared" si="17"/>
        <x:v>32</x:v>
      </x:c>
      <x:c r="AK29" s="830" t="str">
        <x:f t="shared" si="18"/>
        <x:v>LH</x:v>
      </x:c>
      <x:c r="AL29" s="945" t="str">
        <x:f t="shared" si="19"/>
        <x:v/>
      </x:c>
      <x:c r="AM29" s="830">
        <x:f t="shared" si="20"/>
        <x:v>305</x:v>
      </x:c>
      <x:c r="AN29" s="830">
        <x:f t="shared" si="21"/>
        <x:v>180</x:v>
      </x:c>
      <x:c r="AO29" s="830" t="str">
        <x:f t="shared" si="22"/>
        <x:v/>
      </x:c>
      <x:c r="AP29" s="830" t="b">
        <x:f>IF(ISERROR(AJ29),FALSE,IF(OR(AJ29=0,ISERROR(AL29),ISERROR(AM29),ISERROR(AN29),ISERROR(AO29)),FALSE,IF(AL29&lt;&gt;"",IF(ISERROR(VLOOKUP(SUBSTITUTE(SUBSTITUTE(C29,"R",""),"A",""),TblJoistSize!$A:$A,1,FALSE)),FALSE,TRUE),TRUE)))</x:f>
        <x:v>1</x:v>
      </x:c>
      <x:c r="AQ29" s="1038">
        <x:f t="shared" si="23"/>
        <x:v>6</x:v>
      </x:c>
      <x:c r="AR29" s="945" t="b">
        <x:f t="shared" si="24"/>
        <x:v>1</x:v>
      </x:c>
      <x:c r="AS29" s="1038">
        <x:f t="shared" si="25"/>
        <x:v>6</x:v>
      </x:c>
      <x:c r="AT29" s="945" t="b">
        <x:f t="shared" si="26"/>
        <x:v>1</x:v>
      </x:c>
      <x:c r="AU29" s="946" t="str">
        <x:f t="shared" si="27"/>
        <x:v>LH</x:v>
      </x:c>
      <x:c r="AV29" s="830" t="str">
        <x:f t="shared" si="28"/>
        <x:v/>
      </x:c>
      <x:c r="AW29" s="830" t="str">
        <x:f t="shared" si="29"/>
        <x:v>LH</x:v>
      </x:c>
      <x:c r="AX29" s="830" t="str">
        <x:f t="shared" si="106"/>
        <x:v>J30</x:v>
      </x:c>
      <x:c r="AY29" s="1039" t="b">
        <x:f t="shared" si="30"/>
        <x:v>0</x:v>
      </x:c>
      <x:c r="AZ29" s="856" t="b">
        <x:f t="shared" si="31"/>
        <x:v>0</x:v>
      </x:c>
      <x:c r="BA29" s="549"/>
      <x:c r="BB29" s="672"/>
      <x:c r="BC29" s="1684"/>
      <x:c r="BD29" s="733"/>
      <x:c r="BE29" s="734"/>
      <x:c r="BF29" s="735"/>
      <x:c r="BG29" s="672"/>
      <x:c r="BH29" s="982"/>
      <x:c r="BI29" s="983"/>
      <x:c r="BJ29" s="1625"/>
      <x:c r="BK29" s="713"/>
      <x:c r="BL29" s="714"/>
      <x:c r="BM29" s="715"/>
      <x:c r="BN29" s="716"/>
      <x:c r="BO29" s="672" t="str">
        <x:f>IF(ISERROR(CU29),"",IF(CU29="","",IF(VLOOKUP(BG29,SectInfo!$B:$N,10,FALSE)="","","X")))</x:f>
        <x:v/>
      </x:c>
      <x:c r="BP29" s="738"/>
      <x:c r="BQ29" s="1551" t="str">
        <x:f t="shared" si="32"/>
        <x:v/>
      </x:c>
      <x:c r="BR29" s="910"/>
      <x:c r="BS29" s="672"/>
      <x:c r="BT29" s="713"/>
      <x:c r="BU29" s="714"/>
      <x:c r="BV29" s="1625"/>
      <x:c r="BW29" s="713"/>
      <x:c r="BX29" s="714"/>
      <x:c r="BY29" s="715"/>
      <x:c r="BZ29" s="716"/>
      <x:c r="CA29" s="680" t="str">
        <x:f>IF(ISERROR(DE29),"",IF(DE29="","",IF(VLOOKUP(BS29,SectInfo!$B:$N,10,FALSE)="","","X")))</x:f>
        <x:v/>
      </x:c>
      <x:c r="CB29" s="738"/>
      <x:c r="CC29" s="1551" t="str">
        <x:f t="shared" si="33"/>
        <x:v/>
      </x:c>
      <x:c r="CD29" s="910"/>
      <x:c r="CE29" s="717"/>
      <x:c r="CF29" s="736"/>
      <x:c r="CG29" s="737"/>
      <x:c r="CH29" s="591" t="str">
        <x:f t="shared" si="34"/>
        <x:v/>
      </x:c>
      <x:c r="CI29" s="592" t="str">
        <x:f t="shared" si="35"/>
        <x:v/>
      </x:c>
      <x:c r="CJ29" s="593" t="str">
        <x:f t="shared" si="36"/>
        <x:v/>
      </x:c>
      <x:c r="CK29" s="594" t="str">
        <x:f t="shared" si="37"/>
        <x:v/>
      </x:c>
      <x:c r="CL29" s="595" t="str">
        <x:f t="shared" si="38"/>
        <x:v/>
      </x:c>
      <x:c r="CM29" s="596" t="str">
        <x:f t="shared" si="39"/>
        <x:v/>
      </x:c>
      <x:c r="CN29" s="597" t="str">
        <x:f t="shared" si="40"/>
        <x:v/>
      </x:c>
      <x:c r="CO29" s="598" t="str">
        <x:f t="shared" si="41"/>
        <x:v/>
      </x:c>
      <x:c r="CP29" s="615" t="str">
        <x:f t="shared" si="42"/>
        <x:v/>
      </x:c>
      <x:c r="CQ29" s="616" t="str">
        <x:f t="shared" si="43"/>
        <x:v/>
      </x:c>
      <x:c r="CR29" s="750">
        <x:f t="shared" si="44"/>
        <x:v>5</x:v>
      </x:c>
      <x:c r="CS29" s="751">
        <x:f t="shared" si="45"/>
        <x:v>5</x:v>
      </x:c>
      <x:c r="CU29" s="817" t="str">
        <x:f>IF(BG29="","",VLOOKUP(BG29,SectInfo!$B:$N,12,FALSE))</x:f>
        <x:v/>
      </x:c>
      <x:c r="CV29" s="815" t="str">
        <x:f>IF(BG29="","",IF(ISBLANK(BP29),VLOOKUP(BG29,SectInfo!$B:$N,13,FALSE),BP29))</x:f>
        <x:v/>
      </x:c>
      <x:c r="CW29" s="8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8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46"/>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47"/>
        <x:v>0</x:v>
      </x:c>
      <x:c r="DO29" s="818">
        <x:f t="shared" si="48"/>
        <x:v>0</x:v>
      </x:c>
      <x:c r="DP29" s="822" t="str">
        <x:f t="shared" si="49"/>
        <x:v/>
      </x:c>
      <x:c r="DQ29" s="822" t="str">
        <x:f t="shared" si="50"/>
        <x:v/>
      </x:c>
      <x:c r="DR29" s="822" t="str">
        <x:f t="shared" si="51"/>
        <x:v/>
      </x:c>
      <x:c r="DS29" s="821">
        <x:f t="shared" si="52"/>
        <x:v>0</x:v>
      </x:c>
      <x:c r="DT29" s="821">
        <x:f t="shared" si="53"/>
        <x:v>0</x:v>
      </x:c>
      <x:c r="DU29" s="821" t="str">
        <x:f t="shared" si="54"/>
        <x:v/>
      </x:c>
      <x:c r="DV29" s="822" t="str">
        <x:f t="shared" si="55"/>
        <x:v/>
      </x:c>
      <x:c r="DW29" s="856" t="str">
        <x:f t="shared" si="56"/>
        <x:v/>
      </x:c>
      <x:c r="DX29" s="1006">
        <x:f t="shared" si="57"/>
        <x:v>0</x:v>
      </x:c>
      <x:c r="DY29" s="822">
        <x:f t="shared" si="58"/>
        <x:v>0</x:v>
      </x:c>
      <x:c r="DZ29" s="821">
        <x:f t="shared" si="59"/>
        <x:v>0</x:v>
      </x:c>
      <x:c r="EA29" s="821" t="str">
        <x:f t="shared" si="60"/>
        <x:v/>
      </x:c>
      <x:c r="EB29" s="822" t="str">
        <x:f t="shared" si="61"/>
        <x:v/>
      </x:c>
      <x:c r="EC29" s="856" t="str">
        <x:f t="shared" si="62"/>
        <x:v/>
      </x:c>
      <x:c r="ED29" s="1006">
        <x:f t="shared" si="63"/>
        <x:v>0</x:v>
      </x:c>
      <x:c r="EE29" s="1293" t="str">
        <x:f t="shared" si="64"/>
        <x:v/>
      </x:c>
      <x:c r="EF29" s="1293" t="str">
        <x:f t="shared" si="65"/>
        <x:v/>
      </x:c>
      <x:c r="EG29" s="1293" t="str">
        <x:f t="shared" si="66"/>
        <x:v/>
      </x:c>
      <x:c r="EH29" s="856" t="str">
        <x:f t="shared" si="67"/>
        <x:v>ERR</x:v>
      </x:c>
      <x:c r="EI29" s="856" t="str">
        <x:f t="shared" si="68"/>
        <x:v>ERR</x:v>
      </x:c>
      <x:c r="EJ29" s="822" t="str">
        <x:f t="shared" si="69"/>
        <x:v/>
      </x:c>
      <x:c r="EK29" s="822" t="str">
        <x:f t="shared" si="69"/>
        <x:v/>
      </x:c>
      <x:c r="EL29" s="1293" t="str">
        <x:f t="shared" si="70"/>
        <x:v/>
      </x:c>
      <x:c r="EM29" s="822" t="str">
        <x:f t="shared" si="71"/>
        <x:v/>
      </x:c>
      <x:c r="EN29" s="822" t="str">
        <x:f t="shared" si="72"/>
        <x:v/>
      </x:c>
      <x:c r="EO29" s="856" t="str">
        <x:f t="shared" si="73"/>
        <x:v>ERR</x:v>
      </x:c>
      <x:c r="EP29" s="856" t="str">
        <x:f t="shared" si="74"/>
        <x:v>ERR</x:v>
      </x:c>
      <x:c r="EQ29" s="1293" t="str">
        <x:f t="shared" si="75"/>
        <x:v/>
      </x:c>
      <x:c r="ER29" s="822" t="str">
        <x:f t="shared" si="75"/>
        <x:v/>
      </x:c>
      <x:c r="ES29" s="822" t="str">
        <x:f t="shared" si="76"/>
        <x:v/>
      </x:c>
      <x:c r="ET29" s="822" t="str">
        <x:f t="shared" si="77"/>
        <x:v/>
      </x:c>
      <x:c r="EU29" s="829">
        <x:f t="shared" si="78"/>
        <x:v>4</x:v>
      </x:c>
      <x:c r="EV29" s="824" t="str">
        <x:f t="shared" si="79"/>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80"/>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81"/>
        <x:v/>
      </x:c>
      <x:c r="FD29" s="821">
        <x:f t="shared" si="107"/>
        <x:v>0</x:v>
      </x:c>
      <x:c r="FE29" s="821">
        <x:f t="shared" si="82"/>
        <x:v>0</x:v>
      </x:c>
      <x:c r="FF29" s="821">
        <x:f t="shared" si="83"/>
        <x:v>0</x:v>
      </x:c>
      <x:c r="FG29" s="821" t="str">
        <x:f t="shared" si="84"/>
        <x:v/>
      </x:c>
      <x:c r="FH29" s="822" t="str">
        <x:f t="shared" si="85"/>
        <x:v/>
      </x:c>
      <x:c r="FI29" s="821">
        <x:f t="shared" si="108"/>
        <x:v>0</x:v>
      </x:c>
      <x:c r="FJ29" s="821">
        <x:f t="shared" si="86"/>
        <x:v>0</x:v>
      </x:c>
      <x:c r="FK29" s="821">
        <x:f t="shared" si="87"/>
        <x:v>0</x:v>
      </x:c>
      <x:c r="FL29" s="821" t="str">
        <x:f t="shared" si="88"/>
        <x:v/>
      </x:c>
      <x:c r="FM29" s="822" t="str">
        <x:f t="shared" si="89"/>
        <x:v/>
      </x:c>
      <x:c r="FN29" s="822" t="e">
        <x:f t="shared" si="90"/>
        <x:v>#VALUE!</x:v>
      </x:c>
      <x:c r="FO29" s="940" t="e">
        <x:f t="shared" si="91"/>
        <x:v>#VALUE!</x:v>
      </x:c>
      <x:c r="FP29" s="940" t="e">
        <x:f t="shared" si="92"/>
        <x:v>#VALUE!</x:v>
      </x:c>
      <x:c r="FQ29" s="830" t="e">
        <x:f t="shared" si="93"/>
        <x:v>#VALUE!</x:v>
      </x:c>
      <x:c r="FR29" s="831" t="e">
        <x:f t="shared" si="94"/>
        <x:v>#VALUE!</x:v>
      </x:c>
      <x:c r="FS29" s="832" t="str">
        <x:f t="shared" si="95"/>
        <x:v/>
      </x:c>
      <x:c r="FT29" s="833" t="str">
        <x:f t="shared" si="96"/>
        <x:v/>
      </x:c>
      <x:c r="FU29" s="870">
        <x:f t="shared" si="97"/>
        <x:v>0</x:v>
      </x:c>
      <x:c r="FV29" s="871">
        <x:f t="shared" si="98"/>
        <x:v>0</x:v>
      </x:c>
      <x:c r="GA29" s="1791">
        <x:v>50</x:v>
      </x:c>
      <x:c r="GB29" s="1792">
        <x:v>0</x:v>
      </x:c>
      <x:c r="GC29" s="1793">
        <x:v>-0.25</x:v>
      </x:c>
      <x:c r="GD29" s="1794">
        <x:v>-0.25</x:v>
      </x:c>
      <x:c r="GE29" s="1795">
        <x:f t="shared" si="99"/>
        <x:v>0</x:v>
      </x:c>
      <x:c r="GF29" s="600" t="str">
        <x:f t="shared" si="100"/>
        <x:v>J30</x:v>
      </x:c>
      <x:c r="GG29" s="1130">
        <x:v>0</x:v>
      </x:c>
      <x:c r="GH29" s="1131">
        <x:v>0</x:v>
      </x:c>
      <x:c r="GI29" s="1130"/>
      <x:c r="GJ29" s="1131"/>
      <x:c r="GK29" s="1638">
        <x:f t="shared" si="101"/>
        <x:v>599.5</x:v>
      </x:c>
      <x:c r="GL29" s="1636">
        <x:f t="shared" si="102"/>
        <x:v>599.5</x:v>
      </x:c>
      <x:c r="GM29" s="1637">
        <x:f>IF(ABS(GK29-GL29)&gt;='Job Info.'!$L$22,ABS(GK29-GL29),0)</x:f>
        <x:v>0</x:v>
      </x:c>
      <x:c r="HA29" s="1269" t="s">
        <x:v>1460</x:v>
      </x:c>
      <x:c r="HB29" s="1270">
        <x:v>22</x:v>
      </x:c>
      <x:c r="HC29" s="1270" t="s">
        <x:v>1592</x:v>
      </x:c>
      <x:c r="HD29" s="1271">
        <x:v>49</x:v>
      </x:c>
      <x:c r="HE29" s="1272">
        <x:v>11.5</x:v>
      </x:c>
      <x:c r="HF29" s="1270" t="s">
        <x:v>116</x:v>
      </x:c>
      <x:c r="HG29" s="1270" t="s">
        <x:v>116</x:v>
      </x:c>
      <x:c r="HH29" s="1270" t="s">
        <x:v>116</x:v>
      </x:c>
      <x:c r="HI29" s="1273" t="s">
        <x:v>116</x:v>
      </x:c>
      <x:c r="HJ29" s="1270" t="s">
        <x:v>116</x:v>
      </x:c>
      <x:c r="HK29" s="1270" t="s">
        <x:v>116</x:v>
      </x:c>
      <x:c r="HL29" s="1270">
        <x:v>5</x:v>
      </x:c>
      <x:c r="HM29" s="1270">
        <x:v>5</x:v>
      </x:c>
      <x:c r="HN29" s="1270" t="s">
        <x:v>116</x:v>
      </x:c>
      <x:c r="HO29" s="1270" t="s">
        <x:v>116</x:v>
      </x:c>
      <x:c r="HP29" s="1270" t="s">
        <x:v>116</x:v>
      </x:c>
      <x:c r="HQ29" s="1273" t="s">
        <x:v>116</x:v>
      </x:c>
      <x:c r="HR29" s="1270" t="s">
        <x:v>116</x:v>
      </x:c>
      <x:c r="HS29" s="1270" t="s">
        <x:v>116</x:v>
      </x:c>
      <x:c r="HT29" s="1270">
        <x:v>0</x:v>
      </x:c>
      <x:c r="HU29" s="1270">
        <x:v>2.25</x:v>
      </x:c>
      <x:c r="HV29" s="1270">
        <x:v>0</x:v>
      </x:c>
      <x:c r="HW29" s="1272">
        <x:v>2.25</x:v>
      </x:c>
      <x:c r="HX29" s="1272">
        <x:v>4</x:v>
      </x:c>
      <x:c r="HY29" s="1272" t="s">
        <x:v>116</x:v>
      </x:c>
      <x:c r="HZ29" s="1272" t="s">
        <x:v>116</x:v>
      </x:c>
      <x:c r="IA29" s="1272" t="s">
        <x:v>1671</x:v>
      </x:c>
      <x:c r="IB29" s="1272"/>
      <x:c r="IC29" s="1272"/>
      <x:c r="ID29" s="1272"/>
      <x:c r="IE29" s="1272"/>
      <x:c r="IF29" s="1274"/>
    </x:row>
    <x:row r="30" spans="1:240" ht="12.6" customHeight="1" x14ac:dyDescent="0.25">
      <x:c r="A30" s="2764" t="s">
        <x:v>1461</x:v>
      </x:c>
      <x:c r="B30" s="2765">
        <x:v>2</x:v>
      </x:c>
      <x:c r="C30" s="2766" t="s">
        <x:v>1592</x:v>
      </x:c>
      <x:c r="D30" s="2767">
        <x:v>49</x:v>
      </x:c>
      <x:c r="E30" s="2768">
        <x:v>11.5</x:v>
      </x:c>
      <x:c r="F30" s="2776" t="str">
        <x:f t="shared" si="1"/>
        <x:v/>
      </x:c>
      <x:c r="G30" s="2771" t="str">
        <x:f t="shared" si="2"/>
        <x:v/>
      </x:c>
      <x:c r="H30" s="2842" t="str">
        <x:f t="shared" si="3"/>
        <x:v/>
      </x:c>
      <x:c r="I30" s="2767" t="str">
        <x:f t="shared" si="4"/>
        <x:v/>
      </x:c>
      <x:c r="J30" s="2771" t="str">
        <x:f t="shared" si="5"/>
        <x:v/>
      </x:c>
      <x:c r="K30" s="2855" t="str">
        <x:f t="shared" si="6"/>
        <x:v/>
      </x:c>
      <x:c r="L30" s="2774">
        <x:v>5</x:v>
      </x:c>
      <x:c r="M30" s="2775">
        <x:v>5</x:v>
      </x:c>
      <x:c r="N30" s="2770">
        <x:v>0</x:v>
      </x:c>
      <x:c r="O30" s="2771">
        <x:v>6.75</x:v>
      </x:c>
      <x:c r="P30" s="2772">
        <x:v>2</x:v>
      </x:c>
      <x:c r="Q30" s="2767">
        <x:v>0</x:v>
      </x:c>
      <x:c r="R30" s="2771">
        <x:v>6.75</x:v>
      </x:c>
      <x:c r="S30" s="2773">
        <x:v>2</x:v>
      </x:c>
      <x:c r="T30" s="2776">
        <x:v>0</x:v>
      </x:c>
      <x:c r="U30" s="2771">
        <x:v>2.25</x:v>
      </x:c>
      <x:c r="V30" s="2767">
        <x:v>0</x:v>
      </x:c>
      <x:c r="W30" s="2771">
        <x:v>2.25</x:v>
      </x:c>
      <x:c r="X30" s="2775">
        <x:v>4</x:v>
      </x:c>
      <x:c r="Y30" s="2844" t="str">
        <x:f t="shared" si="10"/>
        <x:v/>
      </x:c>
      <x:c r="Z30" s="2845" t="str">
        <x:f t="shared" si="11"/>
        <x:v/>
      </x:c>
      <x:c r="AA30" s="2846" t="s">
        <x:v>1671</x:v>
      </x:c>
      <x:c r="AB30" s="1413"/>
      <x:c r="AC30" s="964" t="b">
        <x:v>0</x:v>
      </x:c>
      <x:c r="AD30" s="441">
        <x:f t="shared" si="12"/>
        <x:v>0</x:v>
      </x:c>
      <x:c r="AE30" s="442">
        <x:f t="shared" si="13"/>
        <x:v>2</x:v>
      </x:c>
      <x:c r="AF30" s="442">
        <x:f t="shared" si="14"/>
        <x:v>0</x:v>
      </x:c>
      <x:c r="AG30" s="442">
        <x:f t="shared" si="15"/>
        <x:v>0</x:v>
      </x:c>
      <x:c r="AH30" s="443">
        <x:f t="shared" si="16"/>
        <x:v>0</x:v>
      </x:c>
      <x:c r="AI30" s="444" t="b">
        <x:v>0</x:v>
      </x:c>
      <x:c r="AJ30" s="238">
        <x:f t="shared" si="17"/>
        <x:v>32</x:v>
      </x:c>
      <x:c r="AK30" s="830" t="str">
        <x:f t="shared" si="18"/>
        <x:v>LH</x:v>
      </x:c>
      <x:c r="AL30" s="945" t="str">
        <x:f t="shared" si="19"/>
        <x:v/>
      </x:c>
      <x:c r="AM30" s="830">
        <x:f t="shared" si="20"/>
        <x:v>305</x:v>
      </x:c>
      <x:c r="AN30" s="830">
        <x:f t="shared" si="21"/>
        <x:v>180</x:v>
      </x:c>
      <x:c r="AO30" s="830" t="str">
        <x:f t="shared" si="22"/>
        <x:v/>
      </x:c>
      <x:c r="AP30" s="830" t="b">
        <x:f>IF(ISERROR(AJ30),FALSE,IF(OR(AJ30=0,ISERROR(AL30),ISERROR(AM30),ISERROR(AN30),ISERROR(AO30)),FALSE,IF(AL30&lt;&gt;"",IF(ISERROR(VLOOKUP(SUBSTITUTE(SUBSTITUTE(C30,"R",""),"A",""),TblJoistSize!$A:$A,1,FALSE)),FALSE,TRUE),TRUE)))</x:f>
        <x:v>1</x:v>
      </x:c>
      <x:c r="AQ30" s="1038">
        <x:f t="shared" si="23"/>
        <x:v>6</x:v>
      </x:c>
      <x:c r="AR30" s="945" t="b">
        <x:f t="shared" si="24"/>
        <x:v>1</x:v>
      </x:c>
      <x:c r="AS30" s="1038">
        <x:f t="shared" si="25"/>
        <x:v>6</x:v>
      </x:c>
      <x:c r="AT30" s="945" t="b">
        <x:f t="shared" si="26"/>
        <x:v>1</x:v>
      </x:c>
      <x:c r="AU30" s="946" t="str">
        <x:f t="shared" si="27"/>
        <x:v>LH</x:v>
      </x:c>
      <x:c r="AV30" s="830" t="str">
        <x:f t="shared" si="28"/>
        <x:v/>
      </x:c>
      <x:c r="AW30" s="830" t="str">
        <x:f t="shared" si="29"/>
        <x:v>LH</x:v>
      </x:c>
      <x:c r="AX30" s="830" t="str">
        <x:f t="shared" si="106"/>
        <x:v>TJ31</x:v>
      </x:c>
      <x:c r="AY30" s="1039" t="b">
        <x:f t="shared" si="30"/>
        <x:v>0</x:v>
      </x:c>
      <x:c r="AZ30" s="856" t="b">
        <x:f t="shared" si="31"/>
        <x:v>0</x:v>
      </x:c>
      <x:c r="BA30" s="549"/>
      <x:c r="BB30" s="672"/>
      <x:c r="BC30" s="1684"/>
      <x:c r="BD30" s="733"/>
      <x:c r="BE30" s="734"/>
      <x:c r="BF30" s="735"/>
      <x:c r="BG30" s="672"/>
      <x:c r="BH30" s="982"/>
      <x:c r="BI30" s="983"/>
      <x:c r="BJ30" s="1625"/>
      <x:c r="BK30" s="713"/>
      <x:c r="BL30" s="714"/>
      <x:c r="BM30" s="715"/>
      <x:c r="BN30" s="716"/>
      <x:c r="BO30" s="672" t="str">
        <x:f>IF(ISERROR(CU30),"",IF(CU30="","",IF(VLOOKUP(BG30,SectInfo!$B:$N,10,FALSE)="","","X")))</x:f>
        <x:v/>
      </x:c>
      <x:c r="BP30" s="738"/>
      <x:c r="BQ30" s="1551" t="str">
        <x:f t="shared" si="32"/>
        <x:v/>
      </x:c>
      <x:c r="BR30" s="910"/>
      <x:c r="BS30" s="672"/>
      <x:c r="BT30" s="713"/>
      <x:c r="BU30" s="714"/>
      <x:c r="BV30" s="1625"/>
      <x:c r="BW30" s="713"/>
      <x:c r="BX30" s="714"/>
      <x:c r="BY30" s="715"/>
      <x:c r="BZ30" s="716"/>
      <x:c r="CA30" s="680" t="str">
        <x:f>IF(ISERROR(DE30),"",IF(DE30="","",IF(VLOOKUP(BS30,SectInfo!$B:$N,10,FALSE)="","","X")))</x:f>
        <x:v/>
      </x:c>
      <x:c r="CB30" s="738"/>
      <x:c r="CC30" s="1551" t="str">
        <x:f t="shared" si="33"/>
        <x:v/>
      </x:c>
      <x:c r="CD30" s="910"/>
      <x:c r="CE30" s="717"/>
      <x:c r="CF30" s="736"/>
      <x:c r="CG30" s="737"/>
      <x:c r="CH30" s="591" t="str">
        <x:f t="shared" si="34"/>
        <x:v/>
      </x:c>
      <x:c r="CI30" s="592" t="str">
        <x:f t="shared" si="35"/>
        <x:v/>
      </x:c>
      <x:c r="CJ30" s="593" t="str">
        <x:f t="shared" si="36"/>
        <x:v/>
      </x:c>
      <x:c r="CK30" s="594" t="str">
        <x:f t="shared" si="37"/>
        <x:v/>
      </x:c>
      <x:c r="CL30" s="595" t="str">
        <x:f t="shared" si="38"/>
        <x:v/>
      </x:c>
      <x:c r="CM30" s="596" t="str">
        <x:f t="shared" si="39"/>
        <x:v/>
      </x:c>
      <x:c r="CN30" s="597" t="str">
        <x:f t="shared" si="40"/>
        <x:v/>
      </x:c>
      <x:c r="CO30" s="598" t="str">
        <x:f t="shared" si="41"/>
        <x:v/>
      </x:c>
      <x:c r="CP30" s="615" t="str">
        <x:f t="shared" si="42"/>
        <x:v/>
      </x:c>
      <x:c r="CQ30" s="616" t="str">
        <x:f t="shared" si="43"/>
        <x:v/>
      </x:c>
      <x:c r="CR30" s="750">
        <x:f t="shared" si="44"/>
        <x:v>5</x:v>
      </x:c>
      <x:c r="CS30" s="751">
        <x:f t="shared" si="45"/>
        <x:v>5</x:v>
      </x:c>
      <x:c r="CU30" s="817" t="str">
        <x:f>IF(BG30="","",VLOOKUP(BG30,SectInfo!$B:$N,12,FALSE))</x:f>
        <x:v/>
      </x:c>
      <x:c r="CV30" s="815" t="str">
        <x:f>IF(BG30="","",IF(ISBLANK(BP30),VLOOKUP(BG30,SectInfo!$B:$N,13,FALSE),BP30))</x:f>
        <x:v/>
      </x:c>
      <x:c r="CW30" s="8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8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46"/>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47"/>
        <x:v>0</x:v>
      </x:c>
      <x:c r="DO30" s="818">
        <x:f t="shared" si="48"/>
        <x:v>0</x:v>
      </x:c>
      <x:c r="DP30" s="822" t="str">
        <x:f t="shared" si="49"/>
        <x:v/>
      </x:c>
      <x:c r="DQ30" s="822" t="str">
        <x:f t="shared" si="50"/>
        <x:v/>
      </x:c>
      <x:c r="DR30" s="822" t="str">
        <x:f t="shared" si="51"/>
        <x:v/>
      </x:c>
      <x:c r="DS30" s="821">
        <x:f t="shared" si="52"/>
        <x:v>0</x:v>
      </x:c>
      <x:c r="DT30" s="821">
        <x:f t="shared" si="53"/>
        <x:v>0</x:v>
      </x:c>
      <x:c r="DU30" s="821" t="str">
        <x:f t="shared" si="54"/>
        <x:v/>
      </x:c>
      <x:c r="DV30" s="822" t="str">
        <x:f t="shared" si="55"/>
        <x:v/>
      </x:c>
      <x:c r="DW30" s="856" t="str">
        <x:f t="shared" si="56"/>
        <x:v/>
      </x:c>
      <x:c r="DX30" s="1006">
        <x:f t="shared" si="57"/>
        <x:v>0</x:v>
      </x:c>
      <x:c r="DY30" s="822">
        <x:f t="shared" si="58"/>
        <x:v>0</x:v>
      </x:c>
      <x:c r="DZ30" s="821">
        <x:f t="shared" si="59"/>
        <x:v>0</x:v>
      </x:c>
      <x:c r="EA30" s="821" t="str">
        <x:f t="shared" si="60"/>
        <x:v/>
      </x:c>
      <x:c r="EB30" s="822" t="str">
        <x:f t="shared" si="61"/>
        <x:v/>
      </x:c>
      <x:c r="EC30" s="856" t="str">
        <x:f t="shared" si="62"/>
        <x:v/>
      </x:c>
      <x:c r="ED30" s="1006">
        <x:f t="shared" si="63"/>
        <x:v>0</x:v>
      </x:c>
      <x:c r="EE30" s="1293" t="str">
        <x:f t="shared" si="64"/>
        <x:v/>
      </x:c>
      <x:c r="EF30" s="1293" t="str">
        <x:f t="shared" si="65"/>
        <x:v/>
      </x:c>
      <x:c r="EG30" s="1293" t="str">
        <x:f t="shared" si="66"/>
        <x:v/>
      </x:c>
      <x:c r="EH30" s="856" t="str">
        <x:f t="shared" si="67"/>
        <x:v>ERR</x:v>
      </x:c>
      <x:c r="EI30" s="856" t="str">
        <x:f t="shared" si="68"/>
        <x:v>ERR</x:v>
      </x:c>
      <x:c r="EJ30" s="822" t="str">
        <x:f t="shared" si="69"/>
        <x:v/>
      </x:c>
      <x:c r="EK30" s="822" t="str">
        <x:f t="shared" si="69"/>
        <x:v/>
      </x:c>
      <x:c r="EL30" s="1293" t="str">
        <x:f t="shared" si="70"/>
        <x:v/>
      </x:c>
      <x:c r="EM30" s="822" t="str">
        <x:f t="shared" si="71"/>
        <x:v/>
      </x:c>
      <x:c r="EN30" s="822" t="str">
        <x:f t="shared" si="72"/>
        <x:v/>
      </x:c>
      <x:c r="EO30" s="856" t="str">
        <x:f t="shared" si="73"/>
        <x:v>ERR</x:v>
      </x:c>
      <x:c r="EP30" s="856" t="str">
        <x:f t="shared" si="74"/>
        <x:v>ERR</x:v>
      </x:c>
      <x:c r="EQ30" s="1293" t="str">
        <x:f t="shared" si="75"/>
        <x:v/>
      </x:c>
      <x:c r="ER30" s="822" t="str">
        <x:f t="shared" si="75"/>
        <x:v/>
      </x:c>
      <x:c r="ES30" s="822" t="str">
        <x:f t="shared" si="76"/>
        <x:v/>
      </x:c>
      <x:c r="ET30" s="822" t="str">
        <x:f t="shared" si="77"/>
        <x:v/>
      </x:c>
      <x:c r="EU30" s="829">
        <x:f t="shared" si="78"/>
        <x:v>4</x:v>
      </x:c>
      <x:c r="EV30" s="824" t="str">
        <x:f t="shared" si="79"/>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80"/>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81"/>
        <x:v/>
      </x:c>
      <x:c r="FD30" s="821">
        <x:f t="shared" si="107"/>
        <x:v>0</x:v>
      </x:c>
      <x:c r="FE30" s="821">
        <x:f t="shared" si="82"/>
        <x:v>0</x:v>
      </x:c>
      <x:c r="FF30" s="821">
        <x:f t="shared" si="83"/>
        <x:v>0</x:v>
      </x:c>
      <x:c r="FG30" s="821" t="str">
        <x:f t="shared" si="84"/>
        <x:v/>
      </x:c>
      <x:c r="FH30" s="822" t="str">
        <x:f t="shared" si="85"/>
        <x:v/>
      </x:c>
      <x:c r="FI30" s="821">
        <x:f t="shared" si="108"/>
        <x:v>0</x:v>
      </x:c>
      <x:c r="FJ30" s="821">
        <x:f t="shared" si="86"/>
        <x:v>0</x:v>
      </x:c>
      <x:c r="FK30" s="821">
        <x:f t="shared" si="87"/>
        <x:v>0</x:v>
      </x:c>
      <x:c r="FL30" s="821" t="str">
        <x:f t="shared" si="88"/>
        <x:v/>
      </x:c>
      <x:c r="FM30" s="822" t="str">
        <x:f t="shared" si="89"/>
        <x:v/>
      </x:c>
      <x:c r="FN30" s="822" t="e">
        <x:f t="shared" si="90"/>
        <x:v>#VALUE!</x:v>
      </x:c>
      <x:c r="FO30" s="940" t="e">
        <x:f t="shared" si="91"/>
        <x:v>#VALUE!</x:v>
      </x:c>
      <x:c r="FP30" s="940" t="e">
        <x:f t="shared" si="92"/>
        <x:v>#VALUE!</x:v>
      </x:c>
      <x:c r="FQ30" s="830" t="e">
        <x:f t="shared" si="93"/>
        <x:v>#VALUE!</x:v>
      </x:c>
      <x:c r="FR30" s="831" t="e">
        <x:f t="shared" si="94"/>
        <x:v>#VALUE!</x:v>
      </x:c>
      <x:c r="FS30" s="832" t="str">
        <x:f t="shared" si="95"/>
        <x:v/>
      </x:c>
      <x:c r="FT30" s="833" t="str">
        <x:f t="shared" si="96"/>
        <x:v/>
      </x:c>
      <x:c r="FU30" s="870">
        <x:f t="shared" si="97"/>
        <x:v>0</x:v>
      </x:c>
      <x:c r="FV30" s="871">
        <x:f t="shared" si="98"/>
        <x:v>0</x:v>
      </x:c>
      <x:c r="GA30" s="1791">
        <x:v>50</x:v>
      </x:c>
      <x:c r="GB30" s="1792">
        <x:v>0</x:v>
      </x:c>
      <x:c r="GC30" s="1793">
        <x:v>-0.25</x:v>
      </x:c>
      <x:c r="GD30" s="1794">
        <x:v>-0.25</x:v>
      </x:c>
      <x:c r="GE30" s="1795">
        <x:f t="shared" si="99"/>
        <x:v>0</x:v>
      </x:c>
      <x:c r="GF30" s="600" t="str">
        <x:f t="shared" si="100"/>
        <x:v>TJ31</x:v>
      </x:c>
      <x:c r="GG30" s="1130">
        <x:v>0</x:v>
      </x:c>
      <x:c r="GH30" s="1131">
        <x:v>0</x:v>
      </x:c>
      <x:c r="GI30" s="1130"/>
      <x:c r="GJ30" s="1131"/>
      <x:c r="GK30" s="1638">
        <x:f t="shared" si="101"/>
        <x:v>599.5</x:v>
      </x:c>
      <x:c r="GL30" s="1636">
        <x:f t="shared" si="102"/>
        <x:v>599.5</x:v>
      </x:c>
      <x:c r="GM30" s="1637">
        <x:f>IF(ABS(GK30-GL30)&gt;='Job Info.'!$L$22,ABS(GK30-GL30),0)</x:f>
        <x:v>0</x:v>
      </x:c>
      <x:c r="HA30" s="1269" t="s">
        <x:v>1461</x:v>
      </x:c>
      <x:c r="HB30" s="1270">
        <x:v>2</x:v>
      </x:c>
      <x:c r="HC30" s="1270" t="s">
        <x:v>1592</x:v>
      </x:c>
      <x:c r="HD30" s="1271">
        <x:v>49</x:v>
      </x:c>
      <x:c r="HE30" s="1272">
        <x:v>11.5</x:v>
      </x:c>
      <x:c r="HF30" s="1270" t="s">
        <x:v>116</x:v>
      </x:c>
      <x:c r="HG30" s="1270" t="s">
        <x:v>116</x:v>
      </x:c>
      <x:c r="HH30" s="1270" t="s">
        <x:v>116</x:v>
      </x:c>
      <x:c r="HI30" s="1273" t="s">
        <x:v>116</x:v>
      </x:c>
      <x:c r="HJ30" s="1270" t="s">
        <x:v>116</x:v>
      </x:c>
      <x:c r="HK30" s="1270" t="s">
        <x:v>116</x:v>
      </x:c>
      <x:c r="HL30" s="1270">
        <x:v>5</x:v>
      </x:c>
      <x:c r="HM30" s="1270">
        <x:v>5</x:v>
      </x:c>
      <x:c r="HN30" s="1270">
        <x:v>0</x:v>
      </x:c>
      <x:c r="HO30" s="1270">
        <x:v>6.75</x:v>
      </x:c>
      <x:c r="HP30" s="1270">
        <x:v>2</x:v>
      </x:c>
      <x:c r="HQ30" s="1273">
        <x:v>0</x:v>
      </x:c>
      <x:c r="HR30" s="1270">
        <x:v>6.75</x:v>
      </x:c>
      <x:c r="HS30" s="1270">
        <x:v>2</x:v>
      </x:c>
      <x:c r="HT30" s="1270">
        <x:v>0</x:v>
      </x:c>
      <x:c r="HU30" s="1270">
        <x:v>2.25</x:v>
      </x:c>
      <x:c r="HV30" s="1270">
        <x:v>0</x:v>
      </x:c>
      <x:c r="HW30" s="1272">
        <x:v>2.25</x:v>
      </x:c>
      <x:c r="HX30" s="1272">
        <x:v>4</x:v>
      </x:c>
      <x:c r="HY30" s="1272" t="s">
        <x:v>116</x:v>
      </x:c>
      <x:c r="HZ30" s="1272" t="s">
        <x:v>116</x:v>
      </x:c>
      <x:c r="IA30" s="1272" t="s">
        <x:v>1671</x:v>
      </x:c>
      <x:c r="IB30" s="1272"/>
      <x:c r="IC30" s="1272"/>
      <x:c r="ID30" s="1272"/>
      <x:c r="IE30" s="1272"/>
      <x:c r="IF30" s="1274"/>
    </x:row>
    <x:row r="31" spans="1:240" ht="12.6" customHeight="1" x14ac:dyDescent="0.25">
      <x:c r="A31" s="2764" t="s">
        <x:v>1462</x:v>
      </x:c>
      <x:c r="B31" s="2765">
        <x:v>2</x:v>
      </x:c>
      <x:c r="C31" s="2766" t="s">
        <x:v>1592</x:v>
      </x:c>
      <x:c r="D31" s="2767">
        <x:v>49</x:v>
      </x:c>
      <x:c r="E31" s="2768">
        <x:v>11.5</x:v>
      </x:c>
      <x:c r="F31" s="2776" t="str">
        <x:f t="shared" si="1"/>
        <x:v/>
      </x:c>
      <x:c r="G31" s="2771" t="str">
        <x:f t="shared" si="2"/>
        <x:v/>
      </x:c>
      <x:c r="H31" s="2842" t="str">
        <x:f t="shared" si="3"/>
        <x:v/>
      </x:c>
      <x:c r="I31" s="2767" t="str">
        <x:f t="shared" si="4"/>
        <x:v/>
      </x:c>
      <x:c r="J31" s="2771" t="str">
        <x:f t="shared" si="5"/>
        <x:v/>
      </x:c>
      <x:c r="K31" s="2855" t="str">
        <x:f t="shared" si="6"/>
        <x:v/>
      </x:c>
      <x:c r="L31" s="2774">
        <x:v>5</x:v>
      </x:c>
      <x:c r="M31" s="2775">
        <x:v>5</x:v>
      </x:c>
      <x:c r="N31" s="2770" t="str">
        <x:f t="shared" si="103"/>
        <x:v/>
      </x:c>
      <x:c r="O31" s="2771" t="str">
        <x:f t="shared" si="104"/>
        <x:v/>
      </x:c>
      <x:c r="P31" s="2772" t="str">
        <x:f t="shared" si="105"/>
        <x:v/>
      </x:c>
      <x:c r="Q31" s="2767" t="str">
        <x:f t="shared" si="7"/>
        <x:v/>
      </x:c>
      <x:c r="R31" s="2771" t="str">
        <x:f t="shared" si="8"/>
        <x:v/>
      </x:c>
      <x:c r="S31" s="2773" t="str">
        <x:f t="shared" si="9"/>
        <x:v/>
      </x:c>
      <x:c r="T31" s="2776">
        <x:v>0</x:v>
      </x:c>
      <x:c r="U31" s="2771">
        <x:v>2.25</x:v>
      </x:c>
      <x:c r="V31" s="2767">
        <x:v>0</x:v>
      </x:c>
      <x:c r="W31" s="2771">
        <x:v>2.25</x:v>
      </x:c>
      <x:c r="X31" s="2775">
        <x:v>4</x:v>
      </x:c>
      <x:c r="Y31" s="2844" t="str">
        <x:f t="shared" si="10"/>
        <x:v/>
      </x:c>
      <x:c r="Z31" s="2845" t="str">
        <x:f t="shared" si="11"/>
        <x:v/>
      </x:c>
      <x:c r="AA31" s="2846" t="s">
        <x:v>1672</x:v>
      </x:c>
      <x:c r="AB31" s="1413"/>
      <x:c r="AC31" s="964" t="b">
        <x:v>0</x:v>
      </x:c>
      <x:c r="AD31" s="441">
        <x:f t="shared" si="12"/>
        <x:v>0</x:v>
      </x:c>
      <x:c r="AE31" s="442">
        <x:f t="shared" si="13"/>
        <x:v>2</x:v>
      </x:c>
      <x:c r="AF31" s="442">
        <x:f t="shared" si="14"/>
        <x:v>0</x:v>
      </x:c>
      <x:c r="AG31" s="442">
        <x:f t="shared" si="15"/>
        <x:v>0</x:v>
      </x:c>
      <x:c r="AH31" s="443">
        <x:f t="shared" si="16"/>
        <x:v>0</x:v>
      </x:c>
      <x:c r="AI31" s="444" t="b">
        <x:v>0</x:v>
      </x:c>
      <x:c r="AJ31" s="238">
        <x:f t="shared" si="17"/>
        <x:v>32</x:v>
      </x:c>
      <x:c r="AK31" s="830" t="str">
        <x:f t="shared" si="18"/>
        <x:v>LH</x:v>
      </x:c>
      <x:c r="AL31" s="945" t="str">
        <x:f t="shared" si="19"/>
        <x:v/>
      </x:c>
      <x:c r="AM31" s="830">
        <x:f t="shared" si="20"/>
        <x:v>305</x:v>
      </x:c>
      <x:c r="AN31" s="830">
        <x:f t="shared" si="21"/>
        <x:v>180</x:v>
      </x:c>
      <x:c r="AO31" s="830" t="str">
        <x:f t="shared" si="22"/>
        <x:v/>
      </x:c>
      <x:c r="AP31" s="830" t="b">
        <x:f>IF(ISERROR(AJ31),FALSE,IF(OR(AJ31=0,ISERROR(AL31),ISERROR(AM31),ISERROR(AN31),ISERROR(AO31)),FALSE,IF(AL31&lt;&gt;"",IF(ISERROR(VLOOKUP(SUBSTITUTE(SUBSTITUTE(C31,"R",""),"A",""),TblJoistSize!$A:$A,1,FALSE)),FALSE,TRUE),TRUE)))</x:f>
        <x:v>1</x:v>
      </x:c>
      <x:c r="AQ31" s="1038">
        <x:f t="shared" si="23"/>
        <x:v>6</x:v>
      </x:c>
      <x:c r="AR31" s="945" t="b">
        <x:f t="shared" si="24"/>
        <x:v>1</x:v>
      </x:c>
      <x:c r="AS31" s="1038">
        <x:f t="shared" si="25"/>
        <x:v>6</x:v>
      </x:c>
      <x:c r="AT31" s="945" t="b">
        <x:f t="shared" si="26"/>
        <x:v>1</x:v>
      </x:c>
      <x:c r="AU31" s="946" t="str">
        <x:f t="shared" si="27"/>
        <x:v>LH</x:v>
      </x:c>
      <x:c r="AV31" s="830" t="str">
        <x:f t="shared" si="28"/>
        <x:v/>
      </x:c>
      <x:c r="AW31" s="830" t="str">
        <x:f t="shared" si="29"/>
        <x:v>LH</x:v>
      </x:c>
      <x:c r="AX31" s="830" t="str">
        <x:f t="shared" si="106"/>
        <x:v>J32</x:v>
      </x:c>
      <x:c r="AY31" s="1039" t="b">
        <x:f t="shared" si="30"/>
        <x:v>0</x:v>
      </x:c>
      <x:c r="AZ31" s="856" t="b">
        <x:f t="shared" si="31"/>
        <x:v>0</x:v>
      </x:c>
      <x:c r="BA31" s="549"/>
      <x:c r="BB31" s="672"/>
      <x:c r="BC31" s="1684"/>
      <x:c r="BD31" s="733"/>
      <x:c r="BE31" s="734"/>
      <x:c r="BF31" s="735"/>
      <x:c r="BG31" s="672"/>
      <x:c r="BH31" s="982"/>
      <x:c r="BI31" s="983"/>
      <x:c r="BJ31" s="1625"/>
      <x:c r="BK31" s="713"/>
      <x:c r="BL31" s="714"/>
      <x:c r="BM31" s="715"/>
      <x:c r="BN31" s="716"/>
      <x:c r="BO31" s="672" t="str">
        <x:f>IF(ISERROR(CU31),"",IF(CU31="","",IF(VLOOKUP(BG31,SectInfo!$B:$N,10,FALSE)="","","X")))</x:f>
        <x:v/>
      </x:c>
      <x:c r="BP31" s="738"/>
      <x:c r="BQ31" s="1551" t="str">
        <x:f t="shared" si="32"/>
        <x:v/>
      </x:c>
      <x:c r="BR31" s="910"/>
      <x:c r="BS31" s="672"/>
      <x:c r="BT31" s="713"/>
      <x:c r="BU31" s="714"/>
      <x:c r="BV31" s="1625"/>
      <x:c r="BW31" s="713"/>
      <x:c r="BX31" s="714"/>
      <x:c r="BY31" s="715"/>
      <x:c r="BZ31" s="716"/>
      <x:c r="CA31" s="680" t="str">
        <x:f>IF(ISERROR(DE31),"",IF(DE31="","",IF(VLOOKUP(BS31,SectInfo!$B:$N,10,FALSE)="","","X")))</x:f>
        <x:v/>
      </x:c>
      <x:c r="CB31" s="738"/>
      <x:c r="CC31" s="1551" t="str">
        <x:f t="shared" si="33"/>
        <x:v/>
      </x:c>
      <x:c r="CD31" s="910"/>
      <x:c r="CE31" s="717"/>
      <x:c r="CF31" s="736"/>
      <x:c r="CG31" s="737"/>
      <x:c r="CH31" s="591" t="str">
        <x:f t="shared" si="34"/>
        <x:v/>
      </x:c>
      <x:c r="CI31" s="592" t="str">
        <x:f t="shared" si="35"/>
        <x:v/>
      </x:c>
      <x:c r="CJ31" s="593" t="str">
        <x:f t="shared" si="36"/>
        <x:v/>
      </x:c>
      <x:c r="CK31" s="594" t="str">
        <x:f t="shared" si="37"/>
        <x:v/>
      </x:c>
      <x:c r="CL31" s="595" t="str">
        <x:f t="shared" si="38"/>
        <x:v/>
      </x:c>
      <x:c r="CM31" s="596" t="str">
        <x:f t="shared" si="39"/>
        <x:v/>
      </x:c>
      <x:c r="CN31" s="597" t="str">
        <x:f t="shared" si="40"/>
        <x:v/>
      </x:c>
      <x:c r="CO31" s="598" t="str">
        <x:f t="shared" si="41"/>
        <x:v/>
      </x:c>
      <x:c r="CP31" s="615" t="str">
        <x:f t="shared" si="42"/>
        <x:v/>
      </x:c>
      <x:c r="CQ31" s="616" t="str">
        <x:f t="shared" si="43"/>
        <x:v/>
      </x:c>
      <x:c r="CR31" s="750">
        <x:f t="shared" si="44"/>
        <x:v>5</x:v>
      </x:c>
      <x:c r="CS31" s="751">
        <x:f t="shared" si="45"/>
        <x:v>5</x:v>
      </x:c>
      <x:c r="CU31" s="817" t="str">
        <x:f>IF(BG31="","",VLOOKUP(BG31,SectInfo!$B:$N,12,FALSE))</x:f>
        <x:v/>
      </x:c>
      <x:c r="CV31" s="815" t="str">
        <x:f>IF(BG31="","",IF(ISBLANK(BP31),VLOOKUP(BG31,SectInfo!$B:$N,13,FALSE),BP31))</x:f>
        <x:v/>
      </x:c>
      <x:c r="CW31" s="8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8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46"/>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47"/>
        <x:v>0</x:v>
      </x:c>
      <x:c r="DO31" s="818">
        <x:f t="shared" si="48"/>
        <x:v>0</x:v>
      </x:c>
      <x:c r="DP31" s="822" t="str">
        <x:f t="shared" si="49"/>
        <x:v/>
      </x:c>
      <x:c r="DQ31" s="822" t="str">
        <x:f t="shared" si="50"/>
        <x:v/>
      </x:c>
      <x:c r="DR31" s="822" t="str">
        <x:f t="shared" si="51"/>
        <x:v/>
      </x:c>
      <x:c r="DS31" s="821">
        <x:f t="shared" si="52"/>
        <x:v>0</x:v>
      </x:c>
      <x:c r="DT31" s="821">
        <x:f t="shared" si="53"/>
        <x:v>0</x:v>
      </x:c>
      <x:c r="DU31" s="821" t="str">
        <x:f t="shared" si="54"/>
        <x:v/>
      </x:c>
      <x:c r="DV31" s="822" t="str">
        <x:f t="shared" si="55"/>
        <x:v/>
      </x:c>
      <x:c r="DW31" s="856" t="str">
        <x:f t="shared" si="56"/>
        <x:v/>
      </x:c>
      <x:c r="DX31" s="1006">
        <x:f t="shared" si="57"/>
        <x:v>0</x:v>
      </x:c>
      <x:c r="DY31" s="822">
        <x:f t="shared" si="58"/>
        <x:v>0</x:v>
      </x:c>
      <x:c r="DZ31" s="821">
        <x:f t="shared" si="59"/>
        <x:v>0</x:v>
      </x:c>
      <x:c r="EA31" s="821" t="str">
        <x:f t="shared" si="60"/>
        <x:v/>
      </x:c>
      <x:c r="EB31" s="822" t="str">
        <x:f t="shared" si="61"/>
        <x:v/>
      </x:c>
      <x:c r="EC31" s="856" t="str">
        <x:f t="shared" si="62"/>
        <x:v/>
      </x:c>
      <x:c r="ED31" s="1006">
        <x:f t="shared" si="63"/>
        <x:v>0</x:v>
      </x:c>
      <x:c r="EE31" s="1293" t="str">
        <x:f t="shared" si="64"/>
        <x:v/>
      </x:c>
      <x:c r="EF31" s="1293" t="str">
        <x:f t="shared" si="65"/>
        <x:v/>
      </x:c>
      <x:c r="EG31" s="1293" t="str">
        <x:f t="shared" si="66"/>
        <x:v/>
      </x:c>
      <x:c r="EH31" s="856" t="str">
        <x:f t="shared" si="67"/>
        <x:v>ERR</x:v>
      </x:c>
      <x:c r="EI31" s="856" t="str">
        <x:f t="shared" si="68"/>
        <x:v>ERR</x:v>
      </x:c>
      <x:c r="EJ31" s="822" t="str">
        <x:f t="shared" si="69"/>
        <x:v/>
      </x:c>
      <x:c r="EK31" s="822" t="str">
        <x:f t="shared" si="69"/>
        <x:v/>
      </x:c>
      <x:c r="EL31" s="1293" t="str">
        <x:f t="shared" si="70"/>
        <x:v/>
      </x:c>
      <x:c r="EM31" s="822" t="str">
        <x:f t="shared" si="71"/>
        <x:v/>
      </x:c>
      <x:c r="EN31" s="822" t="str">
        <x:f t="shared" si="72"/>
        <x:v/>
      </x:c>
      <x:c r="EO31" s="856" t="str">
        <x:f t="shared" si="73"/>
        <x:v>ERR</x:v>
      </x:c>
      <x:c r="EP31" s="856" t="str">
        <x:f t="shared" si="74"/>
        <x:v>ERR</x:v>
      </x:c>
      <x:c r="EQ31" s="1293" t="str">
        <x:f t="shared" si="75"/>
        <x:v/>
      </x:c>
      <x:c r="ER31" s="822" t="str">
        <x:f t="shared" si="75"/>
        <x:v/>
      </x:c>
      <x:c r="ES31" s="822" t="str">
        <x:f t="shared" si="76"/>
        <x:v/>
      </x:c>
      <x:c r="ET31" s="822" t="str">
        <x:f t="shared" si="77"/>
        <x:v/>
      </x:c>
      <x:c r="EU31" s="829">
        <x:f t="shared" si="78"/>
        <x:v>4</x:v>
      </x:c>
      <x:c r="EV31" s="824" t="str">
        <x:f t="shared" si="79"/>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80"/>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81"/>
        <x:v/>
      </x:c>
      <x:c r="FD31" s="821">
        <x:f t="shared" si="107"/>
        <x:v>0</x:v>
      </x:c>
      <x:c r="FE31" s="821">
        <x:f t="shared" si="82"/>
        <x:v>0</x:v>
      </x:c>
      <x:c r="FF31" s="821">
        <x:f t="shared" si="83"/>
        <x:v>0</x:v>
      </x:c>
      <x:c r="FG31" s="821" t="str">
        <x:f t="shared" si="84"/>
        <x:v/>
      </x:c>
      <x:c r="FH31" s="822" t="str">
        <x:f t="shared" si="85"/>
        <x:v/>
      </x:c>
      <x:c r="FI31" s="821">
        <x:f t="shared" si="108"/>
        <x:v>0</x:v>
      </x:c>
      <x:c r="FJ31" s="821">
        <x:f t="shared" si="86"/>
        <x:v>0</x:v>
      </x:c>
      <x:c r="FK31" s="821">
        <x:f t="shared" si="87"/>
        <x:v>0</x:v>
      </x:c>
      <x:c r="FL31" s="821" t="str">
        <x:f t="shared" si="88"/>
        <x:v/>
      </x:c>
      <x:c r="FM31" s="822" t="str">
        <x:f t="shared" si="89"/>
        <x:v/>
      </x:c>
      <x:c r="FN31" s="822" t="e">
        <x:f t="shared" si="90"/>
        <x:v>#VALUE!</x:v>
      </x:c>
      <x:c r="FO31" s="940" t="e">
        <x:f t="shared" si="91"/>
        <x:v>#VALUE!</x:v>
      </x:c>
      <x:c r="FP31" s="940" t="e">
        <x:f t="shared" si="92"/>
        <x:v>#VALUE!</x:v>
      </x:c>
      <x:c r="FQ31" s="830" t="e">
        <x:f t="shared" si="93"/>
        <x:v>#VALUE!</x:v>
      </x:c>
      <x:c r="FR31" s="831" t="e">
        <x:f t="shared" si="94"/>
        <x:v>#VALUE!</x:v>
      </x:c>
      <x:c r="FS31" s="832" t="str">
        <x:f t="shared" si="95"/>
        <x:v/>
      </x:c>
      <x:c r="FT31" s="833" t="str">
        <x:f t="shared" si="96"/>
        <x:v/>
      </x:c>
      <x:c r="FU31" s="870">
        <x:f t="shared" si="97"/>
        <x:v>0</x:v>
      </x:c>
      <x:c r="FV31" s="871">
        <x:f t="shared" si="98"/>
        <x:v>0</x:v>
      </x:c>
      <x:c r="GA31" s="1791">
        <x:v>50</x:v>
      </x:c>
      <x:c r="GB31" s="1792">
        <x:v>0</x:v>
      </x:c>
      <x:c r="GC31" s="1793">
        <x:v>-0.25</x:v>
      </x:c>
      <x:c r="GD31" s="1794">
        <x:v>-0.25</x:v>
      </x:c>
      <x:c r="GE31" s="1795">
        <x:f t="shared" si="99"/>
        <x:v>0</x:v>
      </x:c>
      <x:c r="GF31" s="600" t="str">
        <x:f t="shared" si="100"/>
        <x:v>J32</x:v>
      </x:c>
      <x:c r="GG31" s="1130">
        <x:v>0</x:v>
      </x:c>
      <x:c r="GH31" s="1131">
        <x:v>0</x:v>
      </x:c>
      <x:c r="GI31" s="1130"/>
      <x:c r="GJ31" s="1131"/>
      <x:c r="GK31" s="1638">
        <x:f t="shared" si="101"/>
        <x:v>599.5</x:v>
      </x:c>
      <x:c r="GL31" s="1636">
        <x:f t="shared" si="102"/>
        <x:v>599.5</x:v>
      </x:c>
      <x:c r="GM31" s="1637">
        <x:f>IF(ABS(GK31-GL31)&gt;='Job Info.'!$L$22,ABS(GK31-GL31),0)</x:f>
        <x:v>0</x:v>
      </x:c>
      <x:c r="HA31" s="1269" t="s">
        <x:v>1462</x:v>
      </x:c>
      <x:c r="HB31" s="1270">
        <x:v>2</x:v>
      </x:c>
      <x:c r="HC31" s="1270" t="s">
        <x:v>1592</x:v>
      </x:c>
      <x:c r="HD31" s="1271">
        <x:v>49</x:v>
      </x:c>
      <x:c r="HE31" s="1272">
        <x:v>11.5</x:v>
      </x:c>
      <x:c r="HF31" s="1270" t="s">
        <x:v>116</x:v>
      </x:c>
      <x:c r="HG31" s="1270" t="s">
        <x:v>116</x:v>
      </x:c>
      <x:c r="HH31" s="1270" t="s">
        <x:v>116</x:v>
      </x:c>
      <x:c r="HI31" s="1273" t="s">
        <x:v>116</x:v>
      </x:c>
      <x:c r="HJ31" s="1270" t="s">
        <x:v>116</x:v>
      </x:c>
      <x:c r="HK31" s="1270" t="s">
        <x:v>116</x:v>
      </x:c>
      <x:c r="HL31" s="1270">
        <x:v>5</x:v>
      </x:c>
      <x:c r="HM31" s="1270">
        <x:v>5</x:v>
      </x:c>
      <x:c r="HN31" s="1270" t="s">
        <x:v>116</x:v>
      </x:c>
      <x:c r="HO31" s="1270" t="s">
        <x:v>116</x:v>
      </x:c>
      <x:c r="HP31" s="1270" t="s">
        <x:v>116</x:v>
      </x:c>
      <x:c r="HQ31" s="1273" t="s">
        <x:v>116</x:v>
      </x:c>
      <x:c r="HR31" s="1270" t="s">
        <x:v>116</x:v>
      </x:c>
      <x:c r="HS31" s="1270" t="s">
        <x:v>116</x:v>
      </x:c>
      <x:c r="HT31" s="1270">
        <x:v>0</x:v>
      </x:c>
      <x:c r="HU31" s="1270">
        <x:v>2.25</x:v>
      </x:c>
      <x:c r="HV31" s="1270">
        <x:v>0</x:v>
      </x:c>
      <x:c r="HW31" s="1272">
        <x:v>2.25</x:v>
      </x:c>
      <x:c r="HX31" s="1272">
        <x:v>4</x:v>
      </x:c>
      <x:c r="HY31" s="1272" t="s">
        <x:v>116</x:v>
      </x:c>
      <x:c r="HZ31" s="1272" t="s">
        <x:v>116</x:v>
      </x:c>
      <x:c r="IA31" s="1272" t="s">
        <x:v>1672</x:v>
      </x:c>
      <x:c r="IB31" s="1272"/>
      <x:c r="IC31" s="1272"/>
      <x:c r="ID31" s="1272"/>
      <x:c r="IE31" s="1272"/>
      <x:c r="IF31" s="1274"/>
    </x:row>
    <x:row r="32" spans="1:240" ht="12.6" customHeight="1" x14ac:dyDescent="0.25">
      <x:c r="A32" s="2764" t="s">
        <x:v>1463</x:v>
      </x:c>
      <x:c r="B32" s="2765">
        <x:v>2</x:v>
      </x:c>
      <x:c r="C32" s="2766" t="s">
        <x:v>1592</x:v>
      </x:c>
      <x:c r="D32" s="2767">
        <x:v>49</x:v>
      </x:c>
      <x:c r="E32" s="2768">
        <x:v>11.5</x:v>
      </x:c>
      <x:c r="F32" s="2776" t="str">
        <x:f t="shared" si="1"/>
        <x:v/>
      </x:c>
      <x:c r="G32" s="2771" t="str">
        <x:f t="shared" si="2"/>
        <x:v/>
      </x:c>
      <x:c r="H32" s="2842" t="str">
        <x:f t="shared" si="3"/>
        <x:v/>
      </x:c>
      <x:c r="I32" s="2767" t="str">
        <x:f t="shared" si="4"/>
        <x:v/>
      </x:c>
      <x:c r="J32" s="2771" t="str">
        <x:f t="shared" si="5"/>
        <x:v/>
      </x:c>
      <x:c r="K32" s="2855" t="str">
        <x:f t="shared" si="6"/>
        <x:v/>
      </x:c>
      <x:c r="L32" s="2774">
        <x:v>5</x:v>
      </x:c>
      <x:c r="M32" s="2775">
        <x:v>5</x:v>
      </x:c>
      <x:c r="N32" s="2770" t="str">
        <x:f t="shared" si="103"/>
        <x:v/>
      </x:c>
      <x:c r="O32" s="2771" t="str">
        <x:f t="shared" si="104"/>
        <x:v/>
      </x:c>
      <x:c r="P32" s="2772" t="str">
        <x:f t="shared" si="105"/>
        <x:v/>
      </x:c>
      <x:c r="Q32" s="2767" t="str">
        <x:f t="shared" si="7"/>
        <x:v/>
      </x:c>
      <x:c r="R32" s="2771" t="str">
        <x:f t="shared" si="8"/>
        <x:v/>
      </x:c>
      <x:c r="S32" s="2773" t="str">
        <x:f t="shared" si="9"/>
        <x:v/>
      </x:c>
      <x:c r="T32" s="2776">
        <x:v>0</x:v>
      </x:c>
      <x:c r="U32" s="2771">
        <x:v>2.25</x:v>
      </x:c>
      <x:c r="V32" s="2767">
        <x:v>0</x:v>
      </x:c>
      <x:c r="W32" s="2771">
        <x:v>2.25</x:v>
      </x:c>
      <x:c r="X32" s="2775">
        <x:v>4</x:v>
      </x:c>
      <x:c r="Y32" s="2844" t="str">
        <x:f t="shared" si="10"/>
        <x:v/>
      </x:c>
      <x:c r="Z32" s="2845" t="str">
        <x:f t="shared" si="11"/>
        <x:v/>
      </x:c>
      <x:c r="AA32" s="2846" t="s">
        <x:v>1673</x:v>
      </x:c>
      <x:c r="AB32" s="1413"/>
      <x:c r="AC32" s="964" t="b">
        <x:v>0</x:v>
      </x:c>
      <x:c r="AD32" s="441">
        <x:f t="shared" si="12"/>
        <x:v>0</x:v>
      </x:c>
      <x:c r="AE32" s="442">
        <x:f t="shared" si="13"/>
        <x:v>2</x:v>
      </x:c>
      <x:c r="AF32" s="442">
        <x:f t="shared" si="14"/>
        <x:v>0</x:v>
      </x:c>
      <x:c r="AG32" s="442">
        <x:f t="shared" si="15"/>
        <x:v>0</x:v>
      </x:c>
      <x:c r="AH32" s="443">
        <x:f t="shared" si="16"/>
        <x:v>0</x:v>
      </x:c>
      <x:c r="AI32" s="444" t="b">
        <x:v>0</x:v>
      </x:c>
      <x:c r="AJ32" s="238">
        <x:f t="shared" si="17"/>
        <x:v>32</x:v>
      </x:c>
      <x:c r="AK32" s="830" t="str">
        <x:f t="shared" si="18"/>
        <x:v>LH</x:v>
      </x:c>
      <x:c r="AL32" s="945" t="str">
        <x:f t="shared" si="19"/>
        <x:v/>
      </x:c>
      <x:c r="AM32" s="830">
        <x:f t="shared" si="20"/>
        <x:v>305</x:v>
      </x:c>
      <x:c r="AN32" s="830">
        <x:f t="shared" si="21"/>
        <x:v>180</x:v>
      </x:c>
      <x:c r="AO32" s="830" t="str">
        <x:f t="shared" si="22"/>
        <x:v/>
      </x:c>
      <x:c r="AP32" s="830" t="b">
        <x:f>IF(ISERROR(AJ32),FALSE,IF(OR(AJ32=0,ISERROR(AL32),ISERROR(AM32),ISERROR(AN32),ISERROR(AO32)),FALSE,IF(AL32&lt;&gt;"",IF(ISERROR(VLOOKUP(SUBSTITUTE(SUBSTITUTE(C32,"R",""),"A",""),TblJoistSize!$A:$A,1,FALSE)),FALSE,TRUE),TRUE)))</x:f>
        <x:v>1</x:v>
      </x:c>
      <x:c r="AQ32" s="1038">
        <x:f t="shared" si="23"/>
        <x:v>6</x:v>
      </x:c>
      <x:c r="AR32" s="945" t="b">
        <x:f t="shared" si="24"/>
        <x:v>1</x:v>
      </x:c>
      <x:c r="AS32" s="1038">
        <x:f t="shared" si="25"/>
        <x:v>6</x:v>
      </x:c>
      <x:c r="AT32" s="945" t="b">
        <x:f t="shared" si="26"/>
        <x:v>1</x:v>
      </x:c>
      <x:c r="AU32" s="946" t="str">
        <x:f t="shared" si="27"/>
        <x:v>LH</x:v>
      </x:c>
      <x:c r="AV32" s="830" t="str">
        <x:f t="shared" si="28"/>
        <x:v/>
      </x:c>
      <x:c r="AW32" s="830" t="str">
        <x:f t="shared" si="29"/>
        <x:v>LH</x:v>
      </x:c>
      <x:c r="AX32" s="830" t="str">
        <x:f t="shared" si="106"/>
        <x:v>J33</x:v>
      </x:c>
      <x:c r="AY32" s="1039" t="b">
        <x:f t="shared" si="30"/>
        <x:v>0</x:v>
      </x:c>
      <x:c r="AZ32" s="856" t="b">
        <x:f t="shared" si="31"/>
        <x:v>0</x:v>
      </x:c>
      <x:c r="BA32" s="549"/>
      <x:c r="BB32" s="672"/>
      <x:c r="BC32" s="1684"/>
      <x:c r="BD32" s="733"/>
      <x:c r="BE32" s="734"/>
      <x:c r="BF32" s="735"/>
      <x:c r="BG32" s="672"/>
      <x:c r="BH32" s="982"/>
      <x:c r="BI32" s="983"/>
      <x:c r="BJ32" s="1625"/>
      <x:c r="BK32" s="713"/>
      <x:c r="BL32" s="714"/>
      <x:c r="BM32" s="715"/>
      <x:c r="BN32" s="716"/>
      <x:c r="BO32" s="672" t="str">
        <x:f>IF(ISERROR(CU32),"",IF(CU32="","",IF(VLOOKUP(BG32,SectInfo!$B:$N,10,FALSE)="","","X")))</x:f>
        <x:v/>
      </x:c>
      <x:c r="BP32" s="738"/>
      <x:c r="BQ32" s="1551" t="str">
        <x:f t="shared" si="32"/>
        <x:v/>
      </x:c>
      <x:c r="BR32" s="910"/>
      <x:c r="BS32" s="672"/>
      <x:c r="BT32" s="713"/>
      <x:c r="BU32" s="714"/>
      <x:c r="BV32" s="1625"/>
      <x:c r="BW32" s="713"/>
      <x:c r="BX32" s="714"/>
      <x:c r="BY32" s="715"/>
      <x:c r="BZ32" s="716"/>
      <x:c r="CA32" s="680" t="str">
        <x:f>IF(ISERROR(DE32),"",IF(DE32="","",IF(VLOOKUP(BS32,SectInfo!$B:$N,10,FALSE)="","","X")))</x:f>
        <x:v/>
      </x:c>
      <x:c r="CB32" s="738"/>
      <x:c r="CC32" s="1551" t="str">
        <x:f t="shared" si="33"/>
        <x:v/>
      </x:c>
      <x:c r="CD32" s="910"/>
      <x:c r="CE32" s="717"/>
      <x:c r="CF32" s="736"/>
      <x:c r="CG32" s="737"/>
      <x:c r="CH32" s="591" t="str">
        <x:f t="shared" si="34"/>
        <x:v/>
      </x:c>
      <x:c r="CI32" s="592" t="str">
        <x:f t="shared" si="35"/>
        <x:v/>
      </x:c>
      <x:c r="CJ32" s="593" t="str">
        <x:f t="shared" si="36"/>
        <x:v/>
      </x:c>
      <x:c r="CK32" s="594" t="str">
        <x:f t="shared" si="37"/>
        <x:v/>
      </x:c>
      <x:c r="CL32" s="595" t="str">
        <x:f t="shared" si="38"/>
        <x:v/>
      </x:c>
      <x:c r="CM32" s="596" t="str">
        <x:f t="shared" si="39"/>
        <x:v/>
      </x:c>
      <x:c r="CN32" s="597" t="str">
        <x:f t="shared" si="40"/>
        <x:v/>
      </x:c>
      <x:c r="CO32" s="598" t="str">
        <x:f t="shared" si="41"/>
        <x:v/>
      </x:c>
      <x:c r="CP32" s="615" t="str">
        <x:f t="shared" si="42"/>
        <x:v/>
      </x:c>
      <x:c r="CQ32" s="616" t="str">
        <x:f t="shared" si="43"/>
        <x:v/>
      </x:c>
      <x:c r="CR32" s="750">
        <x:f t="shared" si="44"/>
        <x:v>5</x:v>
      </x:c>
      <x:c r="CS32" s="751">
        <x:f t="shared" si="45"/>
        <x:v>5</x:v>
      </x:c>
      <x:c r="CU32" s="817" t="str">
        <x:f>IF(BG32="","",VLOOKUP(BG32,SectInfo!$B:$N,12,FALSE))</x:f>
        <x:v/>
      </x:c>
      <x:c r="CV32" s="815" t="str">
        <x:f>IF(BG32="","",IF(ISBLANK(BP32),VLOOKUP(BG32,SectInfo!$B:$N,13,FALSE),BP32))</x:f>
        <x:v/>
      </x:c>
      <x:c r="CW32" s="8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8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46"/>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47"/>
        <x:v>0</x:v>
      </x:c>
      <x:c r="DO32" s="818">
        <x:f t="shared" si="48"/>
        <x:v>0</x:v>
      </x:c>
      <x:c r="DP32" s="822" t="str">
        <x:f t="shared" si="49"/>
        <x:v/>
      </x:c>
      <x:c r="DQ32" s="822" t="str">
        <x:f t="shared" si="50"/>
        <x:v/>
      </x:c>
      <x:c r="DR32" s="822" t="str">
        <x:f t="shared" si="51"/>
        <x:v/>
      </x:c>
      <x:c r="DS32" s="821">
        <x:f t="shared" si="52"/>
        <x:v>0</x:v>
      </x:c>
      <x:c r="DT32" s="821">
        <x:f t="shared" si="53"/>
        <x:v>0</x:v>
      </x:c>
      <x:c r="DU32" s="821" t="str">
        <x:f t="shared" si="54"/>
        <x:v/>
      </x:c>
      <x:c r="DV32" s="822" t="str">
        <x:f t="shared" si="55"/>
        <x:v/>
      </x:c>
      <x:c r="DW32" s="856" t="str">
        <x:f t="shared" si="56"/>
        <x:v/>
      </x:c>
      <x:c r="DX32" s="1006">
        <x:f t="shared" si="57"/>
        <x:v>0</x:v>
      </x:c>
      <x:c r="DY32" s="822">
        <x:f t="shared" si="58"/>
        <x:v>0</x:v>
      </x:c>
      <x:c r="DZ32" s="821">
        <x:f t="shared" si="59"/>
        <x:v>0</x:v>
      </x:c>
      <x:c r="EA32" s="821" t="str">
        <x:f t="shared" si="60"/>
        <x:v/>
      </x:c>
      <x:c r="EB32" s="822" t="str">
        <x:f t="shared" si="61"/>
        <x:v/>
      </x:c>
      <x:c r="EC32" s="856" t="str">
        <x:f t="shared" si="62"/>
        <x:v/>
      </x:c>
      <x:c r="ED32" s="1006">
        <x:f t="shared" si="63"/>
        <x:v>0</x:v>
      </x:c>
      <x:c r="EE32" s="1293" t="str">
        <x:f t="shared" si="64"/>
        <x:v/>
      </x:c>
      <x:c r="EF32" s="1293" t="str">
        <x:f t="shared" si="65"/>
        <x:v/>
      </x:c>
      <x:c r="EG32" s="1293" t="str">
        <x:f t="shared" si="66"/>
        <x:v/>
      </x:c>
      <x:c r="EH32" s="856" t="str">
        <x:f t="shared" si="67"/>
        <x:v>ERR</x:v>
      </x:c>
      <x:c r="EI32" s="856" t="str">
        <x:f t="shared" si="68"/>
        <x:v>ERR</x:v>
      </x:c>
      <x:c r="EJ32" s="822" t="str">
        <x:f t="shared" si="69"/>
        <x:v/>
      </x:c>
      <x:c r="EK32" s="822" t="str">
        <x:f t="shared" si="69"/>
        <x:v/>
      </x:c>
      <x:c r="EL32" s="1293" t="str">
        <x:f t="shared" si="70"/>
        <x:v/>
      </x:c>
      <x:c r="EM32" s="822" t="str">
        <x:f t="shared" si="71"/>
        <x:v/>
      </x:c>
      <x:c r="EN32" s="822" t="str">
        <x:f t="shared" si="72"/>
        <x:v/>
      </x:c>
      <x:c r="EO32" s="856" t="str">
        <x:f t="shared" si="73"/>
        <x:v>ERR</x:v>
      </x:c>
      <x:c r="EP32" s="856" t="str">
        <x:f t="shared" si="74"/>
        <x:v>ERR</x:v>
      </x:c>
      <x:c r="EQ32" s="1293" t="str">
        <x:f t="shared" si="75"/>
        <x:v/>
      </x:c>
      <x:c r="ER32" s="822" t="str">
        <x:f t="shared" si="75"/>
        <x:v/>
      </x:c>
      <x:c r="ES32" s="822" t="str">
        <x:f t="shared" si="76"/>
        <x:v/>
      </x:c>
      <x:c r="ET32" s="822" t="str">
        <x:f t="shared" si="77"/>
        <x:v/>
      </x:c>
      <x:c r="EU32" s="829">
        <x:f t="shared" si="78"/>
        <x:v>4</x:v>
      </x:c>
      <x:c r="EV32" s="824" t="str">
        <x:f t="shared" si="79"/>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80"/>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81"/>
        <x:v/>
      </x:c>
      <x:c r="FD32" s="821">
        <x:f t="shared" si="107"/>
        <x:v>0</x:v>
      </x:c>
      <x:c r="FE32" s="821">
        <x:f t="shared" si="82"/>
        <x:v>0</x:v>
      </x:c>
      <x:c r="FF32" s="821">
        <x:f t="shared" si="83"/>
        <x:v>0</x:v>
      </x:c>
      <x:c r="FG32" s="821" t="str">
        <x:f t="shared" si="84"/>
        <x:v/>
      </x:c>
      <x:c r="FH32" s="822" t="str">
        <x:f t="shared" si="85"/>
        <x:v/>
      </x:c>
      <x:c r="FI32" s="821">
        <x:f t="shared" si="108"/>
        <x:v>0</x:v>
      </x:c>
      <x:c r="FJ32" s="821">
        <x:f t="shared" si="86"/>
        <x:v>0</x:v>
      </x:c>
      <x:c r="FK32" s="821">
        <x:f t="shared" si="87"/>
        <x:v>0</x:v>
      </x:c>
      <x:c r="FL32" s="821" t="str">
        <x:f t="shared" si="88"/>
        <x:v/>
      </x:c>
      <x:c r="FM32" s="822" t="str">
        <x:f t="shared" si="89"/>
        <x:v/>
      </x:c>
      <x:c r="FN32" s="822" t="e">
        <x:f t="shared" si="90"/>
        <x:v>#VALUE!</x:v>
      </x:c>
      <x:c r="FO32" s="940" t="e">
        <x:f t="shared" si="91"/>
        <x:v>#VALUE!</x:v>
      </x:c>
      <x:c r="FP32" s="940" t="e">
        <x:f t="shared" si="92"/>
        <x:v>#VALUE!</x:v>
      </x:c>
      <x:c r="FQ32" s="830" t="e">
        <x:f t="shared" si="93"/>
        <x:v>#VALUE!</x:v>
      </x:c>
      <x:c r="FR32" s="831" t="e">
        <x:f t="shared" si="94"/>
        <x:v>#VALUE!</x:v>
      </x:c>
      <x:c r="FS32" s="832" t="str">
        <x:f t="shared" si="95"/>
        <x:v/>
      </x:c>
      <x:c r="FT32" s="833" t="str">
        <x:f t="shared" si="96"/>
        <x:v/>
      </x:c>
      <x:c r="FU32" s="870">
        <x:f t="shared" si="97"/>
        <x:v>0</x:v>
      </x:c>
      <x:c r="FV32" s="871">
        <x:f t="shared" si="98"/>
        <x:v>0</x:v>
      </x:c>
      <x:c r="GA32" s="1791">
        <x:v>50</x:v>
      </x:c>
      <x:c r="GB32" s="1792">
        <x:v>0</x:v>
      </x:c>
      <x:c r="GC32" s="1793">
        <x:v>-0.25</x:v>
      </x:c>
      <x:c r="GD32" s="1794">
        <x:v>-0.25</x:v>
      </x:c>
      <x:c r="GE32" s="1795">
        <x:f t="shared" si="99"/>
        <x:v>0</x:v>
      </x:c>
      <x:c r="GF32" s="600" t="str">
        <x:f t="shared" si="100"/>
        <x:v>J33</x:v>
      </x:c>
      <x:c r="GG32" s="1130">
        <x:v>0</x:v>
      </x:c>
      <x:c r="GH32" s="1131">
        <x:v>0</x:v>
      </x:c>
      <x:c r="GI32" s="1130"/>
      <x:c r="GJ32" s="1131"/>
      <x:c r="GK32" s="1638">
        <x:f t="shared" si="101"/>
        <x:v>599.5</x:v>
      </x:c>
      <x:c r="GL32" s="1636">
        <x:f t="shared" si="102"/>
        <x:v>599.5</x:v>
      </x:c>
      <x:c r="GM32" s="1637">
        <x:f>IF(ABS(GK32-GL32)&gt;='Job Info.'!$L$22,ABS(GK32-GL32),0)</x:f>
        <x:v>0</x:v>
      </x:c>
      <x:c r="HA32" s="1269" t="s">
        <x:v>1463</x:v>
      </x:c>
      <x:c r="HB32" s="1270">
        <x:v>2</x:v>
      </x:c>
      <x:c r="HC32" s="1270" t="s">
        <x:v>1592</x:v>
      </x:c>
      <x:c r="HD32" s="1271">
        <x:v>49</x:v>
      </x:c>
      <x:c r="HE32" s="1272">
        <x:v>11.5</x:v>
      </x:c>
      <x:c r="HF32" s="1270" t="s">
        <x:v>116</x:v>
      </x:c>
      <x:c r="HG32" s="1270" t="s">
        <x:v>116</x:v>
      </x:c>
      <x:c r="HH32" s="1270" t="s">
        <x:v>116</x:v>
      </x:c>
      <x:c r="HI32" s="1273" t="s">
        <x:v>116</x:v>
      </x:c>
      <x:c r="HJ32" s="1270" t="s">
        <x:v>116</x:v>
      </x:c>
      <x:c r="HK32" s="1270" t="s">
        <x:v>116</x:v>
      </x:c>
      <x:c r="HL32" s="1270">
        <x:v>5</x:v>
      </x:c>
      <x:c r="HM32" s="1270">
        <x:v>5</x:v>
      </x:c>
      <x:c r="HN32" s="1270" t="s">
        <x:v>116</x:v>
      </x:c>
      <x:c r="HO32" s="1270" t="s">
        <x:v>116</x:v>
      </x:c>
      <x:c r="HP32" s="1270" t="s">
        <x:v>116</x:v>
      </x:c>
      <x:c r="HQ32" s="1273" t="s">
        <x:v>116</x:v>
      </x:c>
      <x:c r="HR32" s="1270" t="s">
        <x:v>116</x:v>
      </x:c>
      <x:c r="HS32" s="1270" t="s">
        <x:v>116</x:v>
      </x:c>
      <x:c r="HT32" s="1270">
        <x:v>0</x:v>
      </x:c>
      <x:c r="HU32" s="1270">
        <x:v>2.25</x:v>
      </x:c>
      <x:c r="HV32" s="1270">
        <x:v>0</x:v>
      </x:c>
      <x:c r="HW32" s="1272">
        <x:v>2.25</x:v>
      </x:c>
      <x:c r="HX32" s="1272">
        <x:v>4</x:v>
      </x:c>
      <x:c r="HY32" s="1272" t="s">
        <x:v>116</x:v>
      </x:c>
      <x:c r="HZ32" s="1272" t="s">
        <x:v>116</x:v>
      </x:c>
      <x:c r="IA32" s="1272" t="s">
        <x:v>1673</x:v>
      </x:c>
      <x:c r="IB32" s="1272"/>
      <x:c r="IC32" s="1272"/>
      <x:c r="ID32" s="1272"/>
      <x:c r="IE32" s="1272"/>
      <x:c r="IF32" s="1274"/>
    </x:row>
    <x:row r="33" spans="1:240" ht="12.6" customHeight="1" x14ac:dyDescent="0.25">
      <x:c r="A33" s="2764" t="s">
        <x:v>1464</x:v>
      </x:c>
      <x:c r="B33" s="2765">
        <x:v>2</x:v>
      </x:c>
      <x:c r="C33" s="2766" t="s">
        <x:v>1592</x:v>
      </x:c>
      <x:c r="D33" s="2767">
        <x:v>49</x:v>
      </x:c>
      <x:c r="E33" s="2768">
        <x:v>11.5</x:v>
      </x:c>
      <x:c r="F33" s="2776" t="str">
        <x:f t="shared" si="1"/>
        <x:v/>
      </x:c>
      <x:c r="G33" s="2771" t="str">
        <x:f t="shared" si="2"/>
        <x:v/>
      </x:c>
      <x:c r="H33" s="2842" t="str">
        <x:f t="shared" si="3"/>
        <x:v/>
      </x:c>
      <x:c r="I33" s="2767" t="str">
        <x:f t="shared" si="4"/>
        <x:v/>
      </x:c>
      <x:c r="J33" s="2771" t="str">
        <x:f t="shared" si="5"/>
        <x:v/>
      </x:c>
      <x:c r="K33" s="2855" t="str">
        <x:f t="shared" si="6"/>
        <x:v/>
      </x:c>
      <x:c r="L33" s="2774">
        <x:v>5</x:v>
      </x:c>
      <x:c r="M33" s="2775">
        <x:v>5</x:v>
      </x:c>
      <x:c r="N33" s="2770" t="str">
        <x:f t="shared" si="103"/>
        <x:v/>
      </x:c>
      <x:c r="O33" s="2771" t="str">
        <x:f t="shared" si="104"/>
        <x:v/>
      </x:c>
      <x:c r="P33" s="2772" t="str">
        <x:f t="shared" si="105"/>
        <x:v/>
      </x:c>
      <x:c r="Q33" s="2767" t="str">
        <x:f t="shared" si="7"/>
        <x:v/>
      </x:c>
      <x:c r="R33" s="2771" t="str">
        <x:f t="shared" si="8"/>
        <x:v/>
      </x:c>
      <x:c r="S33" s="2773" t="str">
        <x:f t="shared" si="9"/>
        <x:v/>
      </x:c>
      <x:c r="T33" s="2776">
        <x:v>0</x:v>
      </x:c>
      <x:c r="U33" s="2771">
        <x:v>2.25</x:v>
      </x:c>
      <x:c r="V33" s="2767">
        <x:v>0</x:v>
      </x:c>
      <x:c r="W33" s="2771">
        <x:v>2.25</x:v>
      </x:c>
      <x:c r="X33" s="2775">
        <x:v>4</x:v>
      </x:c>
      <x:c r="Y33" s="2844" t="str">
        <x:f t="shared" si="10"/>
        <x:v/>
      </x:c>
      <x:c r="Z33" s="2845" t="str">
        <x:f t="shared" si="11"/>
        <x:v/>
      </x:c>
      <x:c r="AA33" s="2846" t="s">
        <x:v>1674</x:v>
      </x:c>
      <x:c r="AB33" s="1413"/>
      <x:c r="AC33" s="964" t="b">
        <x:v>0</x:v>
      </x:c>
      <x:c r="AD33" s="441">
        <x:f t="shared" si="12"/>
        <x:v>0</x:v>
      </x:c>
      <x:c r="AE33" s="442">
        <x:f t="shared" si="13"/>
        <x:v>2</x:v>
      </x:c>
      <x:c r="AF33" s="442">
        <x:f t="shared" si="14"/>
        <x:v>0</x:v>
      </x:c>
      <x:c r="AG33" s="442">
        <x:f t="shared" si="15"/>
        <x:v>0</x:v>
      </x:c>
      <x:c r="AH33" s="443">
        <x:f t="shared" si="16"/>
        <x:v>0</x:v>
      </x:c>
      <x:c r="AI33" s="444" t="b">
        <x:v>0</x:v>
      </x:c>
      <x:c r="AJ33" s="238">
        <x:f t="shared" si="17"/>
        <x:v>32</x:v>
      </x:c>
      <x:c r="AK33" s="830" t="str">
        <x:f t="shared" si="18"/>
        <x:v>LH</x:v>
      </x:c>
      <x:c r="AL33" s="945" t="str">
        <x:f t="shared" si="19"/>
        <x:v/>
      </x:c>
      <x:c r="AM33" s="830">
        <x:f t="shared" si="20"/>
        <x:v>305</x:v>
      </x:c>
      <x:c r="AN33" s="830">
        <x:f t="shared" si="21"/>
        <x:v>180</x:v>
      </x:c>
      <x:c r="AO33" s="830" t="str">
        <x:f t="shared" si="22"/>
        <x:v/>
      </x:c>
      <x:c r="AP33" s="830" t="b">
        <x:f>IF(ISERROR(AJ33),FALSE,IF(OR(AJ33=0,ISERROR(AL33),ISERROR(AM33),ISERROR(AN33),ISERROR(AO33)),FALSE,IF(AL33&lt;&gt;"",IF(ISERROR(VLOOKUP(SUBSTITUTE(SUBSTITUTE(C33,"R",""),"A",""),TblJoistSize!$A:$A,1,FALSE)),FALSE,TRUE),TRUE)))</x:f>
        <x:v>1</x:v>
      </x:c>
      <x:c r="AQ33" s="1038">
        <x:f t="shared" si="23"/>
        <x:v>6</x:v>
      </x:c>
      <x:c r="AR33" s="945" t="b">
        <x:f t="shared" si="24"/>
        <x:v>1</x:v>
      </x:c>
      <x:c r="AS33" s="1038">
        <x:f t="shared" si="25"/>
        <x:v>6</x:v>
      </x:c>
      <x:c r="AT33" s="945" t="b">
        <x:f t="shared" si="26"/>
        <x:v>1</x:v>
      </x:c>
      <x:c r="AU33" s="946" t="str">
        <x:f t="shared" si="27"/>
        <x:v>LH</x:v>
      </x:c>
      <x:c r="AV33" s="830" t="str">
        <x:f t="shared" si="28"/>
        <x:v/>
      </x:c>
      <x:c r="AW33" s="830" t="str">
        <x:f t="shared" si="29"/>
        <x:v>LH</x:v>
      </x:c>
      <x:c r="AX33" s="830" t="str">
        <x:f t="shared" si="106"/>
        <x:v>J34</x:v>
      </x:c>
      <x:c r="AY33" s="1039" t="b">
        <x:f t="shared" si="30"/>
        <x:v>0</x:v>
      </x:c>
      <x:c r="AZ33" s="856" t="b">
        <x:f t="shared" si="31"/>
        <x:v>0</x:v>
      </x:c>
      <x:c r="BA33" s="549"/>
      <x:c r="BB33" s="672"/>
      <x:c r="BC33" s="1684"/>
      <x:c r="BD33" s="733"/>
      <x:c r="BE33" s="734"/>
      <x:c r="BF33" s="735"/>
      <x:c r="BG33" s="672"/>
      <x:c r="BH33" s="982"/>
      <x:c r="BI33" s="983"/>
      <x:c r="BJ33" s="1625"/>
      <x:c r="BK33" s="713"/>
      <x:c r="BL33" s="714"/>
      <x:c r="BM33" s="715"/>
      <x:c r="BN33" s="716"/>
      <x:c r="BO33" s="672" t="str">
        <x:f>IF(ISERROR(CU33),"",IF(CU33="","",IF(VLOOKUP(BG33,SectInfo!$B:$N,10,FALSE)="","","X")))</x:f>
        <x:v/>
      </x:c>
      <x:c r="BP33" s="738"/>
      <x:c r="BQ33" s="1551" t="str">
        <x:f t="shared" si="32"/>
        <x:v/>
      </x:c>
      <x:c r="BR33" s="910"/>
      <x:c r="BS33" s="672"/>
      <x:c r="BT33" s="713"/>
      <x:c r="BU33" s="714"/>
      <x:c r="BV33" s="1625"/>
      <x:c r="BW33" s="713"/>
      <x:c r="BX33" s="714"/>
      <x:c r="BY33" s="715"/>
      <x:c r="BZ33" s="716"/>
      <x:c r="CA33" s="680" t="str">
        <x:f>IF(ISERROR(DE33),"",IF(DE33="","",IF(VLOOKUP(BS33,SectInfo!$B:$N,10,FALSE)="","","X")))</x:f>
        <x:v/>
      </x:c>
      <x:c r="CB33" s="738"/>
      <x:c r="CC33" s="1551" t="str">
        <x:f t="shared" si="33"/>
        <x:v/>
      </x:c>
      <x:c r="CD33" s="910"/>
      <x:c r="CE33" s="717"/>
      <x:c r="CF33" s="736"/>
      <x:c r="CG33" s="737"/>
      <x:c r="CH33" s="591" t="str">
        <x:f t="shared" si="34"/>
        <x:v/>
      </x:c>
      <x:c r="CI33" s="592" t="str">
        <x:f t="shared" si="35"/>
        <x:v/>
      </x:c>
      <x:c r="CJ33" s="593" t="str">
        <x:f t="shared" si="36"/>
        <x:v/>
      </x:c>
      <x:c r="CK33" s="594" t="str">
        <x:f t="shared" si="37"/>
        <x:v/>
      </x:c>
      <x:c r="CL33" s="595" t="str">
        <x:f t="shared" si="38"/>
        <x:v/>
      </x:c>
      <x:c r="CM33" s="596" t="str">
        <x:f t="shared" si="39"/>
        <x:v/>
      </x:c>
      <x:c r="CN33" s="597" t="str">
        <x:f t="shared" si="40"/>
        <x:v/>
      </x:c>
      <x:c r="CO33" s="598" t="str">
        <x:f t="shared" si="41"/>
        <x:v/>
      </x:c>
      <x:c r="CP33" s="615" t="str">
        <x:f t="shared" si="42"/>
        <x:v/>
      </x:c>
      <x:c r="CQ33" s="616" t="str">
        <x:f t="shared" si="43"/>
        <x:v/>
      </x:c>
      <x:c r="CR33" s="750">
        <x:f t="shared" si="44"/>
        <x:v>5</x:v>
      </x:c>
      <x:c r="CS33" s="751">
        <x:f t="shared" si="45"/>
        <x:v>5</x:v>
      </x:c>
      <x:c r="CU33" s="817" t="str">
        <x:f>IF(BG33="","",VLOOKUP(BG33,SectInfo!$B:$N,12,FALSE))</x:f>
        <x:v/>
      </x:c>
      <x:c r="CV33" s="815" t="str">
        <x:f>IF(BG33="","",IF(ISBLANK(BP33),VLOOKUP(BG33,SectInfo!$B:$N,13,FALSE),BP33))</x:f>
        <x:v/>
      </x:c>
      <x:c r="CW33" s="8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8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46"/>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47"/>
        <x:v>0</x:v>
      </x:c>
      <x:c r="DO33" s="818">
        <x:f t="shared" si="48"/>
        <x:v>0</x:v>
      </x:c>
      <x:c r="DP33" s="822" t="str">
        <x:f t="shared" si="49"/>
        <x:v/>
      </x:c>
      <x:c r="DQ33" s="822" t="str">
        <x:f t="shared" si="50"/>
        <x:v/>
      </x:c>
      <x:c r="DR33" s="822" t="str">
        <x:f t="shared" si="51"/>
        <x:v/>
      </x:c>
      <x:c r="DS33" s="821">
        <x:f t="shared" si="52"/>
        <x:v>0</x:v>
      </x:c>
      <x:c r="DT33" s="821">
        <x:f t="shared" si="53"/>
        <x:v>0</x:v>
      </x:c>
      <x:c r="DU33" s="821" t="str">
        <x:f t="shared" si="54"/>
        <x:v/>
      </x:c>
      <x:c r="DV33" s="822" t="str">
        <x:f t="shared" si="55"/>
        <x:v/>
      </x:c>
      <x:c r="DW33" s="856" t="str">
        <x:f t="shared" si="56"/>
        <x:v/>
      </x:c>
      <x:c r="DX33" s="1006">
        <x:f t="shared" si="57"/>
        <x:v>0</x:v>
      </x:c>
      <x:c r="DY33" s="822">
        <x:f t="shared" si="58"/>
        <x:v>0</x:v>
      </x:c>
      <x:c r="DZ33" s="821">
        <x:f t="shared" si="59"/>
        <x:v>0</x:v>
      </x:c>
      <x:c r="EA33" s="821" t="str">
        <x:f t="shared" si="60"/>
        <x:v/>
      </x:c>
      <x:c r="EB33" s="822" t="str">
        <x:f t="shared" si="61"/>
        <x:v/>
      </x:c>
      <x:c r="EC33" s="856" t="str">
        <x:f t="shared" si="62"/>
        <x:v/>
      </x:c>
      <x:c r="ED33" s="1006">
        <x:f t="shared" si="63"/>
        <x:v>0</x:v>
      </x:c>
      <x:c r="EE33" s="1293" t="str">
        <x:f t="shared" si="64"/>
        <x:v/>
      </x:c>
      <x:c r="EF33" s="1293" t="str">
        <x:f t="shared" si="65"/>
        <x:v/>
      </x:c>
      <x:c r="EG33" s="1293" t="str">
        <x:f t="shared" si="66"/>
        <x:v/>
      </x:c>
      <x:c r="EH33" s="856" t="str">
        <x:f t="shared" si="67"/>
        <x:v>ERR</x:v>
      </x:c>
      <x:c r="EI33" s="856" t="str">
        <x:f t="shared" si="68"/>
        <x:v>ERR</x:v>
      </x:c>
      <x:c r="EJ33" s="822" t="str">
        <x:f t="shared" si="69"/>
        <x:v/>
      </x:c>
      <x:c r="EK33" s="822" t="str">
        <x:f t="shared" si="69"/>
        <x:v/>
      </x:c>
      <x:c r="EL33" s="1293" t="str">
        <x:f t="shared" si="70"/>
        <x:v/>
      </x:c>
      <x:c r="EM33" s="822" t="str">
        <x:f t="shared" si="71"/>
        <x:v/>
      </x:c>
      <x:c r="EN33" s="822" t="str">
        <x:f t="shared" si="72"/>
        <x:v/>
      </x:c>
      <x:c r="EO33" s="856" t="str">
        <x:f t="shared" si="73"/>
        <x:v>ERR</x:v>
      </x:c>
      <x:c r="EP33" s="856" t="str">
        <x:f t="shared" si="74"/>
        <x:v>ERR</x:v>
      </x:c>
      <x:c r="EQ33" s="1293" t="str">
        <x:f t="shared" si="75"/>
        <x:v/>
      </x:c>
      <x:c r="ER33" s="822" t="str">
        <x:f t="shared" si="75"/>
        <x:v/>
      </x:c>
      <x:c r="ES33" s="822" t="str">
        <x:f t="shared" si="76"/>
        <x:v/>
      </x:c>
      <x:c r="ET33" s="822" t="str">
        <x:f t="shared" si="77"/>
        <x:v/>
      </x:c>
      <x:c r="EU33" s="829">
        <x:f t="shared" si="78"/>
        <x:v>4</x:v>
      </x:c>
      <x:c r="EV33" s="824" t="str">
        <x:f t="shared" si="79"/>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80"/>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81"/>
        <x:v/>
      </x:c>
      <x:c r="FD33" s="821">
        <x:f t="shared" si="107"/>
        <x:v>0</x:v>
      </x:c>
      <x:c r="FE33" s="821">
        <x:f t="shared" si="82"/>
        <x:v>0</x:v>
      </x:c>
      <x:c r="FF33" s="821">
        <x:f t="shared" si="83"/>
        <x:v>0</x:v>
      </x:c>
      <x:c r="FG33" s="821" t="str">
        <x:f t="shared" si="84"/>
        <x:v/>
      </x:c>
      <x:c r="FH33" s="822" t="str">
        <x:f t="shared" si="85"/>
        <x:v/>
      </x:c>
      <x:c r="FI33" s="821">
        <x:f t="shared" si="108"/>
        <x:v>0</x:v>
      </x:c>
      <x:c r="FJ33" s="821">
        <x:f t="shared" si="86"/>
        <x:v>0</x:v>
      </x:c>
      <x:c r="FK33" s="821">
        <x:f t="shared" si="87"/>
        <x:v>0</x:v>
      </x:c>
      <x:c r="FL33" s="821" t="str">
        <x:f t="shared" si="88"/>
        <x:v/>
      </x:c>
      <x:c r="FM33" s="822" t="str">
        <x:f t="shared" si="89"/>
        <x:v/>
      </x:c>
      <x:c r="FN33" s="822" t="e">
        <x:f t="shared" si="90"/>
        <x:v>#VALUE!</x:v>
      </x:c>
      <x:c r="FO33" s="940" t="e">
        <x:f t="shared" si="91"/>
        <x:v>#VALUE!</x:v>
      </x:c>
      <x:c r="FP33" s="940" t="e">
        <x:f t="shared" si="92"/>
        <x:v>#VALUE!</x:v>
      </x:c>
      <x:c r="FQ33" s="830" t="e">
        <x:f t="shared" si="93"/>
        <x:v>#VALUE!</x:v>
      </x:c>
      <x:c r="FR33" s="831" t="e">
        <x:f t="shared" si="94"/>
        <x:v>#VALUE!</x:v>
      </x:c>
      <x:c r="FS33" s="832" t="str">
        <x:f t="shared" si="95"/>
        <x:v/>
      </x:c>
      <x:c r="FT33" s="833" t="str">
        <x:f t="shared" si="96"/>
        <x:v/>
      </x:c>
      <x:c r="FU33" s="870">
        <x:f t="shared" si="97"/>
        <x:v>0</x:v>
      </x:c>
      <x:c r="FV33" s="871">
        <x:f t="shared" si="98"/>
        <x:v>0</x:v>
      </x:c>
      <x:c r="GA33" s="1791">
        <x:v>50</x:v>
      </x:c>
      <x:c r="GB33" s="1792">
        <x:v>0</x:v>
      </x:c>
      <x:c r="GC33" s="1793">
        <x:v>-0.25</x:v>
      </x:c>
      <x:c r="GD33" s="1794">
        <x:v>-0.25</x:v>
      </x:c>
      <x:c r="GE33" s="1795">
        <x:f t="shared" si="99"/>
        <x:v>0</x:v>
      </x:c>
      <x:c r="GF33" s="600" t="str">
        <x:f t="shared" si="100"/>
        <x:v>J34</x:v>
      </x:c>
      <x:c r="GG33" s="1130">
        <x:v>0</x:v>
      </x:c>
      <x:c r="GH33" s="1131">
        <x:v>0</x:v>
      </x:c>
      <x:c r="GI33" s="1130"/>
      <x:c r="GJ33" s="1131"/>
      <x:c r="GK33" s="1638">
        <x:f t="shared" si="101"/>
        <x:v>599.5</x:v>
      </x:c>
      <x:c r="GL33" s="1636">
        <x:f t="shared" si="102"/>
        <x:v>599.5</x:v>
      </x:c>
      <x:c r="GM33" s="1637">
        <x:f>IF(ABS(GK33-GL33)&gt;='Job Info.'!$L$22,ABS(GK33-GL33),0)</x:f>
        <x:v>0</x:v>
      </x:c>
      <x:c r="HA33" s="1269" t="s">
        <x:v>1464</x:v>
      </x:c>
      <x:c r="HB33" s="1270">
        <x:v>2</x:v>
      </x:c>
      <x:c r="HC33" s="1270" t="s">
        <x:v>1592</x:v>
      </x:c>
      <x:c r="HD33" s="1271">
        <x:v>49</x:v>
      </x:c>
      <x:c r="HE33" s="1272">
        <x:v>11.5</x:v>
      </x:c>
      <x:c r="HF33" s="1270" t="s">
        <x:v>116</x:v>
      </x:c>
      <x:c r="HG33" s="1270" t="s">
        <x:v>116</x:v>
      </x:c>
      <x:c r="HH33" s="1270" t="s">
        <x:v>116</x:v>
      </x:c>
      <x:c r="HI33" s="1273" t="s">
        <x:v>116</x:v>
      </x:c>
      <x:c r="HJ33" s="1270" t="s">
        <x:v>116</x:v>
      </x:c>
      <x:c r="HK33" s="1270" t="s">
        <x:v>116</x:v>
      </x:c>
      <x:c r="HL33" s="1270">
        <x:v>5</x:v>
      </x:c>
      <x:c r="HM33" s="1270">
        <x:v>5</x:v>
      </x:c>
      <x:c r="HN33" s="1270" t="s">
        <x:v>116</x:v>
      </x:c>
      <x:c r="HO33" s="1270" t="s">
        <x:v>116</x:v>
      </x:c>
      <x:c r="HP33" s="1270" t="s">
        <x:v>116</x:v>
      </x:c>
      <x:c r="HQ33" s="1273" t="s">
        <x:v>116</x:v>
      </x:c>
      <x:c r="HR33" s="1270" t="s">
        <x:v>116</x:v>
      </x:c>
      <x:c r="HS33" s="1270" t="s">
        <x:v>116</x:v>
      </x:c>
      <x:c r="HT33" s="1270">
        <x:v>0</x:v>
      </x:c>
      <x:c r="HU33" s="1270">
        <x:v>2.25</x:v>
      </x:c>
      <x:c r="HV33" s="1270">
        <x:v>0</x:v>
      </x:c>
      <x:c r="HW33" s="1272">
        <x:v>2.25</x:v>
      </x:c>
      <x:c r="HX33" s="1272">
        <x:v>4</x:v>
      </x:c>
      <x:c r="HY33" s="1272" t="s">
        <x:v>116</x:v>
      </x:c>
      <x:c r="HZ33" s="1272" t="s">
        <x:v>116</x:v>
      </x:c>
      <x:c r="IA33" s="1272" t="s">
        <x:v>1674</x:v>
      </x:c>
      <x:c r="IB33" s="1272"/>
      <x:c r="IC33" s="1272"/>
      <x:c r="ID33" s="1272"/>
      <x:c r="IE33" s="1272"/>
      <x:c r="IF33" s="1274"/>
    </x:row>
    <x:row r="34" spans="1:240" ht="12.6" customHeight="1" x14ac:dyDescent="0.25">
      <x:c r="A34" s="2764" t="s">
        <x:v>1465</x:v>
      </x:c>
      <x:c r="B34" s="2765">
        <x:v>2</x:v>
      </x:c>
      <x:c r="C34" s="2766" t="s">
        <x:v>1592</x:v>
      </x:c>
      <x:c r="D34" s="2767">
        <x:v>49</x:v>
      </x:c>
      <x:c r="E34" s="2768">
        <x:v>11.5</x:v>
      </x:c>
      <x:c r="F34" s="2776" t="str">
        <x:f t="shared" si="1"/>
        <x:v/>
      </x:c>
      <x:c r="G34" s="2771" t="str">
        <x:f t="shared" si="2"/>
        <x:v/>
      </x:c>
      <x:c r="H34" s="2842" t="str">
        <x:f t="shared" si="3"/>
        <x:v/>
      </x:c>
      <x:c r="I34" s="2767" t="str">
        <x:f t="shared" si="4"/>
        <x:v/>
      </x:c>
      <x:c r="J34" s="2771" t="str">
        <x:f t="shared" si="5"/>
        <x:v/>
      </x:c>
      <x:c r="K34" s="2855" t="str">
        <x:f t="shared" si="6"/>
        <x:v/>
      </x:c>
      <x:c r="L34" s="2774">
        <x:v>5</x:v>
      </x:c>
      <x:c r="M34" s="2775">
        <x:v>5</x:v>
      </x:c>
      <x:c r="N34" s="2770" t="str">
        <x:f t="shared" si="103"/>
        <x:v/>
      </x:c>
      <x:c r="O34" s="2771" t="str">
        <x:f t="shared" si="104"/>
        <x:v/>
      </x:c>
      <x:c r="P34" s="2772" t="str">
        <x:f t="shared" si="105"/>
        <x:v/>
      </x:c>
      <x:c r="Q34" s="2767" t="str">
        <x:f t="shared" si="7"/>
        <x:v/>
      </x:c>
      <x:c r="R34" s="2771" t="str">
        <x:f t="shared" si="8"/>
        <x:v/>
      </x:c>
      <x:c r="S34" s="2773" t="str">
        <x:f t="shared" si="9"/>
        <x:v/>
      </x:c>
      <x:c r="T34" s="2776">
        <x:v>0</x:v>
      </x:c>
      <x:c r="U34" s="2771">
        <x:v>2.25</x:v>
      </x:c>
      <x:c r="V34" s="2767">
        <x:v>0</x:v>
      </x:c>
      <x:c r="W34" s="2771">
        <x:v>2.25</x:v>
      </x:c>
      <x:c r="X34" s="2775">
        <x:v>4</x:v>
      </x:c>
      <x:c r="Y34" s="2844" t="str">
        <x:f t="shared" si="10"/>
        <x:v/>
      </x:c>
      <x:c r="Z34" s="2845" t="str">
        <x:f t="shared" si="11"/>
        <x:v/>
      </x:c>
      <x:c r="AA34" s="2846" t="s">
        <x:v>1675</x:v>
      </x:c>
      <x:c r="AB34" s="1413"/>
      <x:c r="AC34" s="964" t="b">
        <x:v>0</x:v>
      </x:c>
      <x:c r="AD34" s="441">
        <x:f t="shared" si="12"/>
        <x:v>0</x:v>
      </x:c>
      <x:c r="AE34" s="442">
        <x:f t="shared" si="13"/>
        <x:v>2</x:v>
      </x:c>
      <x:c r="AF34" s="442">
        <x:f t="shared" si="14"/>
        <x:v>0</x:v>
      </x:c>
      <x:c r="AG34" s="442">
        <x:f t="shared" si="15"/>
        <x:v>0</x:v>
      </x:c>
      <x:c r="AH34" s="443">
        <x:f t="shared" si="16"/>
        <x:v>0</x:v>
      </x:c>
      <x:c r="AI34" s="444" t="b">
        <x:v>0</x:v>
      </x:c>
      <x:c r="AJ34" s="238">
        <x:f t="shared" si="17"/>
        <x:v>32</x:v>
      </x:c>
      <x:c r="AK34" s="830" t="str">
        <x:f t="shared" si="18"/>
        <x:v>LH</x:v>
      </x:c>
      <x:c r="AL34" s="945" t="str">
        <x:f t="shared" si="19"/>
        <x:v/>
      </x:c>
      <x:c r="AM34" s="830">
        <x:f t="shared" si="20"/>
        <x:v>305</x:v>
      </x:c>
      <x:c r="AN34" s="830">
        <x:f t="shared" si="21"/>
        <x:v>180</x:v>
      </x:c>
      <x:c r="AO34" s="830" t="str">
        <x:f t="shared" si="22"/>
        <x:v/>
      </x:c>
      <x:c r="AP34" s="830" t="b">
        <x:f>IF(ISERROR(AJ34),FALSE,IF(OR(AJ34=0,ISERROR(AL34),ISERROR(AM34),ISERROR(AN34),ISERROR(AO34)),FALSE,IF(AL34&lt;&gt;"",IF(ISERROR(VLOOKUP(SUBSTITUTE(SUBSTITUTE(C34,"R",""),"A",""),TblJoistSize!$A:$A,1,FALSE)),FALSE,TRUE),TRUE)))</x:f>
        <x:v>1</x:v>
      </x:c>
      <x:c r="AQ34" s="1038">
        <x:f t="shared" si="23"/>
        <x:v>6</x:v>
      </x:c>
      <x:c r="AR34" s="945" t="b">
        <x:f t="shared" si="24"/>
        <x:v>1</x:v>
      </x:c>
      <x:c r="AS34" s="1038">
        <x:f t="shared" si="25"/>
        <x:v>6</x:v>
      </x:c>
      <x:c r="AT34" s="945" t="b">
        <x:f t="shared" si="26"/>
        <x:v>1</x:v>
      </x:c>
      <x:c r="AU34" s="946" t="str">
        <x:f t="shared" si="27"/>
        <x:v>LH</x:v>
      </x:c>
      <x:c r="AV34" s="830" t="str">
        <x:f t="shared" si="28"/>
        <x:v/>
      </x:c>
      <x:c r="AW34" s="830" t="str">
        <x:f t="shared" si="29"/>
        <x:v>LH</x:v>
      </x:c>
      <x:c r="AX34" s="830" t="str">
        <x:f t="shared" si="106"/>
        <x:v>J35</x:v>
      </x:c>
      <x:c r="AY34" s="1039" t="b">
        <x:f t="shared" si="30"/>
        <x:v>0</x:v>
      </x:c>
      <x:c r="AZ34" s="856" t="b">
        <x:f t="shared" si="31"/>
        <x:v>0</x:v>
      </x:c>
      <x:c r="BA34" s="549"/>
      <x:c r="BB34" s="672"/>
      <x:c r="BC34" s="1684"/>
      <x:c r="BD34" s="733"/>
      <x:c r="BE34" s="734"/>
      <x:c r="BF34" s="735"/>
      <x:c r="BG34" s="672"/>
      <x:c r="BH34" s="982"/>
      <x:c r="BI34" s="983"/>
      <x:c r="BJ34" s="1625"/>
      <x:c r="BK34" s="713"/>
      <x:c r="BL34" s="714"/>
      <x:c r="BM34" s="715"/>
      <x:c r="BN34" s="716"/>
      <x:c r="BO34" s="672" t="str">
        <x:f>IF(ISERROR(CU34),"",IF(CU34="","",IF(VLOOKUP(BG34,SectInfo!$B:$N,10,FALSE)="","","X")))</x:f>
        <x:v/>
      </x:c>
      <x:c r="BP34" s="738"/>
      <x:c r="BQ34" s="1551" t="str">
        <x:f t="shared" si="32"/>
        <x:v/>
      </x:c>
      <x:c r="BR34" s="910"/>
      <x:c r="BS34" s="672"/>
      <x:c r="BT34" s="713"/>
      <x:c r="BU34" s="714"/>
      <x:c r="BV34" s="1625"/>
      <x:c r="BW34" s="713"/>
      <x:c r="BX34" s="714"/>
      <x:c r="BY34" s="715"/>
      <x:c r="BZ34" s="716"/>
      <x:c r="CA34" s="680" t="str">
        <x:f>IF(ISERROR(DE34),"",IF(DE34="","",IF(VLOOKUP(BS34,SectInfo!$B:$N,10,FALSE)="","","X")))</x:f>
        <x:v/>
      </x:c>
      <x:c r="CB34" s="738"/>
      <x:c r="CC34" s="1551" t="str">
        <x:f t="shared" si="33"/>
        <x:v/>
      </x:c>
      <x:c r="CD34" s="910"/>
      <x:c r="CE34" s="717"/>
      <x:c r="CF34" s="736"/>
      <x:c r="CG34" s="737"/>
      <x:c r="CH34" s="591" t="str">
        <x:f t="shared" si="34"/>
        <x:v/>
      </x:c>
      <x:c r="CI34" s="592" t="str">
        <x:f t="shared" si="35"/>
        <x:v/>
      </x:c>
      <x:c r="CJ34" s="593" t="str">
        <x:f t="shared" si="36"/>
        <x:v/>
      </x:c>
      <x:c r="CK34" s="594" t="str">
        <x:f t="shared" si="37"/>
        <x:v/>
      </x:c>
      <x:c r="CL34" s="595" t="str">
        <x:f t="shared" si="38"/>
        <x:v/>
      </x:c>
      <x:c r="CM34" s="596" t="str">
        <x:f t="shared" si="39"/>
        <x:v/>
      </x:c>
      <x:c r="CN34" s="597" t="str">
        <x:f t="shared" si="40"/>
        <x:v/>
      </x:c>
      <x:c r="CO34" s="598" t="str">
        <x:f t="shared" si="41"/>
        <x:v/>
      </x:c>
      <x:c r="CP34" s="615" t="str">
        <x:f t="shared" si="42"/>
        <x:v/>
      </x:c>
      <x:c r="CQ34" s="616" t="str">
        <x:f t="shared" si="43"/>
        <x:v/>
      </x:c>
      <x:c r="CR34" s="750">
        <x:f t="shared" si="44"/>
        <x:v>5</x:v>
      </x:c>
      <x:c r="CS34" s="751">
        <x:f t="shared" si="45"/>
        <x:v>5</x:v>
      </x:c>
      <x:c r="CU34" s="817" t="str">
        <x:f>IF(BG34="","",VLOOKUP(BG34,SectInfo!$B:$N,12,FALSE))</x:f>
        <x:v/>
      </x:c>
      <x:c r="CV34" s="815" t="str">
        <x:f>IF(BG34="","",IF(ISBLANK(BP34),VLOOKUP(BG34,SectInfo!$B:$N,13,FALSE),BP34))</x:f>
        <x:v/>
      </x:c>
      <x:c r="CW34" s="8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8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46"/>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47"/>
        <x:v>0</x:v>
      </x:c>
      <x:c r="DO34" s="818">
        <x:f t="shared" si="48"/>
        <x:v>0</x:v>
      </x:c>
      <x:c r="DP34" s="822" t="str">
        <x:f t="shared" si="49"/>
        <x:v/>
      </x:c>
      <x:c r="DQ34" s="822" t="str">
        <x:f t="shared" si="50"/>
        <x:v/>
      </x:c>
      <x:c r="DR34" s="822" t="str">
        <x:f t="shared" si="51"/>
        <x:v/>
      </x:c>
      <x:c r="DS34" s="821">
        <x:f t="shared" si="52"/>
        <x:v>0</x:v>
      </x:c>
      <x:c r="DT34" s="821">
        <x:f t="shared" si="53"/>
        <x:v>0</x:v>
      </x:c>
      <x:c r="DU34" s="821" t="str">
        <x:f t="shared" si="54"/>
        <x:v/>
      </x:c>
      <x:c r="DV34" s="822" t="str">
        <x:f t="shared" si="55"/>
        <x:v/>
      </x:c>
      <x:c r="DW34" s="856" t="str">
        <x:f t="shared" si="56"/>
        <x:v/>
      </x:c>
      <x:c r="DX34" s="1006">
        <x:f t="shared" si="57"/>
        <x:v>0</x:v>
      </x:c>
      <x:c r="DY34" s="822">
        <x:f t="shared" si="58"/>
        <x:v>0</x:v>
      </x:c>
      <x:c r="DZ34" s="821">
        <x:f t="shared" si="59"/>
        <x:v>0</x:v>
      </x:c>
      <x:c r="EA34" s="821" t="str">
        <x:f t="shared" si="60"/>
        <x:v/>
      </x:c>
      <x:c r="EB34" s="822" t="str">
        <x:f t="shared" si="61"/>
        <x:v/>
      </x:c>
      <x:c r="EC34" s="856" t="str">
        <x:f t="shared" si="62"/>
        <x:v/>
      </x:c>
      <x:c r="ED34" s="1006">
        <x:f t="shared" si="63"/>
        <x:v>0</x:v>
      </x:c>
      <x:c r="EE34" s="1293" t="str">
        <x:f t="shared" si="64"/>
        <x:v/>
      </x:c>
      <x:c r="EF34" s="1293" t="str">
        <x:f t="shared" si="65"/>
        <x:v/>
      </x:c>
      <x:c r="EG34" s="1293" t="str">
        <x:f t="shared" si="66"/>
        <x:v/>
      </x:c>
      <x:c r="EH34" s="856" t="str">
        <x:f t="shared" si="67"/>
        <x:v>ERR</x:v>
      </x:c>
      <x:c r="EI34" s="856" t="str">
        <x:f t="shared" si="68"/>
        <x:v>ERR</x:v>
      </x:c>
      <x:c r="EJ34" s="822" t="str">
        <x:f t="shared" si="69"/>
        <x:v/>
      </x:c>
      <x:c r="EK34" s="822" t="str">
        <x:f t="shared" si="69"/>
        <x:v/>
      </x:c>
      <x:c r="EL34" s="1293" t="str">
        <x:f t="shared" si="70"/>
        <x:v/>
      </x:c>
      <x:c r="EM34" s="822" t="str">
        <x:f t="shared" si="71"/>
        <x:v/>
      </x:c>
      <x:c r="EN34" s="822" t="str">
        <x:f t="shared" si="72"/>
        <x:v/>
      </x:c>
      <x:c r="EO34" s="856" t="str">
        <x:f t="shared" si="73"/>
        <x:v>ERR</x:v>
      </x:c>
      <x:c r="EP34" s="856" t="str">
        <x:f t="shared" si="74"/>
        <x:v>ERR</x:v>
      </x:c>
      <x:c r="EQ34" s="1293" t="str">
        <x:f t="shared" si="75"/>
        <x:v/>
      </x:c>
      <x:c r="ER34" s="822" t="str">
        <x:f t="shared" si="75"/>
        <x:v/>
      </x:c>
      <x:c r="ES34" s="822" t="str">
        <x:f t="shared" si="76"/>
        <x:v/>
      </x:c>
      <x:c r="ET34" s="822" t="str">
        <x:f t="shared" si="77"/>
        <x:v/>
      </x:c>
      <x:c r="EU34" s="829">
        <x:f t="shared" si="78"/>
        <x:v>4</x:v>
      </x:c>
      <x:c r="EV34" s="824" t="str">
        <x:f t="shared" si="79"/>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80"/>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81"/>
        <x:v/>
      </x:c>
      <x:c r="FD34" s="821">
        <x:f t="shared" si="107"/>
        <x:v>0</x:v>
      </x:c>
      <x:c r="FE34" s="821">
        <x:f t="shared" si="82"/>
        <x:v>0</x:v>
      </x:c>
      <x:c r="FF34" s="821">
        <x:f t="shared" si="83"/>
        <x:v>0</x:v>
      </x:c>
      <x:c r="FG34" s="821" t="str">
        <x:f t="shared" si="84"/>
        <x:v/>
      </x:c>
      <x:c r="FH34" s="822" t="str">
        <x:f t="shared" si="85"/>
        <x:v/>
      </x:c>
      <x:c r="FI34" s="821">
        <x:f t="shared" si="108"/>
        <x:v>0</x:v>
      </x:c>
      <x:c r="FJ34" s="821">
        <x:f t="shared" si="86"/>
        <x:v>0</x:v>
      </x:c>
      <x:c r="FK34" s="821">
        <x:f t="shared" si="87"/>
        <x:v>0</x:v>
      </x:c>
      <x:c r="FL34" s="821" t="str">
        <x:f t="shared" si="88"/>
        <x:v/>
      </x:c>
      <x:c r="FM34" s="822" t="str">
        <x:f t="shared" si="89"/>
        <x:v/>
      </x:c>
      <x:c r="FN34" s="822" t="e">
        <x:f t="shared" si="90"/>
        <x:v>#VALUE!</x:v>
      </x:c>
      <x:c r="FO34" s="940" t="e">
        <x:f t="shared" si="91"/>
        <x:v>#VALUE!</x:v>
      </x:c>
      <x:c r="FP34" s="940" t="e">
        <x:f t="shared" si="92"/>
        <x:v>#VALUE!</x:v>
      </x:c>
      <x:c r="FQ34" s="830" t="e">
        <x:f t="shared" si="93"/>
        <x:v>#VALUE!</x:v>
      </x:c>
      <x:c r="FR34" s="831" t="e">
        <x:f t="shared" si="94"/>
        <x:v>#VALUE!</x:v>
      </x:c>
      <x:c r="FS34" s="832" t="str">
        <x:f t="shared" si="95"/>
        <x:v/>
      </x:c>
      <x:c r="FT34" s="833" t="str">
        <x:f t="shared" si="96"/>
        <x:v/>
      </x:c>
      <x:c r="FU34" s="870">
        <x:f t="shared" si="97"/>
        <x:v>0</x:v>
      </x:c>
      <x:c r="FV34" s="871">
        <x:f t="shared" si="98"/>
        <x:v>0</x:v>
      </x:c>
      <x:c r="GA34" s="1791">
        <x:v>50</x:v>
      </x:c>
      <x:c r="GB34" s="1792">
        <x:v>0</x:v>
      </x:c>
      <x:c r="GC34" s="1793">
        <x:v>-0.25</x:v>
      </x:c>
      <x:c r="GD34" s="1794">
        <x:v>-0.25</x:v>
      </x:c>
      <x:c r="GE34" s="1795">
        <x:f t="shared" si="99"/>
        <x:v>0</x:v>
      </x:c>
      <x:c r="GF34" s="600" t="str">
        <x:f t="shared" si="100"/>
        <x:v>J35</x:v>
      </x:c>
      <x:c r="GG34" s="1130">
        <x:v>0</x:v>
      </x:c>
      <x:c r="GH34" s="1131">
        <x:v>0</x:v>
      </x:c>
      <x:c r="GI34" s="1130"/>
      <x:c r="GJ34" s="1131"/>
      <x:c r="GK34" s="1638">
        <x:f t="shared" si="101"/>
        <x:v>599.5</x:v>
      </x:c>
      <x:c r="GL34" s="1636">
        <x:f t="shared" si="102"/>
        <x:v>599.5</x:v>
      </x:c>
      <x:c r="GM34" s="1637">
        <x:f>IF(ABS(GK34-GL34)&gt;='Job Info.'!$L$22,ABS(GK34-GL34),0)</x:f>
        <x:v>0</x:v>
      </x:c>
      <x:c r="HA34" s="1269" t="s">
        <x:v>1465</x:v>
      </x:c>
      <x:c r="HB34" s="1270">
        <x:v>2</x:v>
      </x:c>
      <x:c r="HC34" s="1270" t="s">
        <x:v>1592</x:v>
      </x:c>
      <x:c r="HD34" s="1271">
        <x:v>49</x:v>
      </x:c>
      <x:c r="HE34" s="1272">
        <x:v>11.5</x:v>
      </x:c>
      <x:c r="HF34" s="1270" t="s">
        <x:v>116</x:v>
      </x:c>
      <x:c r="HG34" s="1270" t="s">
        <x:v>116</x:v>
      </x:c>
      <x:c r="HH34" s="1270" t="s">
        <x:v>116</x:v>
      </x:c>
      <x:c r="HI34" s="1273" t="s">
        <x:v>116</x:v>
      </x:c>
      <x:c r="HJ34" s="1270" t="s">
        <x:v>116</x:v>
      </x:c>
      <x:c r="HK34" s="1270" t="s">
        <x:v>116</x:v>
      </x:c>
      <x:c r="HL34" s="1270">
        <x:v>5</x:v>
      </x:c>
      <x:c r="HM34" s="1270">
        <x:v>5</x:v>
      </x:c>
      <x:c r="HN34" s="1270" t="s">
        <x:v>116</x:v>
      </x:c>
      <x:c r="HO34" s="1270" t="s">
        <x:v>116</x:v>
      </x:c>
      <x:c r="HP34" s="1270" t="s">
        <x:v>116</x:v>
      </x:c>
      <x:c r="HQ34" s="1273" t="s">
        <x:v>116</x:v>
      </x:c>
      <x:c r="HR34" s="1270" t="s">
        <x:v>116</x:v>
      </x:c>
      <x:c r="HS34" s="1270" t="s">
        <x:v>116</x:v>
      </x:c>
      <x:c r="HT34" s="1270">
        <x:v>0</x:v>
      </x:c>
      <x:c r="HU34" s="1270">
        <x:v>2.25</x:v>
      </x:c>
      <x:c r="HV34" s="1270">
        <x:v>0</x:v>
      </x:c>
      <x:c r="HW34" s="1272">
        <x:v>2.25</x:v>
      </x:c>
      <x:c r="HX34" s="1272">
        <x:v>4</x:v>
      </x:c>
      <x:c r="HY34" s="1272" t="s">
        <x:v>116</x:v>
      </x:c>
      <x:c r="HZ34" s="1272" t="s">
        <x:v>116</x:v>
      </x:c>
      <x:c r="IA34" s="1272" t="s">
        <x:v>1675</x:v>
      </x:c>
      <x:c r="IB34" s="1272"/>
      <x:c r="IC34" s="1272"/>
      <x:c r="ID34" s="1272"/>
      <x:c r="IE34" s="1272"/>
      <x:c r="IF34" s="1274"/>
    </x:row>
    <x:row r="35" spans="1:240" ht="12.6" customHeight="1" x14ac:dyDescent="0.25">
      <x:c r="A35" s="2764" t="s">
        <x:v>1466</x:v>
      </x:c>
      <x:c r="B35" s="2765">
        <x:v>2</x:v>
      </x:c>
      <x:c r="C35" s="2766" t="s">
        <x:v>1592</x:v>
      </x:c>
      <x:c r="D35" s="2767">
        <x:v>49</x:v>
      </x:c>
      <x:c r="E35" s="2768">
        <x:v>11.5</x:v>
      </x:c>
      <x:c r="F35" s="2776" t="str">
        <x:f t="shared" si="1"/>
        <x:v/>
      </x:c>
      <x:c r="G35" s="2771" t="str">
        <x:f t="shared" si="2"/>
        <x:v/>
      </x:c>
      <x:c r="H35" s="2842" t="str">
        <x:f t="shared" si="3"/>
        <x:v/>
      </x:c>
      <x:c r="I35" s="2767" t="str">
        <x:f t="shared" si="4"/>
        <x:v/>
      </x:c>
      <x:c r="J35" s="2771" t="str">
        <x:f t="shared" si="5"/>
        <x:v/>
      </x:c>
      <x:c r="K35" s="2855" t="str">
        <x:f t="shared" si="6"/>
        <x:v/>
      </x:c>
      <x:c r="L35" s="2774">
        <x:v>5</x:v>
      </x:c>
      <x:c r="M35" s="2775">
        <x:v>5</x:v>
      </x:c>
      <x:c r="N35" s="2770" t="str">
        <x:f t="shared" si="103"/>
        <x:v/>
      </x:c>
      <x:c r="O35" s="2771" t="str">
        <x:f t="shared" si="104"/>
        <x:v/>
      </x:c>
      <x:c r="P35" s="2772" t="str">
        <x:f t="shared" si="105"/>
        <x:v/>
      </x:c>
      <x:c r="Q35" s="2767" t="str">
        <x:f t="shared" si="7"/>
        <x:v/>
      </x:c>
      <x:c r="R35" s="2771" t="str">
        <x:f t="shared" si="8"/>
        <x:v/>
      </x:c>
      <x:c r="S35" s="2773" t="str">
        <x:f t="shared" si="9"/>
        <x:v/>
      </x:c>
      <x:c r="T35" s="2776">
        <x:v>0</x:v>
      </x:c>
      <x:c r="U35" s="2771">
        <x:v>2.25</x:v>
      </x:c>
      <x:c r="V35" s="2767">
        <x:v>0</x:v>
      </x:c>
      <x:c r="W35" s="2771">
        <x:v>2.25</x:v>
      </x:c>
      <x:c r="X35" s="2775">
        <x:v>4</x:v>
      </x:c>
      <x:c r="Y35" s="2844" t="str">
        <x:f t="shared" si="10"/>
        <x:v/>
      </x:c>
      <x:c r="Z35" s="2845" t="str">
        <x:f t="shared" si="11"/>
        <x:v/>
      </x:c>
      <x:c r="AA35" s="2846" t="s">
        <x:v>1676</x:v>
      </x:c>
      <x:c r="AB35" s="1413"/>
      <x:c r="AC35" s="964" t="b">
        <x:v>0</x:v>
      </x:c>
      <x:c r="AD35" s="441">
        <x:f t="shared" si="12"/>
        <x:v>0</x:v>
      </x:c>
      <x:c r="AE35" s="442">
        <x:f t="shared" si="13"/>
        <x:v>2</x:v>
      </x:c>
      <x:c r="AF35" s="442">
        <x:f t="shared" si="14"/>
        <x:v>0</x:v>
      </x:c>
      <x:c r="AG35" s="442">
        <x:f t="shared" si="15"/>
        <x:v>0</x:v>
      </x:c>
      <x:c r="AH35" s="443">
        <x:f t="shared" si="16"/>
        <x:v>0</x:v>
      </x:c>
      <x:c r="AI35" s="444" t="b">
        <x:v>0</x:v>
      </x:c>
      <x:c r="AJ35" s="238">
        <x:f t="shared" si="17"/>
        <x:v>32</x:v>
      </x:c>
      <x:c r="AK35" s="830" t="str">
        <x:f t="shared" si="18"/>
        <x:v>LH</x:v>
      </x:c>
      <x:c r="AL35" s="945" t="str">
        <x:f t="shared" si="19"/>
        <x:v/>
      </x:c>
      <x:c r="AM35" s="830">
        <x:f t="shared" si="20"/>
        <x:v>305</x:v>
      </x:c>
      <x:c r="AN35" s="830">
        <x:f t="shared" si="21"/>
        <x:v>180</x:v>
      </x:c>
      <x:c r="AO35" s="830" t="str">
        <x:f t="shared" si="22"/>
        <x:v/>
      </x:c>
      <x:c r="AP35" s="830" t="b">
        <x:f>IF(ISERROR(AJ35),FALSE,IF(OR(AJ35=0,ISERROR(AL35),ISERROR(AM35),ISERROR(AN35),ISERROR(AO35)),FALSE,IF(AL35&lt;&gt;"",IF(ISERROR(VLOOKUP(SUBSTITUTE(SUBSTITUTE(C35,"R",""),"A",""),TblJoistSize!$A:$A,1,FALSE)),FALSE,TRUE),TRUE)))</x:f>
        <x:v>1</x:v>
      </x:c>
      <x:c r="AQ35" s="1038">
        <x:f t="shared" si="23"/>
        <x:v>6</x:v>
      </x:c>
      <x:c r="AR35" s="945" t="b">
        <x:f t="shared" si="24"/>
        <x:v>1</x:v>
      </x:c>
      <x:c r="AS35" s="1038">
        <x:f t="shared" si="25"/>
        <x:v>6</x:v>
      </x:c>
      <x:c r="AT35" s="945" t="b">
        <x:f t="shared" si="26"/>
        <x:v>1</x:v>
      </x:c>
      <x:c r="AU35" s="946" t="str">
        <x:f t="shared" si="27"/>
        <x:v>LH</x:v>
      </x:c>
      <x:c r="AV35" s="830" t="str">
        <x:f t="shared" si="28"/>
        <x:v/>
      </x:c>
      <x:c r="AW35" s="830" t="str">
        <x:f t="shared" si="29"/>
        <x:v>LH</x:v>
      </x:c>
      <x:c r="AX35" s="830" t="str">
        <x:f t="shared" si="106"/>
        <x:v>J36</x:v>
      </x:c>
      <x:c r="AY35" s="1039" t="b">
        <x:f t="shared" si="30"/>
        <x:v>0</x:v>
      </x:c>
      <x:c r="AZ35" s="856" t="b">
        <x:f t="shared" si="31"/>
        <x:v>0</x:v>
      </x:c>
      <x:c r="BA35" s="549"/>
      <x:c r="BB35" s="672"/>
      <x:c r="BC35" s="1684"/>
      <x:c r="BD35" s="733"/>
      <x:c r="BE35" s="734"/>
      <x:c r="BF35" s="735"/>
      <x:c r="BG35" s="672"/>
      <x:c r="BH35" s="982"/>
      <x:c r="BI35" s="983"/>
      <x:c r="BJ35" s="1625"/>
      <x:c r="BK35" s="713"/>
      <x:c r="BL35" s="714"/>
      <x:c r="BM35" s="715"/>
      <x:c r="BN35" s="716"/>
      <x:c r="BO35" s="672" t="str">
        <x:f>IF(ISERROR(CU35),"",IF(CU35="","",IF(VLOOKUP(BG35,SectInfo!$B:$N,10,FALSE)="","","X")))</x:f>
        <x:v/>
      </x:c>
      <x:c r="BP35" s="738"/>
      <x:c r="BQ35" s="1551" t="str">
        <x:f t="shared" si="32"/>
        <x:v/>
      </x:c>
      <x:c r="BR35" s="910"/>
      <x:c r="BS35" s="672"/>
      <x:c r="BT35" s="713"/>
      <x:c r="BU35" s="714"/>
      <x:c r="BV35" s="1625"/>
      <x:c r="BW35" s="713"/>
      <x:c r="BX35" s="714"/>
      <x:c r="BY35" s="715"/>
      <x:c r="BZ35" s="716"/>
      <x:c r="CA35" s="680" t="str">
        <x:f>IF(ISERROR(DE35),"",IF(DE35="","",IF(VLOOKUP(BS35,SectInfo!$B:$N,10,FALSE)="","","X")))</x:f>
        <x:v/>
      </x:c>
      <x:c r="CB35" s="738"/>
      <x:c r="CC35" s="1551" t="str">
        <x:f t="shared" si="33"/>
        <x:v/>
      </x:c>
      <x:c r="CD35" s="910"/>
      <x:c r="CE35" s="717"/>
      <x:c r="CF35" s="736"/>
      <x:c r="CG35" s="737"/>
      <x:c r="CH35" s="591" t="str">
        <x:f t="shared" si="34"/>
        <x:v/>
      </x:c>
      <x:c r="CI35" s="592" t="str">
        <x:f t="shared" si="35"/>
        <x:v/>
      </x:c>
      <x:c r="CJ35" s="593" t="str">
        <x:f t="shared" si="36"/>
        <x:v/>
      </x:c>
      <x:c r="CK35" s="594" t="str">
        <x:f t="shared" si="37"/>
        <x:v/>
      </x:c>
      <x:c r="CL35" s="595" t="str">
        <x:f t="shared" si="38"/>
        <x:v/>
      </x:c>
      <x:c r="CM35" s="596" t="str">
        <x:f t="shared" si="39"/>
        <x:v/>
      </x:c>
      <x:c r="CN35" s="597" t="str">
        <x:f t="shared" si="40"/>
        <x:v/>
      </x:c>
      <x:c r="CO35" s="598" t="str">
        <x:f t="shared" si="41"/>
        <x:v/>
      </x:c>
      <x:c r="CP35" s="615" t="str">
        <x:f t="shared" si="42"/>
        <x:v/>
      </x:c>
      <x:c r="CQ35" s="616" t="str">
        <x:f t="shared" si="43"/>
        <x:v/>
      </x:c>
      <x:c r="CR35" s="750">
        <x:f t="shared" si="44"/>
        <x:v>5</x:v>
      </x:c>
      <x:c r="CS35" s="751">
        <x:f t="shared" si="45"/>
        <x:v>5</x:v>
      </x:c>
      <x:c r="CU35" s="817" t="str">
        <x:f>IF(BG35="","",VLOOKUP(BG35,SectInfo!$B:$N,12,FALSE))</x:f>
        <x:v/>
      </x:c>
      <x:c r="CV35" s="815" t="str">
        <x:f>IF(BG35="","",IF(ISBLANK(BP35),VLOOKUP(BG35,SectInfo!$B:$N,13,FALSE),BP35))</x:f>
        <x:v/>
      </x:c>
      <x:c r="CW35" s="8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8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46"/>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47"/>
        <x:v>0</x:v>
      </x:c>
      <x:c r="DO35" s="818">
        <x:f t="shared" si="48"/>
        <x:v>0</x:v>
      </x:c>
      <x:c r="DP35" s="822" t="str">
        <x:f t="shared" si="49"/>
        <x:v/>
      </x:c>
      <x:c r="DQ35" s="822" t="str">
        <x:f t="shared" si="50"/>
        <x:v/>
      </x:c>
      <x:c r="DR35" s="822" t="str">
        <x:f t="shared" si="51"/>
        <x:v/>
      </x:c>
      <x:c r="DS35" s="821">
        <x:f t="shared" si="52"/>
        <x:v>0</x:v>
      </x:c>
      <x:c r="DT35" s="821">
        <x:f t="shared" si="53"/>
        <x:v>0</x:v>
      </x:c>
      <x:c r="DU35" s="821" t="str">
        <x:f t="shared" si="54"/>
        <x:v/>
      </x:c>
      <x:c r="DV35" s="822" t="str">
        <x:f t="shared" si="55"/>
        <x:v/>
      </x:c>
      <x:c r="DW35" s="856" t="str">
        <x:f t="shared" si="56"/>
        <x:v/>
      </x:c>
      <x:c r="DX35" s="1006">
        <x:f t="shared" si="57"/>
        <x:v>0</x:v>
      </x:c>
      <x:c r="DY35" s="822">
        <x:f t="shared" si="58"/>
        <x:v>0</x:v>
      </x:c>
      <x:c r="DZ35" s="821">
        <x:f t="shared" si="59"/>
        <x:v>0</x:v>
      </x:c>
      <x:c r="EA35" s="821" t="str">
        <x:f t="shared" si="60"/>
        <x:v/>
      </x:c>
      <x:c r="EB35" s="822" t="str">
        <x:f t="shared" si="61"/>
        <x:v/>
      </x:c>
      <x:c r="EC35" s="856" t="str">
        <x:f t="shared" si="62"/>
        <x:v/>
      </x:c>
      <x:c r="ED35" s="1006">
        <x:f t="shared" si="63"/>
        <x:v>0</x:v>
      </x:c>
      <x:c r="EE35" s="1293" t="str">
        <x:f t="shared" si="64"/>
        <x:v/>
      </x:c>
      <x:c r="EF35" s="1293" t="str">
        <x:f t="shared" si="65"/>
        <x:v/>
      </x:c>
      <x:c r="EG35" s="1293" t="str">
        <x:f t="shared" si="66"/>
        <x:v/>
      </x:c>
      <x:c r="EH35" s="856" t="str">
        <x:f t="shared" si="67"/>
        <x:v>ERR</x:v>
      </x:c>
      <x:c r="EI35" s="856" t="str">
        <x:f t="shared" si="68"/>
        <x:v>ERR</x:v>
      </x:c>
      <x:c r="EJ35" s="822" t="str">
        <x:f t="shared" si="69"/>
        <x:v/>
      </x:c>
      <x:c r="EK35" s="822" t="str">
        <x:f t="shared" si="69"/>
        <x:v/>
      </x:c>
      <x:c r="EL35" s="1293" t="str">
        <x:f t="shared" si="70"/>
        <x:v/>
      </x:c>
      <x:c r="EM35" s="822" t="str">
        <x:f t="shared" si="71"/>
        <x:v/>
      </x:c>
      <x:c r="EN35" s="822" t="str">
        <x:f t="shared" si="72"/>
        <x:v/>
      </x:c>
      <x:c r="EO35" s="856" t="str">
        <x:f t="shared" si="73"/>
        <x:v>ERR</x:v>
      </x:c>
      <x:c r="EP35" s="856" t="str">
        <x:f t="shared" si="74"/>
        <x:v>ERR</x:v>
      </x:c>
      <x:c r="EQ35" s="1293" t="str">
        <x:f t="shared" si="75"/>
        <x:v/>
      </x:c>
      <x:c r="ER35" s="822" t="str">
        <x:f t="shared" si="75"/>
        <x:v/>
      </x:c>
      <x:c r="ES35" s="822" t="str">
        <x:f t="shared" si="76"/>
        <x:v/>
      </x:c>
      <x:c r="ET35" s="822" t="str">
        <x:f t="shared" si="77"/>
        <x:v/>
      </x:c>
      <x:c r="EU35" s="829">
        <x:f t="shared" si="78"/>
        <x:v>4</x:v>
      </x:c>
      <x:c r="EV35" s="824" t="str">
        <x:f t="shared" si="79"/>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80"/>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81"/>
        <x:v/>
      </x:c>
      <x:c r="FD35" s="821">
        <x:f t="shared" si="107"/>
        <x:v>0</x:v>
      </x:c>
      <x:c r="FE35" s="821">
        <x:f t="shared" si="82"/>
        <x:v>0</x:v>
      </x:c>
      <x:c r="FF35" s="821">
        <x:f t="shared" si="83"/>
        <x:v>0</x:v>
      </x:c>
      <x:c r="FG35" s="821" t="str">
        <x:f t="shared" si="84"/>
        <x:v/>
      </x:c>
      <x:c r="FH35" s="822" t="str">
        <x:f t="shared" si="85"/>
        <x:v/>
      </x:c>
      <x:c r="FI35" s="821">
        <x:f t="shared" si="108"/>
        <x:v>0</x:v>
      </x:c>
      <x:c r="FJ35" s="821">
        <x:f t="shared" si="86"/>
        <x:v>0</x:v>
      </x:c>
      <x:c r="FK35" s="821">
        <x:f t="shared" si="87"/>
        <x:v>0</x:v>
      </x:c>
      <x:c r="FL35" s="821" t="str">
        <x:f t="shared" si="88"/>
        <x:v/>
      </x:c>
      <x:c r="FM35" s="822" t="str">
        <x:f t="shared" si="89"/>
        <x:v/>
      </x:c>
      <x:c r="FN35" s="822" t="e">
        <x:f t="shared" si="90"/>
        <x:v>#VALUE!</x:v>
      </x:c>
      <x:c r="FO35" s="940" t="e">
        <x:f t="shared" si="91"/>
        <x:v>#VALUE!</x:v>
      </x:c>
      <x:c r="FP35" s="940" t="e">
        <x:f t="shared" si="92"/>
        <x:v>#VALUE!</x:v>
      </x:c>
      <x:c r="FQ35" s="830" t="e">
        <x:f t="shared" si="93"/>
        <x:v>#VALUE!</x:v>
      </x:c>
      <x:c r="FR35" s="831" t="e">
        <x:f t="shared" si="94"/>
        <x:v>#VALUE!</x:v>
      </x:c>
      <x:c r="FS35" s="832" t="str">
        <x:f t="shared" si="95"/>
        <x:v/>
      </x:c>
      <x:c r="FT35" s="833" t="str">
        <x:f t="shared" si="96"/>
        <x:v/>
      </x:c>
      <x:c r="FU35" s="870">
        <x:f t="shared" si="97"/>
        <x:v>0</x:v>
      </x:c>
      <x:c r="FV35" s="871">
        <x:f t="shared" si="98"/>
        <x:v>0</x:v>
      </x:c>
      <x:c r="GA35" s="1791">
        <x:v>50</x:v>
      </x:c>
      <x:c r="GB35" s="1792">
        <x:v>0</x:v>
      </x:c>
      <x:c r="GC35" s="1793">
        <x:v>-0.25</x:v>
      </x:c>
      <x:c r="GD35" s="1794">
        <x:v>-0.25</x:v>
      </x:c>
      <x:c r="GE35" s="1795">
        <x:f t="shared" si="99"/>
        <x:v>0</x:v>
      </x:c>
      <x:c r="GF35" s="600" t="str">
        <x:f t="shared" si="100"/>
        <x:v>J36</x:v>
      </x:c>
      <x:c r="GG35" s="1130">
        <x:v>0</x:v>
      </x:c>
      <x:c r="GH35" s="1131">
        <x:v>0</x:v>
      </x:c>
      <x:c r="GI35" s="1130"/>
      <x:c r="GJ35" s="1131"/>
      <x:c r="GK35" s="1638">
        <x:f t="shared" si="101"/>
        <x:v>599.5</x:v>
      </x:c>
      <x:c r="GL35" s="1636">
        <x:f t="shared" si="102"/>
        <x:v>599.5</x:v>
      </x:c>
      <x:c r="GM35" s="1637">
        <x:f>IF(ABS(GK35-GL35)&gt;='Job Info.'!$L$22,ABS(GK35-GL35),0)</x:f>
        <x:v>0</x:v>
      </x:c>
      <x:c r="HA35" s="1269" t="s">
        <x:v>1466</x:v>
      </x:c>
      <x:c r="HB35" s="1270">
        <x:v>2</x:v>
      </x:c>
      <x:c r="HC35" s="1270" t="s">
        <x:v>1592</x:v>
      </x:c>
      <x:c r="HD35" s="1271">
        <x:v>49</x:v>
      </x:c>
      <x:c r="HE35" s="1272">
        <x:v>11.5</x:v>
      </x:c>
      <x:c r="HF35" s="1270" t="s">
        <x:v>116</x:v>
      </x:c>
      <x:c r="HG35" s="1270" t="s">
        <x:v>116</x:v>
      </x:c>
      <x:c r="HH35" s="1270" t="s">
        <x:v>116</x:v>
      </x:c>
      <x:c r="HI35" s="1273" t="s">
        <x:v>116</x:v>
      </x:c>
      <x:c r="HJ35" s="1270" t="s">
        <x:v>116</x:v>
      </x:c>
      <x:c r="HK35" s="1270" t="s">
        <x:v>116</x:v>
      </x:c>
      <x:c r="HL35" s="1270">
        <x:v>5</x:v>
      </x:c>
      <x:c r="HM35" s="1270">
        <x:v>5</x:v>
      </x:c>
      <x:c r="HN35" s="1270" t="s">
        <x:v>116</x:v>
      </x:c>
      <x:c r="HO35" s="1270" t="s">
        <x:v>116</x:v>
      </x:c>
      <x:c r="HP35" s="1270" t="s">
        <x:v>116</x:v>
      </x:c>
      <x:c r="HQ35" s="1273" t="s">
        <x:v>116</x:v>
      </x:c>
      <x:c r="HR35" s="1270" t="s">
        <x:v>116</x:v>
      </x:c>
      <x:c r="HS35" s="1270" t="s">
        <x:v>116</x:v>
      </x:c>
      <x:c r="HT35" s="1270">
        <x:v>0</x:v>
      </x:c>
      <x:c r="HU35" s="1270">
        <x:v>2.25</x:v>
      </x:c>
      <x:c r="HV35" s="1270">
        <x:v>0</x:v>
      </x:c>
      <x:c r="HW35" s="1272">
        <x:v>2.25</x:v>
      </x:c>
      <x:c r="HX35" s="1272">
        <x:v>4</x:v>
      </x:c>
      <x:c r="HY35" s="1272" t="s">
        <x:v>116</x:v>
      </x:c>
      <x:c r="HZ35" s="1272" t="s">
        <x:v>116</x:v>
      </x:c>
      <x:c r="IA35" s="1272" t="s">
        <x:v>1676</x:v>
      </x:c>
      <x:c r="IB35" s="1272"/>
      <x:c r="IC35" s="1272"/>
      <x:c r="ID35" s="1272"/>
      <x:c r="IE35" s="1272"/>
      <x:c r="IF35" s="1274"/>
    </x:row>
    <x:row r="36" spans="1:240" ht="12.6" customHeight="1" x14ac:dyDescent="0.25">
      <x:c r="A36" s="2764" t="s">
        <x:v>1467</x:v>
      </x:c>
      <x:c r="B36" s="2765">
        <x:v>2</x:v>
      </x:c>
      <x:c r="C36" s="2766" t="s">
        <x:v>1592</x:v>
      </x:c>
      <x:c r="D36" s="2767">
        <x:v>49</x:v>
      </x:c>
      <x:c r="E36" s="2768">
        <x:v>11.5</x:v>
      </x:c>
      <x:c r="F36" s="2776" t="str">
        <x:f t="shared" si="1"/>
        <x:v/>
      </x:c>
      <x:c r="G36" s="2771" t="str">
        <x:f t="shared" si="2"/>
        <x:v/>
      </x:c>
      <x:c r="H36" s="2842" t="str">
        <x:f t="shared" si="3"/>
        <x:v/>
      </x:c>
      <x:c r="I36" s="2767" t="str">
        <x:f t="shared" si="4"/>
        <x:v/>
      </x:c>
      <x:c r="J36" s="2771" t="str">
        <x:f t="shared" si="5"/>
        <x:v/>
      </x:c>
      <x:c r="K36" s="2855" t="str">
        <x:f t="shared" si="6"/>
        <x:v/>
      </x:c>
      <x:c r="L36" s="2774">
        <x:v>5</x:v>
      </x:c>
      <x:c r="M36" s="2775">
        <x:v>5</x:v>
      </x:c>
      <x:c r="N36" s="2770" t="str">
        <x:f t="shared" si="103"/>
        <x:v/>
      </x:c>
      <x:c r="O36" s="2771" t="str">
        <x:f t="shared" si="104"/>
        <x:v/>
      </x:c>
      <x:c r="P36" s="2772" t="str">
        <x:f t="shared" si="105"/>
        <x:v/>
      </x:c>
      <x:c r="Q36" s="2767" t="str">
        <x:f t="shared" si="7"/>
        <x:v/>
      </x:c>
      <x:c r="R36" s="2771" t="str">
        <x:f t="shared" si="8"/>
        <x:v/>
      </x:c>
      <x:c r="S36" s="2773" t="str">
        <x:f t="shared" si="9"/>
        <x:v/>
      </x:c>
      <x:c r="T36" s="2776">
        <x:v>0</x:v>
      </x:c>
      <x:c r="U36" s="2771">
        <x:v>2.25</x:v>
      </x:c>
      <x:c r="V36" s="2767">
        <x:v>0</x:v>
      </x:c>
      <x:c r="W36" s="2771">
        <x:v>2.25</x:v>
      </x:c>
      <x:c r="X36" s="2775">
        <x:v>4</x:v>
      </x:c>
      <x:c r="Y36" s="2844" t="str">
        <x:f t="shared" si="10"/>
        <x:v/>
      </x:c>
      <x:c r="Z36" s="2845" t="str">
        <x:f t="shared" si="11"/>
        <x:v/>
      </x:c>
      <x:c r="AA36" s="2846" t="s">
        <x:v>1677</x:v>
      </x:c>
      <x:c r="AB36" s="1413"/>
      <x:c r="AC36" s="964" t="b">
        <x:v>0</x:v>
      </x:c>
      <x:c r="AD36" s="441">
        <x:f t="shared" si="12"/>
        <x:v>0</x:v>
      </x:c>
      <x:c r="AE36" s="442">
        <x:f t="shared" si="13"/>
        <x:v>2</x:v>
      </x:c>
      <x:c r="AF36" s="442">
        <x:f t="shared" si="14"/>
        <x:v>0</x:v>
      </x:c>
      <x:c r="AG36" s="442">
        <x:f t="shared" si="15"/>
        <x:v>0</x:v>
      </x:c>
      <x:c r="AH36" s="443">
        <x:f t="shared" si="16"/>
        <x:v>0</x:v>
      </x:c>
      <x:c r="AI36" s="444" t="b">
        <x:v>0</x:v>
      </x:c>
      <x:c r="AJ36" s="238">
        <x:f t="shared" si="17"/>
        <x:v>32</x:v>
      </x:c>
      <x:c r="AK36" s="830" t="str">
        <x:f t="shared" si="18"/>
        <x:v>LH</x:v>
      </x:c>
      <x:c r="AL36" s="945" t="str">
        <x:f t="shared" si="19"/>
        <x:v/>
      </x:c>
      <x:c r="AM36" s="830">
        <x:f t="shared" si="20"/>
        <x:v>305</x:v>
      </x:c>
      <x:c r="AN36" s="830">
        <x:f t="shared" si="21"/>
        <x:v>180</x:v>
      </x:c>
      <x:c r="AO36" s="830" t="str">
        <x:f t="shared" si="22"/>
        <x:v/>
      </x:c>
      <x:c r="AP36" s="830" t="b">
        <x:f>IF(ISERROR(AJ36),FALSE,IF(OR(AJ36=0,ISERROR(AL36),ISERROR(AM36),ISERROR(AN36),ISERROR(AO36)),FALSE,IF(AL36&lt;&gt;"",IF(ISERROR(VLOOKUP(SUBSTITUTE(SUBSTITUTE(C36,"R",""),"A",""),TblJoistSize!$A:$A,1,FALSE)),FALSE,TRUE),TRUE)))</x:f>
        <x:v>1</x:v>
      </x:c>
      <x:c r="AQ36" s="1038">
        <x:f t="shared" si="23"/>
        <x:v>6</x:v>
      </x:c>
      <x:c r="AR36" s="945" t="b">
        <x:f t="shared" si="24"/>
        <x:v>1</x:v>
      </x:c>
      <x:c r="AS36" s="1038">
        <x:f t="shared" si="25"/>
        <x:v>6</x:v>
      </x:c>
      <x:c r="AT36" s="945" t="b">
        <x:f t="shared" si="26"/>
        <x:v>1</x:v>
      </x:c>
      <x:c r="AU36" s="946" t="str">
        <x:f t="shared" si="27"/>
        <x:v>LH</x:v>
      </x:c>
      <x:c r="AV36" s="830" t="str">
        <x:f t="shared" si="28"/>
        <x:v/>
      </x:c>
      <x:c r="AW36" s="830" t="str">
        <x:f t="shared" si="29"/>
        <x:v>LH</x:v>
      </x:c>
      <x:c r="AX36" s="830" t="str">
        <x:f t="shared" si="106"/>
        <x:v>J37</x:v>
      </x:c>
      <x:c r="AY36" s="1039" t="b">
        <x:f t="shared" si="30"/>
        <x:v>0</x:v>
      </x:c>
      <x:c r="AZ36" s="856" t="b">
        <x:f t="shared" si="31"/>
        <x:v>0</x:v>
      </x:c>
      <x:c r="BA36" s="549"/>
      <x:c r="BB36" s="672"/>
      <x:c r="BC36" s="1684"/>
      <x:c r="BD36" s="733"/>
      <x:c r="BE36" s="734"/>
      <x:c r="BF36" s="735"/>
      <x:c r="BG36" s="672"/>
      <x:c r="BH36" s="982"/>
      <x:c r="BI36" s="983"/>
      <x:c r="BJ36" s="1625"/>
      <x:c r="BK36" s="713"/>
      <x:c r="BL36" s="714"/>
      <x:c r="BM36" s="715"/>
      <x:c r="BN36" s="716"/>
      <x:c r="BO36" s="672" t="str">
        <x:f>IF(ISERROR(CU36),"",IF(CU36="","",IF(VLOOKUP(BG36,SectInfo!$B:$N,10,FALSE)="","","X")))</x:f>
        <x:v/>
      </x:c>
      <x:c r="BP36" s="738"/>
      <x:c r="BQ36" s="1551" t="str">
        <x:f t="shared" si="32"/>
        <x:v/>
      </x:c>
      <x:c r="BR36" s="910"/>
      <x:c r="BS36" s="672"/>
      <x:c r="BT36" s="713"/>
      <x:c r="BU36" s="714"/>
      <x:c r="BV36" s="1625"/>
      <x:c r="BW36" s="713"/>
      <x:c r="BX36" s="714"/>
      <x:c r="BY36" s="715"/>
      <x:c r="BZ36" s="716"/>
      <x:c r="CA36" s="680" t="str">
        <x:f>IF(ISERROR(DE36),"",IF(DE36="","",IF(VLOOKUP(BS36,SectInfo!$B:$N,10,FALSE)="","","X")))</x:f>
        <x:v/>
      </x:c>
      <x:c r="CB36" s="738"/>
      <x:c r="CC36" s="1551" t="str">
        <x:f t="shared" si="33"/>
        <x:v/>
      </x:c>
      <x:c r="CD36" s="910"/>
      <x:c r="CE36" s="717"/>
      <x:c r="CF36" s="736"/>
      <x:c r="CG36" s="737"/>
      <x:c r="CH36" s="591" t="str">
        <x:f t="shared" si="34"/>
        <x:v/>
      </x:c>
      <x:c r="CI36" s="592" t="str">
        <x:f t="shared" si="35"/>
        <x:v/>
      </x:c>
      <x:c r="CJ36" s="593" t="str">
        <x:f t="shared" si="36"/>
        <x:v/>
      </x:c>
      <x:c r="CK36" s="594" t="str">
        <x:f t="shared" si="37"/>
        <x:v/>
      </x:c>
      <x:c r="CL36" s="595" t="str">
        <x:f t="shared" si="38"/>
        <x:v/>
      </x:c>
      <x:c r="CM36" s="596" t="str">
        <x:f t="shared" si="39"/>
        <x:v/>
      </x:c>
      <x:c r="CN36" s="597" t="str">
        <x:f t="shared" si="40"/>
        <x:v/>
      </x:c>
      <x:c r="CO36" s="598" t="str">
        <x:f t="shared" si="41"/>
        <x:v/>
      </x:c>
      <x:c r="CP36" s="615" t="str">
        <x:f t="shared" si="42"/>
        <x:v/>
      </x:c>
      <x:c r="CQ36" s="616" t="str">
        <x:f t="shared" si="43"/>
        <x:v/>
      </x:c>
      <x:c r="CR36" s="750">
        <x:f t="shared" si="44"/>
        <x:v>5</x:v>
      </x:c>
      <x:c r="CS36" s="751">
        <x:f t="shared" si="45"/>
        <x:v>5</x:v>
      </x:c>
      <x:c r="CU36" s="817" t="str">
        <x:f>IF(BG36="","",VLOOKUP(BG36,SectInfo!$B:$N,12,FALSE))</x:f>
        <x:v/>
      </x:c>
      <x:c r="CV36" s="815" t="str">
        <x:f>IF(BG36="","",IF(ISBLANK(BP36),VLOOKUP(BG36,SectInfo!$B:$N,13,FALSE),BP36))</x:f>
        <x:v/>
      </x:c>
      <x:c r="CW36" s="8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8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46"/>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47"/>
        <x:v>0</x:v>
      </x:c>
      <x:c r="DO36" s="818">
        <x:f t="shared" si="48"/>
        <x:v>0</x:v>
      </x:c>
      <x:c r="DP36" s="822" t="str">
        <x:f t="shared" si="49"/>
        <x:v/>
      </x:c>
      <x:c r="DQ36" s="822" t="str">
        <x:f t="shared" si="50"/>
        <x:v/>
      </x:c>
      <x:c r="DR36" s="822" t="str">
        <x:f t="shared" si="51"/>
        <x:v/>
      </x:c>
      <x:c r="DS36" s="821">
        <x:f t="shared" si="52"/>
        <x:v>0</x:v>
      </x:c>
      <x:c r="DT36" s="821">
        <x:f t="shared" si="53"/>
        <x:v>0</x:v>
      </x:c>
      <x:c r="DU36" s="821" t="str">
        <x:f t="shared" si="54"/>
        <x:v/>
      </x:c>
      <x:c r="DV36" s="822" t="str">
        <x:f t="shared" si="55"/>
        <x:v/>
      </x:c>
      <x:c r="DW36" s="856" t="str">
        <x:f t="shared" si="56"/>
        <x:v/>
      </x:c>
      <x:c r="DX36" s="1006">
        <x:f t="shared" si="57"/>
        <x:v>0</x:v>
      </x:c>
      <x:c r="DY36" s="822">
        <x:f t="shared" si="58"/>
        <x:v>0</x:v>
      </x:c>
      <x:c r="DZ36" s="821">
        <x:f t="shared" si="59"/>
        <x:v>0</x:v>
      </x:c>
      <x:c r="EA36" s="821" t="str">
        <x:f t="shared" si="60"/>
        <x:v/>
      </x:c>
      <x:c r="EB36" s="822" t="str">
        <x:f t="shared" si="61"/>
        <x:v/>
      </x:c>
      <x:c r="EC36" s="856" t="str">
        <x:f t="shared" si="62"/>
        <x:v/>
      </x:c>
      <x:c r="ED36" s="1006">
        <x:f t="shared" si="63"/>
        <x:v>0</x:v>
      </x:c>
      <x:c r="EE36" s="1293" t="str">
        <x:f t="shared" si="64"/>
        <x:v/>
      </x:c>
      <x:c r="EF36" s="1293" t="str">
        <x:f t="shared" si="65"/>
        <x:v/>
      </x:c>
      <x:c r="EG36" s="1293" t="str">
        <x:f t="shared" si="66"/>
        <x:v/>
      </x:c>
      <x:c r="EH36" s="856" t="str">
        <x:f t="shared" si="67"/>
        <x:v>ERR</x:v>
      </x:c>
      <x:c r="EI36" s="856" t="str">
        <x:f t="shared" si="68"/>
        <x:v>ERR</x:v>
      </x:c>
      <x:c r="EJ36" s="822" t="str">
        <x:f t="shared" si="69"/>
        <x:v/>
      </x:c>
      <x:c r="EK36" s="822" t="str">
        <x:f t="shared" si="69"/>
        <x:v/>
      </x:c>
      <x:c r="EL36" s="1293" t="str">
        <x:f t="shared" si="70"/>
        <x:v/>
      </x:c>
      <x:c r="EM36" s="822" t="str">
        <x:f t="shared" si="71"/>
        <x:v/>
      </x:c>
      <x:c r="EN36" s="822" t="str">
        <x:f t="shared" si="72"/>
        <x:v/>
      </x:c>
      <x:c r="EO36" s="856" t="str">
        <x:f t="shared" si="73"/>
        <x:v>ERR</x:v>
      </x:c>
      <x:c r="EP36" s="856" t="str">
        <x:f t="shared" si="74"/>
        <x:v>ERR</x:v>
      </x:c>
      <x:c r="EQ36" s="1293" t="str">
        <x:f t="shared" si="75"/>
        <x:v/>
      </x:c>
      <x:c r="ER36" s="822" t="str">
        <x:f t="shared" si="75"/>
        <x:v/>
      </x:c>
      <x:c r="ES36" s="822" t="str">
        <x:f t="shared" si="76"/>
        <x:v/>
      </x:c>
      <x:c r="ET36" s="822" t="str">
        <x:f t="shared" si="77"/>
        <x:v/>
      </x:c>
      <x:c r="EU36" s="829">
        <x:f t="shared" si="78"/>
        <x:v>4</x:v>
      </x:c>
      <x:c r="EV36" s="824" t="str">
        <x:f t="shared" si="79"/>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80"/>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81"/>
        <x:v/>
      </x:c>
      <x:c r="FD36" s="821">
        <x:f t="shared" si="107"/>
        <x:v>0</x:v>
      </x:c>
      <x:c r="FE36" s="821">
        <x:f t="shared" si="82"/>
        <x:v>0</x:v>
      </x:c>
      <x:c r="FF36" s="821">
        <x:f t="shared" si="83"/>
        <x:v>0</x:v>
      </x:c>
      <x:c r="FG36" s="821" t="str">
        <x:f t="shared" si="84"/>
        <x:v/>
      </x:c>
      <x:c r="FH36" s="822" t="str">
        <x:f t="shared" si="85"/>
        <x:v/>
      </x:c>
      <x:c r="FI36" s="821">
        <x:f t="shared" si="108"/>
        <x:v>0</x:v>
      </x:c>
      <x:c r="FJ36" s="821">
        <x:f t="shared" si="86"/>
        <x:v>0</x:v>
      </x:c>
      <x:c r="FK36" s="821">
        <x:f t="shared" si="87"/>
        <x:v>0</x:v>
      </x:c>
      <x:c r="FL36" s="821" t="str">
        <x:f t="shared" si="88"/>
        <x:v/>
      </x:c>
      <x:c r="FM36" s="822" t="str">
        <x:f t="shared" si="89"/>
        <x:v/>
      </x:c>
      <x:c r="FN36" s="822" t="e">
        <x:f t="shared" si="90"/>
        <x:v>#VALUE!</x:v>
      </x:c>
      <x:c r="FO36" s="940" t="e">
        <x:f t="shared" si="91"/>
        <x:v>#VALUE!</x:v>
      </x:c>
      <x:c r="FP36" s="940" t="e">
        <x:f t="shared" si="92"/>
        <x:v>#VALUE!</x:v>
      </x:c>
      <x:c r="FQ36" s="830" t="e">
        <x:f t="shared" si="93"/>
        <x:v>#VALUE!</x:v>
      </x:c>
      <x:c r="FR36" s="831" t="e">
        <x:f t="shared" si="94"/>
        <x:v>#VALUE!</x:v>
      </x:c>
      <x:c r="FS36" s="832" t="str">
        <x:f t="shared" si="95"/>
        <x:v/>
      </x:c>
      <x:c r="FT36" s="833" t="str">
        <x:f t="shared" si="96"/>
        <x:v/>
      </x:c>
      <x:c r="FU36" s="870">
        <x:f t="shared" si="97"/>
        <x:v>0</x:v>
      </x:c>
      <x:c r="FV36" s="871">
        <x:f t="shared" si="98"/>
        <x:v>0</x:v>
      </x:c>
      <x:c r="GA36" s="1791">
        <x:v>50</x:v>
      </x:c>
      <x:c r="GB36" s="1792">
        <x:v>0</x:v>
      </x:c>
      <x:c r="GC36" s="1793">
        <x:v>-0.25</x:v>
      </x:c>
      <x:c r="GD36" s="1794">
        <x:v>-0.25</x:v>
      </x:c>
      <x:c r="GE36" s="1795">
        <x:f t="shared" si="99"/>
        <x:v>0</x:v>
      </x:c>
      <x:c r="GF36" s="600" t="str">
        <x:f t="shared" si="100"/>
        <x:v>J37</x:v>
      </x:c>
      <x:c r="GG36" s="1130">
        <x:v>0</x:v>
      </x:c>
      <x:c r="GH36" s="1131">
        <x:v>0</x:v>
      </x:c>
      <x:c r="GI36" s="1130"/>
      <x:c r="GJ36" s="1131"/>
      <x:c r="GK36" s="1638">
        <x:f t="shared" si="101"/>
        <x:v>599.5</x:v>
      </x:c>
      <x:c r="GL36" s="1636">
        <x:f t="shared" si="102"/>
        <x:v>599.5</x:v>
      </x:c>
      <x:c r="GM36" s="1637">
        <x:f>IF(ABS(GK36-GL36)&gt;='Job Info.'!$L$22,ABS(GK36-GL36),0)</x:f>
        <x:v>0</x:v>
      </x:c>
      <x:c r="HA36" s="1269" t="s">
        <x:v>1467</x:v>
      </x:c>
      <x:c r="HB36" s="1270">
        <x:v>2</x:v>
      </x:c>
      <x:c r="HC36" s="1270" t="s">
        <x:v>1592</x:v>
      </x:c>
      <x:c r="HD36" s="1271">
        <x:v>49</x:v>
      </x:c>
      <x:c r="HE36" s="1272">
        <x:v>11.5</x:v>
      </x:c>
      <x:c r="HF36" s="1270" t="s">
        <x:v>116</x:v>
      </x:c>
      <x:c r="HG36" s="1270" t="s">
        <x:v>116</x:v>
      </x:c>
      <x:c r="HH36" s="1270" t="s">
        <x:v>116</x:v>
      </x:c>
      <x:c r="HI36" s="1273" t="s">
        <x:v>116</x:v>
      </x:c>
      <x:c r="HJ36" s="1270" t="s">
        <x:v>116</x:v>
      </x:c>
      <x:c r="HK36" s="1270" t="s">
        <x:v>116</x:v>
      </x:c>
      <x:c r="HL36" s="1270">
        <x:v>5</x:v>
      </x:c>
      <x:c r="HM36" s="1270">
        <x:v>5</x:v>
      </x:c>
      <x:c r="HN36" s="1270" t="s">
        <x:v>116</x:v>
      </x:c>
      <x:c r="HO36" s="1270" t="s">
        <x:v>116</x:v>
      </x:c>
      <x:c r="HP36" s="1270" t="s">
        <x:v>116</x:v>
      </x:c>
      <x:c r="HQ36" s="1273" t="s">
        <x:v>116</x:v>
      </x:c>
      <x:c r="HR36" s="1270" t="s">
        <x:v>116</x:v>
      </x:c>
      <x:c r="HS36" s="1270" t="s">
        <x:v>116</x:v>
      </x:c>
      <x:c r="HT36" s="1270">
        <x:v>0</x:v>
      </x:c>
      <x:c r="HU36" s="1270">
        <x:v>2.25</x:v>
      </x:c>
      <x:c r="HV36" s="1270">
        <x:v>0</x:v>
      </x:c>
      <x:c r="HW36" s="1272">
        <x:v>2.25</x:v>
      </x:c>
      <x:c r="HX36" s="1272">
        <x:v>4</x:v>
      </x:c>
      <x:c r="HY36" s="1272" t="s">
        <x:v>116</x:v>
      </x:c>
      <x:c r="HZ36" s="1272" t="s">
        <x:v>116</x:v>
      </x:c>
      <x:c r="IA36" s="1272" t="s">
        <x:v>1677</x:v>
      </x:c>
      <x:c r="IB36" s="1272"/>
      <x:c r="IC36" s="1272"/>
      <x:c r="ID36" s="1272"/>
      <x:c r="IE36" s="1272"/>
      <x:c r="IF36" s="1274"/>
    </x:row>
    <x:row r="37" spans="1:240" ht="12.6" customHeight="1" x14ac:dyDescent="0.25">
      <x:c r="A37" s="2764" t="s">
        <x:v>1468</x:v>
      </x:c>
      <x:c r="B37" s="2765">
        <x:v>2</x:v>
      </x:c>
      <x:c r="C37" s="2766" t="s">
        <x:v>1592</x:v>
      </x:c>
      <x:c r="D37" s="2767">
        <x:v>49</x:v>
      </x:c>
      <x:c r="E37" s="2768">
        <x:v>11.5</x:v>
      </x:c>
      <x:c r="F37" s="2776" t="str">
        <x:f t="shared" si="1"/>
        <x:v/>
      </x:c>
      <x:c r="G37" s="2771" t="str">
        <x:f t="shared" si="2"/>
        <x:v/>
      </x:c>
      <x:c r="H37" s="2842" t="str">
        <x:f t="shared" si="3"/>
        <x:v/>
      </x:c>
      <x:c r="I37" s="2767" t="str">
        <x:f t="shared" si="4"/>
        <x:v/>
      </x:c>
      <x:c r="J37" s="2771" t="str">
        <x:f t="shared" si="5"/>
        <x:v/>
      </x:c>
      <x:c r="K37" s="2855" t="str">
        <x:f t="shared" si="6"/>
        <x:v/>
      </x:c>
      <x:c r="L37" s="2774">
        <x:v>5</x:v>
      </x:c>
      <x:c r="M37" s="2775">
        <x:v>5</x:v>
      </x:c>
      <x:c r="N37" s="2770" t="str">
        <x:f t="shared" si="103"/>
        <x:v/>
      </x:c>
      <x:c r="O37" s="2771" t="str">
        <x:f t="shared" si="104"/>
        <x:v/>
      </x:c>
      <x:c r="P37" s="2772" t="str">
        <x:f t="shared" si="105"/>
        <x:v/>
      </x:c>
      <x:c r="Q37" s="2767" t="str">
        <x:f t="shared" si="7"/>
        <x:v/>
      </x:c>
      <x:c r="R37" s="2771" t="str">
        <x:f t="shared" si="8"/>
        <x:v/>
      </x:c>
      <x:c r="S37" s="2773" t="str">
        <x:f t="shared" si="9"/>
        <x:v/>
      </x:c>
      <x:c r="T37" s="2776">
        <x:v>0</x:v>
      </x:c>
      <x:c r="U37" s="2771">
        <x:v>2.25</x:v>
      </x:c>
      <x:c r="V37" s="2767">
        <x:v>0</x:v>
      </x:c>
      <x:c r="W37" s="2771">
        <x:v>2.25</x:v>
      </x:c>
      <x:c r="X37" s="2775">
        <x:v>4</x:v>
      </x:c>
      <x:c r="Y37" s="2844" t="str">
        <x:f t="shared" si="10"/>
        <x:v/>
      </x:c>
      <x:c r="Z37" s="2845" t="str">
        <x:f t="shared" si="11"/>
        <x:v/>
      </x:c>
      <x:c r="AA37" s="2846" t="s">
        <x:v>1678</x:v>
      </x:c>
      <x:c r="AB37" s="1413"/>
      <x:c r="AC37" s="964" t="b">
        <x:v>0</x:v>
      </x:c>
      <x:c r="AD37" s="441">
        <x:f t="shared" si="12"/>
        <x:v>0</x:v>
      </x:c>
      <x:c r="AE37" s="442">
        <x:f t="shared" si="13"/>
        <x:v>2</x:v>
      </x:c>
      <x:c r="AF37" s="442">
        <x:f t="shared" si="14"/>
        <x:v>0</x:v>
      </x:c>
      <x:c r="AG37" s="442">
        <x:f t="shared" si="15"/>
        <x:v>0</x:v>
      </x:c>
      <x:c r="AH37" s="443">
        <x:f t="shared" si="16"/>
        <x:v>0</x:v>
      </x:c>
      <x:c r="AI37" s="444" t="b">
        <x:v>0</x:v>
      </x:c>
      <x:c r="AJ37" s="238">
        <x:f t="shared" si="17"/>
        <x:v>32</x:v>
      </x:c>
      <x:c r="AK37" s="830" t="str">
        <x:f t="shared" si="18"/>
        <x:v>LH</x:v>
      </x:c>
      <x:c r="AL37" s="945" t="str">
        <x:f t="shared" si="19"/>
        <x:v/>
      </x:c>
      <x:c r="AM37" s="830">
        <x:f t="shared" si="20"/>
        <x:v>305</x:v>
      </x:c>
      <x:c r="AN37" s="830">
        <x:f t="shared" si="21"/>
        <x:v>180</x:v>
      </x:c>
      <x:c r="AO37" s="830" t="str">
        <x:f t="shared" si="22"/>
        <x:v/>
      </x:c>
      <x:c r="AP37" s="830" t="b">
        <x:f>IF(ISERROR(AJ37),FALSE,IF(OR(AJ37=0,ISERROR(AL37),ISERROR(AM37),ISERROR(AN37),ISERROR(AO37)),FALSE,IF(AL37&lt;&gt;"",IF(ISERROR(VLOOKUP(SUBSTITUTE(SUBSTITUTE(C37,"R",""),"A",""),TblJoistSize!$A:$A,1,FALSE)),FALSE,TRUE),TRUE)))</x:f>
        <x:v>1</x:v>
      </x:c>
      <x:c r="AQ37" s="1038">
        <x:f t="shared" si="23"/>
        <x:v>6</x:v>
      </x:c>
      <x:c r="AR37" s="945" t="b">
        <x:f t="shared" si="24"/>
        <x:v>1</x:v>
      </x:c>
      <x:c r="AS37" s="1038">
        <x:f t="shared" si="25"/>
        <x:v>6</x:v>
      </x:c>
      <x:c r="AT37" s="945" t="b">
        <x:f t="shared" si="26"/>
        <x:v>1</x:v>
      </x:c>
      <x:c r="AU37" s="946" t="str">
        <x:f t="shared" si="27"/>
        <x:v>LH</x:v>
      </x:c>
      <x:c r="AV37" s="830" t="str">
        <x:f t="shared" si="28"/>
        <x:v/>
      </x:c>
      <x:c r="AW37" s="830" t="str">
        <x:f t="shared" si="29"/>
        <x:v>LH</x:v>
      </x:c>
      <x:c r="AX37" s="830" t="str">
        <x:f t="shared" si="106"/>
        <x:v>J38</x:v>
      </x:c>
      <x:c r="AY37" s="1039" t="b">
        <x:f t="shared" si="30"/>
        <x:v>0</x:v>
      </x:c>
      <x:c r="AZ37" s="856" t="b">
        <x:f t="shared" si="31"/>
        <x:v>0</x:v>
      </x:c>
      <x:c r="BA37" s="549"/>
      <x:c r="BB37" s="672"/>
      <x:c r="BC37" s="1684"/>
      <x:c r="BD37" s="733"/>
      <x:c r="BE37" s="734"/>
      <x:c r="BF37" s="735"/>
      <x:c r="BG37" s="672"/>
      <x:c r="BH37" s="982"/>
      <x:c r="BI37" s="983"/>
      <x:c r="BJ37" s="1625"/>
      <x:c r="BK37" s="713"/>
      <x:c r="BL37" s="714"/>
      <x:c r="BM37" s="715"/>
      <x:c r="BN37" s="716"/>
      <x:c r="BO37" s="672" t="str">
        <x:f>IF(ISERROR(CU37),"",IF(CU37="","",IF(VLOOKUP(BG37,SectInfo!$B:$N,10,FALSE)="","","X")))</x:f>
        <x:v/>
      </x:c>
      <x:c r="BP37" s="738"/>
      <x:c r="BQ37" s="1551" t="str">
        <x:f t="shared" si="32"/>
        <x:v/>
      </x:c>
      <x:c r="BR37" s="910"/>
      <x:c r="BS37" s="672"/>
      <x:c r="BT37" s="713"/>
      <x:c r="BU37" s="714"/>
      <x:c r="BV37" s="1625"/>
      <x:c r="BW37" s="713"/>
      <x:c r="BX37" s="714"/>
      <x:c r="BY37" s="715"/>
      <x:c r="BZ37" s="716"/>
      <x:c r="CA37" s="680" t="str">
        <x:f>IF(ISERROR(DE37),"",IF(DE37="","",IF(VLOOKUP(BS37,SectInfo!$B:$N,10,FALSE)="","","X")))</x:f>
        <x:v/>
      </x:c>
      <x:c r="CB37" s="738"/>
      <x:c r="CC37" s="1551" t="str">
        <x:f t="shared" si="33"/>
        <x:v/>
      </x:c>
      <x:c r="CD37" s="910"/>
      <x:c r="CE37" s="717"/>
      <x:c r="CF37" s="736"/>
      <x:c r="CG37" s="737"/>
      <x:c r="CH37" s="591" t="str">
        <x:f t="shared" si="34"/>
        <x:v/>
      </x:c>
      <x:c r="CI37" s="592" t="str">
        <x:f t="shared" si="35"/>
        <x:v/>
      </x:c>
      <x:c r="CJ37" s="593" t="str">
        <x:f t="shared" si="36"/>
        <x:v/>
      </x:c>
      <x:c r="CK37" s="594" t="str">
        <x:f t="shared" si="37"/>
        <x:v/>
      </x:c>
      <x:c r="CL37" s="595" t="str">
        <x:f t="shared" si="38"/>
        <x:v/>
      </x:c>
      <x:c r="CM37" s="596" t="str">
        <x:f t="shared" si="39"/>
        <x:v/>
      </x:c>
      <x:c r="CN37" s="597" t="str">
        <x:f t="shared" si="40"/>
        <x:v/>
      </x:c>
      <x:c r="CO37" s="598" t="str">
        <x:f t="shared" si="41"/>
        <x:v/>
      </x:c>
      <x:c r="CP37" s="615" t="str">
        <x:f t="shared" si="42"/>
        <x:v/>
      </x:c>
      <x:c r="CQ37" s="616" t="str">
        <x:f t="shared" si="43"/>
        <x:v/>
      </x:c>
      <x:c r="CR37" s="750">
        <x:f t="shared" si="44"/>
        <x:v>5</x:v>
      </x:c>
      <x:c r="CS37" s="751">
        <x:f t="shared" si="45"/>
        <x:v>5</x:v>
      </x:c>
      <x:c r="CU37" s="817" t="str">
        <x:f>IF(BG37="","",VLOOKUP(BG37,SectInfo!$B:$N,12,FALSE))</x:f>
        <x:v/>
      </x:c>
      <x:c r="CV37" s="815" t="str">
        <x:f>IF(BG37="","",IF(ISBLANK(BP37),VLOOKUP(BG37,SectInfo!$B:$N,13,FALSE),BP37))</x:f>
        <x:v/>
      </x:c>
      <x:c r="CW37" s="8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8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46"/>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47"/>
        <x:v>0</x:v>
      </x:c>
      <x:c r="DO37" s="818">
        <x:f t="shared" si="48"/>
        <x:v>0</x:v>
      </x:c>
      <x:c r="DP37" s="822" t="str">
        <x:f t="shared" si="49"/>
        <x:v/>
      </x:c>
      <x:c r="DQ37" s="822" t="str">
        <x:f t="shared" si="50"/>
        <x:v/>
      </x:c>
      <x:c r="DR37" s="822" t="str">
        <x:f t="shared" si="51"/>
        <x:v/>
      </x:c>
      <x:c r="DS37" s="821">
        <x:f t="shared" si="52"/>
        <x:v>0</x:v>
      </x:c>
      <x:c r="DT37" s="821">
        <x:f t="shared" si="53"/>
        <x:v>0</x:v>
      </x:c>
      <x:c r="DU37" s="821" t="str">
        <x:f t="shared" si="54"/>
        <x:v/>
      </x:c>
      <x:c r="DV37" s="822" t="str">
        <x:f t="shared" si="55"/>
        <x:v/>
      </x:c>
      <x:c r="DW37" s="856" t="str">
        <x:f t="shared" si="56"/>
        <x:v/>
      </x:c>
      <x:c r="DX37" s="1006">
        <x:f t="shared" si="57"/>
        <x:v>0</x:v>
      </x:c>
      <x:c r="DY37" s="822">
        <x:f t="shared" si="58"/>
        <x:v>0</x:v>
      </x:c>
      <x:c r="DZ37" s="821">
        <x:f t="shared" si="59"/>
        <x:v>0</x:v>
      </x:c>
      <x:c r="EA37" s="821" t="str">
        <x:f t="shared" si="60"/>
        <x:v/>
      </x:c>
      <x:c r="EB37" s="822" t="str">
        <x:f t="shared" si="61"/>
        <x:v/>
      </x:c>
      <x:c r="EC37" s="856" t="str">
        <x:f t="shared" si="62"/>
        <x:v/>
      </x:c>
      <x:c r="ED37" s="1006">
        <x:f t="shared" si="63"/>
        <x:v>0</x:v>
      </x:c>
      <x:c r="EE37" s="1293" t="str">
        <x:f t="shared" si="64"/>
        <x:v/>
      </x:c>
      <x:c r="EF37" s="1293" t="str">
        <x:f t="shared" si="65"/>
        <x:v/>
      </x:c>
      <x:c r="EG37" s="1293" t="str">
        <x:f t="shared" si="66"/>
        <x:v/>
      </x:c>
      <x:c r="EH37" s="856" t="str">
        <x:f t="shared" si="67"/>
        <x:v>ERR</x:v>
      </x:c>
      <x:c r="EI37" s="856" t="str">
        <x:f t="shared" si="68"/>
        <x:v>ERR</x:v>
      </x:c>
      <x:c r="EJ37" s="822" t="str">
        <x:f t="shared" si="69"/>
        <x:v/>
      </x:c>
      <x:c r="EK37" s="822" t="str">
        <x:f t="shared" si="69"/>
        <x:v/>
      </x:c>
      <x:c r="EL37" s="1293" t="str">
        <x:f t="shared" si="70"/>
        <x:v/>
      </x:c>
      <x:c r="EM37" s="822" t="str">
        <x:f t="shared" si="71"/>
        <x:v/>
      </x:c>
      <x:c r="EN37" s="822" t="str">
        <x:f t="shared" si="72"/>
        <x:v/>
      </x:c>
      <x:c r="EO37" s="856" t="str">
        <x:f t="shared" si="73"/>
        <x:v>ERR</x:v>
      </x:c>
      <x:c r="EP37" s="856" t="str">
        <x:f t="shared" si="74"/>
        <x:v>ERR</x:v>
      </x:c>
      <x:c r="EQ37" s="1293" t="str">
        <x:f t="shared" si="75"/>
        <x:v/>
      </x:c>
      <x:c r="ER37" s="822" t="str">
        <x:f t="shared" si="75"/>
        <x:v/>
      </x:c>
      <x:c r="ES37" s="822" t="str">
        <x:f t="shared" si="76"/>
        <x:v/>
      </x:c>
      <x:c r="ET37" s="822" t="str">
        <x:f t="shared" si="77"/>
        <x:v/>
      </x:c>
      <x:c r="EU37" s="829">
        <x:f t="shared" si="78"/>
        <x:v>4</x:v>
      </x:c>
      <x:c r="EV37" s="824" t="str">
        <x:f t="shared" si="79"/>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80"/>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81"/>
        <x:v/>
      </x:c>
      <x:c r="FD37" s="821">
        <x:f t="shared" si="107"/>
        <x:v>0</x:v>
      </x:c>
      <x:c r="FE37" s="821">
        <x:f t="shared" si="82"/>
        <x:v>0</x:v>
      </x:c>
      <x:c r="FF37" s="821">
        <x:f t="shared" si="83"/>
        <x:v>0</x:v>
      </x:c>
      <x:c r="FG37" s="821" t="str">
        <x:f t="shared" si="84"/>
        <x:v/>
      </x:c>
      <x:c r="FH37" s="822" t="str">
        <x:f t="shared" si="85"/>
        <x:v/>
      </x:c>
      <x:c r="FI37" s="821">
        <x:f t="shared" si="108"/>
        <x:v>0</x:v>
      </x:c>
      <x:c r="FJ37" s="821">
        <x:f t="shared" si="86"/>
        <x:v>0</x:v>
      </x:c>
      <x:c r="FK37" s="821">
        <x:f t="shared" si="87"/>
        <x:v>0</x:v>
      </x:c>
      <x:c r="FL37" s="821" t="str">
        <x:f t="shared" si="88"/>
        <x:v/>
      </x:c>
      <x:c r="FM37" s="822" t="str">
        <x:f t="shared" si="89"/>
        <x:v/>
      </x:c>
      <x:c r="FN37" s="822" t="e">
        <x:f t="shared" si="90"/>
        <x:v>#VALUE!</x:v>
      </x:c>
      <x:c r="FO37" s="940" t="e">
        <x:f t="shared" si="91"/>
        <x:v>#VALUE!</x:v>
      </x:c>
      <x:c r="FP37" s="940" t="e">
        <x:f t="shared" si="92"/>
        <x:v>#VALUE!</x:v>
      </x:c>
      <x:c r="FQ37" s="830" t="e">
        <x:f t="shared" si="93"/>
        <x:v>#VALUE!</x:v>
      </x:c>
      <x:c r="FR37" s="831" t="e">
        <x:f t="shared" si="94"/>
        <x:v>#VALUE!</x:v>
      </x:c>
      <x:c r="FS37" s="832" t="str">
        <x:f t="shared" si="95"/>
        <x:v/>
      </x:c>
      <x:c r="FT37" s="833" t="str">
        <x:f t="shared" si="96"/>
        <x:v/>
      </x:c>
      <x:c r="FU37" s="870">
        <x:f t="shared" si="97"/>
        <x:v>0</x:v>
      </x:c>
      <x:c r="FV37" s="871">
        <x:f t="shared" si="98"/>
        <x:v>0</x:v>
      </x:c>
      <x:c r="GA37" s="1791">
        <x:v>50</x:v>
      </x:c>
      <x:c r="GB37" s="1792">
        <x:v>0</x:v>
      </x:c>
      <x:c r="GC37" s="1793">
        <x:v>-0.25</x:v>
      </x:c>
      <x:c r="GD37" s="1794">
        <x:v>-0.25</x:v>
      </x:c>
      <x:c r="GE37" s="1795">
        <x:f t="shared" si="99"/>
        <x:v>0</x:v>
      </x:c>
      <x:c r="GF37" s="600" t="str">
        <x:f t="shared" si="100"/>
        <x:v>J38</x:v>
      </x:c>
      <x:c r="GG37" s="1130">
        <x:v>0</x:v>
      </x:c>
      <x:c r="GH37" s="1131">
        <x:v>0</x:v>
      </x:c>
      <x:c r="GI37" s="1130"/>
      <x:c r="GJ37" s="1131"/>
      <x:c r="GK37" s="1638">
        <x:f t="shared" si="101"/>
        <x:v>599.5</x:v>
      </x:c>
      <x:c r="GL37" s="1636">
        <x:f t="shared" si="102"/>
        <x:v>599.5</x:v>
      </x:c>
      <x:c r="GM37" s="1637">
        <x:f>IF(ABS(GK37-GL37)&gt;='Job Info.'!$L$22,ABS(GK37-GL37),0)</x:f>
        <x:v>0</x:v>
      </x:c>
      <x:c r="HA37" s="1269" t="s">
        <x:v>1468</x:v>
      </x:c>
      <x:c r="HB37" s="1270">
        <x:v>2</x:v>
      </x:c>
      <x:c r="HC37" s="1270" t="s">
        <x:v>1592</x:v>
      </x:c>
      <x:c r="HD37" s="1271">
        <x:v>49</x:v>
      </x:c>
      <x:c r="HE37" s="1272">
        <x:v>11.5</x:v>
      </x:c>
      <x:c r="HF37" s="1270" t="s">
        <x:v>116</x:v>
      </x:c>
      <x:c r="HG37" s="1270" t="s">
        <x:v>116</x:v>
      </x:c>
      <x:c r="HH37" s="1270" t="s">
        <x:v>116</x:v>
      </x:c>
      <x:c r="HI37" s="1273" t="s">
        <x:v>116</x:v>
      </x:c>
      <x:c r="HJ37" s="1270" t="s">
        <x:v>116</x:v>
      </x:c>
      <x:c r="HK37" s="1270" t="s">
        <x:v>116</x:v>
      </x:c>
      <x:c r="HL37" s="1270">
        <x:v>5</x:v>
      </x:c>
      <x:c r="HM37" s="1270">
        <x:v>5</x:v>
      </x:c>
      <x:c r="HN37" s="1270" t="s">
        <x:v>116</x:v>
      </x:c>
      <x:c r="HO37" s="1270" t="s">
        <x:v>116</x:v>
      </x:c>
      <x:c r="HP37" s="1270" t="s">
        <x:v>116</x:v>
      </x:c>
      <x:c r="HQ37" s="1273" t="s">
        <x:v>116</x:v>
      </x:c>
      <x:c r="HR37" s="1270" t="s">
        <x:v>116</x:v>
      </x:c>
      <x:c r="HS37" s="1270" t="s">
        <x:v>116</x:v>
      </x:c>
      <x:c r="HT37" s="1270">
        <x:v>0</x:v>
      </x:c>
      <x:c r="HU37" s="1270">
        <x:v>2.25</x:v>
      </x:c>
      <x:c r="HV37" s="1270">
        <x:v>0</x:v>
      </x:c>
      <x:c r="HW37" s="1272">
        <x:v>2.25</x:v>
      </x:c>
      <x:c r="HX37" s="1272">
        <x:v>4</x:v>
      </x:c>
      <x:c r="HY37" s="1272" t="s">
        <x:v>116</x:v>
      </x:c>
      <x:c r="HZ37" s="1272" t="s">
        <x:v>116</x:v>
      </x:c>
      <x:c r="IA37" s="1272" t="s">
        <x:v>1678</x:v>
      </x:c>
      <x:c r="IB37" s="1272"/>
      <x:c r="IC37" s="1272"/>
      <x:c r="ID37" s="1272"/>
      <x:c r="IE37" s="1272"/>
      <x:c r="IF37" s="1274"/>
    </x:row>
    <x:row r="38" spans="1:240" ht="12.6" customHeight="1" x14ac:dyDescent="0.25">
      <x:c r="A38" s="2764" t="s">
        <x:v>1469</x:v>
      </x:c>
      <x:c r="B38" s="2765">
        <x:v>2</x:v>
      </x:c>
      <x:c r="C38" s="2766" t="s">
        <x:v>1592</x:v>
      </x:c>
      <x:c r="D38" s="2767">
        <x:v>39</x:v>
      </x:c>
      <x:c r="E38" s="2768">
        <x:v>11.5</x:v>
      </x:c>
      <x:c r="F38" s="2776" t="str">
        <x:f t="shared" si="1"/>
        <x:v/>
      </x:c>
      <x:c r="G38" s="2771" t="str">
        <x:f t="shared" si="2"/>
        <x:v/>
      </x:c>
      <x:c r="H38" s="2842" t="str">
        <x:f t="shared" si="3"/>
        <x:v/>
      </x:c>
      <x:c r="I38" s="2767" t="str">
        <x:f t="shared" si="4"/>
        <x:v/>
      </x:c>
      <x:c r="J38" s="2771" t="str">
        <x:f t="shared" si="5"/>
        <x:v/>
      </x:c>
      <x:c r="K38" s="2855" t="str">
        <x:f t="shared" si="6"/>
        <x:v/>
      </x:c>
      <x:c r="L38" s="2774">
        <x:v>5</x:v>
      </x:c>
      <x:c r="M38" s="2775">
        <x:v>5</x:v>
      </x:c>
      <x:c r="N38" s="2770" t="str">
        <x:f t="shared" si="103"/>
        <x:v/>
      </x:c>
      <x:c r="O38" s="2771" t="str">
        <x:f t="shared" si="104"/>
        <x:v/>
      </x:c>
      <x:c r="P38" s="2772" t="str">
        <x:f t="shared" si="105"/>
        <x:v/>
      </x:c>
      <x:c r="Q38" s="2767" t="str">
        <x:f t="shared" si="7"/>
        <x:v/>
      </x:c>
      <x:c r="R38" s="2771" t="str">
        <x:f t="shared" si="8"/>
        <x:v/>
      </x:c>
      <x:c r="S38" s="2773" t="str">
        <x:f t="shared" si="9"/>
        <x:v/>
      </x:c>
      <x:c r="T38" s="2776">
        <x:v>0</x:v>
      </x:c>
      <x:c r="U38" s="2771">
        <x:v>2.25</x:v>
      </x:c>
      <x:c r="V38" s="2767">
        <x:v>0</x:v>
      </x:c>
      <x:c r="W38" s="2771">
        <x:v>2.25</x:v>
      </x:c>
      <x:c r="X38" s="2775">
        <x:v>4</x:v>
      </x:c>
      <x:c r="Y38" s="2844" t="str">
        <x:f t="shared" si="10"/>
        <x:v/>
      </x:c>
      <x:c r="Z38" s="2845" t="str">
        <x:f t="shared" si="11"/>
        <x:v/>
      </x:c>
      <x:c r="AA38" s="2846" t="s">
        <x:v>1673</x:v>
      </x:c>
      <x:c r="AB38" s="1413"/>
      <x:c r="AC38" s="964" t="b">
        <x:v>0</x:v>
      </x:c>
      <x:c r="AD38" s="441">
        <x:f t="shared" si="12"/>
        <x:v>0</x:v>
      </x:c>
      <x:c r="AE38" s="442">
        <x:f t="shared" si="13"/>
        <x:v>2</x:v>
      </x:c>
      <x:c r="AF38" s="442">
        <x:f t="shared" si="14"/>
        <x:v>0</x:v>
      </x:c>
      <x:c r="AG38" s="442">
        <x:f t="shared" si="15"/>
        <x:v>0</x:v>
      </x:c>
      <x:c r="AH38" s="443">
        <x:f t="shared" si="16"/>
        <x:v>0</x:v>
      </x:c>
      <x:c r="AI38" s="444" t="b">
        <x:v>0</x:v>
      </x:c>
      <x:c r="AJ38" s="238">
        <x:f t="shared" si="17"/>
        <x:v>32</x:v>
      </x:c>
      <x:c r="AK38" s="830" t="str">
        <x:f t="shared" si="18"/>
        <x:v>LH</x:v>
      </x:c>
      <x:c r="AL38" s="945" t="str">
        <x:f t="shared" si="19"/>
        <x:v/>
      </x:c>
      <x:c r="AM38" s="830">
        <x:f t="shared" si="20"/>
        <x:v>305</x:v>
      </x:c>
      <x:c r="AN38" s="830">
        <x:f t="shared" si="21"/>
        <x:v>180</x:v>
      </x:c>
      <x:c r="AO38" s="830" t="str">
        <x:f t="shared" si="22"/>
        <x:v/>
      </x:c>
      <x:c r="AP38" s="830" t="b">
        <x:f>IF(ISERROR(AJ38),FALSE,IF(OR(AJ38=0,ISERROR(AL38),ISERROR(AM38),ISERROR(AN38),ISERROR(AO38)),FALSE,IF(AL38&lt;&gt;"",IF(ISERROR(VLOOKUP(SUBSTITUTE(SUBSTITUTE(C38,"R",""),"A",""),TblJoistSize!$A:$A,1,FALSE)),FALSE,TRUE),TRUE)))</x:f>
        <x:v>1</x:v>
      </x:c>
      <x:c r="AQ38" s="1038">
        <x:f t="shared" si="23"/>
        <x:v>6</x:v>
      </x:c>
      <x:c r="AR38" s="945" t="b">
        <x:f t="shared" si="24"/>
        <x:v>1</x:v>
      </x:c>
      <x:c r="AS38" s="1038">
        <x:f t="shared" si="25"/>
        <x:v>6</x:v>
      </x:c>
      <x:c r="AT38" s="945" t="b">
        <x:f t="shared" si="26"/>
        <x:v>1</x:v>
      </x:c>
      <x:c r="AU38" s="946" t="str">
        <x:f t="shared" si="27"/>
        <x:v>LH</x:v>
      </x:c>
      <x:c r="AV38" s="830" t="str">
        <x:f t="shared" si="28"/>
        <x:v/>
      </x:c>
      <x:c r="AW38" s="830" t="str">
        <x:f t="shared" si="29"/>
        <x:v>LH</x:v>
      </x:c>
      <x:c r="AX38" s="830" t="str">
        <x:f t="shared" si="106"/>
        <x:v>J39</x:v>
      </x:c>
      <x:c r="AY38" s="1039" t="b">
        <x:f t="shared" si="30"/>
        <x:v>0</x:v>
      </x:c>
      <x:c r="AZ38" s="856" t="b">
        <x:f t="shared" si="31"/>
        <x:v>0</x:v>
      </x:c>
      <x:c r="BA38" s="549"/>
      <x:c r="BB38" s="672"/>
      <x:c r="BC38" s="1684"/>
      <x:c r="BD38" s="733"/>
      <x:c r="BE38" s="734"/>
      <x:c r="BF38" s="735"/>
      <x:c r="BG38" s="672"/>
      <x:c r="BH38" s="982"/>
      <x:c r="BI38" s="983"/>
      <x:c r="BJ38" s="1625"/>
      <x:c r="BK38" s="713"/>
      <x:c r="BL38" s="714"/>
      <x:c r="BM38" s="715"/>
      <x:c r="BN38" s="716"/>
      <x:c r="BO38" s="672" t="str">
        <x:f>IF(ISERROR(CU38),"",IF(CU38="","",IF(VLOOKUP(BG38,SectInfo!$B:$N,10,FALSE)="","","X")))</x:f>
        <x:v/>
      </x:c>
      <x:c r="BP38" s="738"/>
      <x:c r="BQ38" s="1551" t="str">
        <x:f t="shared" si="32"/>
        <x:v/>
      </x:c>
      <x:c r="BR38" s="910"/>
      <x:c r="BS38" s="672"/>
      <x:c r="BT38" s="713"/>
      <x:c r="BU38" s="714"/>
      <x:c r="BV38" s="1625"/>
      <x:c r="BW38" s="713"/>
      <x:c r="BX38" s="714"/>
      <x:c r="BY38" s="715"/>
      <x:c r="BZ38" s="716"/>
      <x:c r="CA38" s="680" t="str">
        <x:f>IF(ISERROR(DE38),"",IF(DE38="","",IF(VLOOKUP(BS38,SectInfo!$B:$N,10,FALSE)="","","X")))</x:f>
        <x:v/>
      </x:c>
      <x:c r="CB38" s="738"/>
      <x:c r="CC38" s="1551" t="str">
        <x:f t="shared" si="33"/>
        <x:v/>
      </x:c>
      <x:c r="CD38" s="910"/>
      <x:c r="CE38" s="717"/>
      <x:c r="CF38" s="736"/>
      <x:c r="CG38" s="737"/>
      <x:c r="CH38" s="591" t="str">
        <x:f t="shared" si="34"/>
        <x:v/>
      </x:c>
      <x:c r="CI38" s="592" t="str">
        <x:f t="shared" si="35"/>
        <x:v/>
      </x:c>
      <x:c r="CJ38" s="593" t="str">
        <x:f t="shared" si="36"/>
        <x:v/>
      </x:c>
      <x:c r="CK38" s="594" t="str">
        <x:f t="shared" si="37"/>
        <x:v/>
      </x:c>
      <x:c r="CL38" s="595" t="str">
        <x:f t="shared" si="38"/>
        <x:v/>
      </x:c>
      <x:c r="CM38" s="596" t="str">
        <x:f t="shared" si="39"/>
        <x:v/>
      </x:c>
      <x:c r="CN38" s="597" t="str">
        <x:f t="shared" si="40"/>
        <x:v/>
      </x:c>
      <x:c r="CO38" s="598" t="str">
        <x:f t="shared" si="41"/>
        <x:v/>
      </x:c>
      <x:c r="CP38" s="615" t="str">
        <x:f t="shared" si="42"/>
        <x:v/>
      </x:c>
      <x:c r="CQ38" s="616" t="str">
        <x:f t="shared" si="43"/>
        <x:v/>
      </x:c>
      <x:c r="CR38" s="750">
        <x:f t="shared" si="44"/>
        <x:v>5</x:v>
      </x:c>
      <x:c r="CS38" s="751">
        <x:f t="shared" si="45"/>
        <x:v>5</x:v>
      </x:c>
      <x:c r="CU38" s="817" t="str">
        <x:f>IF(BG38="","",VLOOKUP(BG38,SectInfo!$B:$N,12,FALSE))</x:f>
        <x:v/>
      </x:c>
      <x:c r="CV38" s="815" t="str">
        <x:f>IF(BG38="","",IF(ISBLANK(BP38),VLOOKUP(BG38,SectInfo!$B:$N,13,FALSE),BP38))</x:f>
        <x:v/>
      </x:c>
      <x:c r="CW38" s="8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8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46"/>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47"/>
        <x:v>0</x:v>
      </x:c>
      <x:c r="DO38" s="818">
        <x:f t="shared" si="48"/>
        <x:v>0</x:v>
      </x:c>
      <x:c r="DP38" s="822" t="str">
        <x:f t="shared" si="49"/>
        <x:v/>
      </x:c>
      <x:c r="DQ38" s="822" t="str">
        <x:f t="shared" si="50"/>
        <x:v/>
      </x:c>
      <x:c r="DR38" s="822" t="str">
        <x:f t="shared" si="51"/>
        <x:v/>
      </x:c>
      <x:c r="DS38" s="821">
        <x:f t="shared" si="52"/>
        <x:v>0</x:v>
      </x:c>
      <x:c r="DT38" s="821">
        <x:f t="shared" si="53"/>
        <x:v>0</x:v>
      </x:c>
      <x:c r="DU38" s="821" t="str">
        <x:f t="shared" si="54"/>
        <x:v/>
      </x:c>
      <x:c r="DV38" s="822" t="str">
        <x:f t="shared" si="55"/>
        <x:v/>
      </x:c>
      <x:c r="DW38" s="856" t="str">
        <x:f t="shared" si="56"/>
        <x:v/>
      </x:c>
      <x:c r="DX38" s="1006">
        <x:f t="shared" si="57"/>
        <x:v>0</x:v>
      </x:c>
      <x:c r="DY38" s="822">
        <x:f t="shared" si="58"/>
        <x:v>0</x:v>
      </x:c>
      <x:c r="DZ38" s="821">
        <x:f t="shared" si="59"/>
        <x:v>0</x:v>
      </x:c>
      <x:c r="EA38" s="821" t="str">
        <x:f t="shared" si="60"/>
        <x:v/>
      </x:c>
      <x:c r="EB38" s="822" t="str">
        <x:f t="shared" si="61"/>
        <x:v/>
      </x:c>
      <x:c r="EC38" s="856" t="str">
        <x:f t="shared" si="62"/>
        <x:v/>
      </x:c>
      <x:c r="ED38" s="1006">
        <x:f t="shared" si="63"/>
        <x:v>0</x:v>
      </x:c>
      <x:c r="EE38" s="1293" t="str">
        <x:f t="shared" si="64"/>
        <x:v/>
      </x:c>
      <x:c r="EF38" s="1293" t="str">
        <x:f t="shared" si="65"/>
        <x:v/>
      </x:c>
      <x:c r="EG38" s="1293" t="str">
        <x:f t="shared" si="66"/>
        <x:v/>
      </x:c>
      <x:c r="EH38" s="856" t="str">
        <x:f t="shared" si="67"/>
        <x:v>ERR</x:v>
      </x:c>
      <x:c r="EI38" s="856" t="str">
        <x:f t="shared" si="68"/>
        <x:v>ERR</x:v>
      </x:c>
      <x:c r="EJ38" s="822" t="str">
        <x:f t="shared" si="69"/>
        <x:v/>
      </x:c>
      <x:c r="EK38" s="822" t="str">
        <x:f t="shared" si="69"/>
        <x:v/>
      </x:c>
      <x:c r="EL38" s="1293" t="str">
        <x:f t="shared" si="70"/>
        <x:v/>
      </x:c>
      <x:c r="EM38" s="822" t="str">
        <x:f t="shared" si="71"/>
        <x:v/>
      </x:c>
      <x:c r="EN38" s="822" t="str">
        <x:f t="shared" si="72"/>
        <x:v/>
      </x:c>
      <x:c r="EO38" s="856" t="str">
        <x:f t="shared" si="73"/>
        <x:v>ERR</x:v>
      </x:c>
      <x:c r="EP38" s="856" t="str">
        <x:f t="shared" si="74"/>
        <x:v>ERR</x:v>
      </x:c>
      <x:c r="EQ38" s="1293" t="str">
        <x:f t="shared" si="75"/>
        <x:v/>
      </x:c>
      <x:c r="ER38" s="822" t="str">
        <x:f t="shared" si="75"/>
        <x:v/>
      </x:c>
      <x:c r="ES38" s="822" t="str">
        <x:f t="shared" si="76"/>
        <x:v/>
      </x:c>
      <x:c r="ET38" s="822" t="str">
        <x:f t="shared" si="77"/>
        <x:v/>
      </x:c>
      <x:c r="EU38" s="829">
        <x:f t="shared" si="78"/>
        <x:v>4</x:v>
      </x:c>
      <x:c r="EV38" s="824" t="str">
        <x:f t="shared" si="79"/>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80"/>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81"/>
        <x:v/>
      </x:c>
      <x:c r="FD38" s="821">
        <x:f t="shared" si="107"/>
        <x:v>0</x:v>
      </x:c>
      <x:c r="FE38" s="821">
        <x:f t="shared" si="82"/>
        <x:v>0</x:v>
      </x:c>
      <x:c r="FF38" s="821">
        <x:f t="shared" si="83"/>
        <x:v>0</x:v>
      </x:c>
      <x:c r="FG38" s="821" t="str">
        <x:f t="shared" si="84"/>
        <x:v/>
      </x:c>
      <x:c r="FH38" s="822" t="str">
        <x:f t="shared" si="85"/>
        <x:v/>
      </x:c>
      <x:c r="FI38" s="821">
        <x:f t="shared" si="108"/>
        <x:v>0</x:v>
      </x:c>
      <x:c r="FJ38" s="821">
        <x:f t="shared" si="86"/>
        <x:v>0</x:v>
      </x:c>
      <x:c r="FK38" s="821">
        <x:f t="shared" si="87"/>
        <x:v>0</x:v>
      </x:c>
      <x:c r="FL38" s="821" t="str">
        <x:f t="shared" si="88"/>
        <x:v/>
      </x:c>
      <x:c r="FM38" s="822" t="str">
        <x:f t="shared" si="89"/>
        <x:v/>
      </x:c>
      <x:c r="FN38" s="822" t="e">
        <x:f t="shared" si="90"/>
        <x:v>#VALUE!</x:v>
      </x:c>
      <x:c r="FO38" s="940" t="e">
        <x:f t="shared" si="91"/>
        <x:v>#VALUE!</x:v>
      </x:c>
      <x:c r="FP38" s="940" t="e">
        <x:f t="shared" si="92"/>
        <x:v>#VALUE!</x:v>
      </x:c>
      <x:c r="FQ38" s="830" t="e">
        <x:f t="shared" si="93"/>
        <x:v>#VALUE!</x:v>
      </x:c>
      <x:c r="FR38" s="831" t="e">
        <x:f t="shared" si="94"/>
        <x:v>#VALUE!</x:v>
      </x:c>
      <x:c r="FS38" s="832" t="str">
        <x:f t="shared" si="95"/>
        <x:v/>
      </x:c>
      <x:c r="FT38" s="833" t="str">
        <x:f t="shared" si="96"/>
        <x:v/>
      </x:c>
      <x:c r="FU38" s="870">
        <x:f t="shared" si="97"/>
        <x:v>0</x:v>
      </x:c>
      <x:c r="FV38" s="871">
        <x:f t="shared" si="98"/>
        <x:v>0</x:v>
      </x:c>
      <x:c r="GA38" s="1791">
        <x:v>40</x:v>
      </x:c>
      <x:c r="GB38" s="1792">
        <x:v>0</x:v>
      </x:c>
      <x:c r="GC38" s="1793">
        <x:v>-0.25</x:v>
      </x:c>
      <x:c r="GD38" s="1794">
        <x:v>-0.25</x:v>
      </x:c>
      <x:c r="GE38" s="1795">
        <x:f t="shared" si="99"/>
        <x:v>0</x:v>
      </x:c>
      <x:c r="GF38" s="600" t="str">
        <x:f t="shared" si="100"/>
        <x:v>J39</x:v>
      </x:c>
      <x:c r="GG38" s="1130">
        <x:v>0</x:v>
      </x:c>
      <x:c r="GH38" s="1131">
        <x:v>0</x:v>
      </x:c>
      <x:c r="GI38" s="1130"/>
      <x:c r="GJ38" s="1131"/>
      <x:c r="GK38" s="1638">
        <x:f t="shared" si="101"/>
        <x:v>479.5</x:v>
      </x:c>
      <x:c r="GL38" s="1636">
        <x:f t="shared" si="102"/>
        <x:v>479.5</x:v>
      </x:c>
      <x:c r="GM38" s="1637">
        <x:f>IF(ABS(GK38-GL38)&gt;='Job Info.'!$L$22,ABS(GK38-GL38),0)</x:f>
        <x:v>0</x:v>
      </x:c>
      <x:c r="HA38" s="1269" t="s">
        <x:v>1469</x:v>
      </x:c>
      <x:c r="HB38" s="1270">
        <x:v>2</x:v>
      </x:c>
      <x:c r="HC38" s="1270" t="s">
        <x:v>1592</x:v>
      </x:c>
      <x:c r="HD38" s="1271">
        <x:v>39</x:v>
      </x:c>
      <x:c r="HE38" s="1272">
        <x:v>11.5</x:v>
      </x:c>
      <x:c r="HF38" s="1270" t="s">
        <x:v>116</x:v>
      </x:c>
      <x:c r="HG38" s="1270" t="s">
        <x:v>116</x:v>
      </x:c>
      <x:c r="HH38" s="1270" t="s">
        <x:v>116</x:v>
      </x:c>
      <x:c r="HI38" s="1273" t="s">
        <x:v>116</x:v>
      </x:c>
      <x:c r="HJ38" s="1270" t="s">
        <x:v>116</x:v>
      </x:c>
      <x:c r="HK38" s="1270" t="s">
        <x:v>116</x:v>
      </x:c>
      <x:c r="HL38" s="1270">
        <x:v>5</x:v>
      </x:c>
      <x:c r="HM38" s="1270">
        <x:v>5</x:v>
      </x:c>
      <x:c r="HN38" s="1270" t="s">
        <x:v>116</x:v>
      </x:c>
      <x:c r="HO38" s="1270" t="s">
        <x:v>116</x:v>
      </x:c>
      <x:c r="HP38" s="1270" t="s">
        <x:v>116</x:v>
      </x:c>
      <x:c r="HQ38" s="1273" t="s">
        <x:v>116</x:v>
      </x:c>
      <x:c r="HR38" s="1270" t="s">
        <x:v>116</x:v>
      </x:c>
      <x:c r="HS38" s="1270" t="s">
        <x:v>116</x:v>
      </x:c>
      <x:c r="HT38" s="1270">
        <x:v>0</x:v>
      </x:c>
      <x:c r="HU38" s="1270">
        <x:v>2.25</x:v>
      </x:c>
      <x:c r="HV38" s="1270">
        <x:v>0</x:v>
      </x:c>
      <x:c r="HW38" s="1272">
        <x:v>2.25</x:v>
      </x:c>
      <x:c r="HX38" s="1272">
        <x:v>4</x:v>
      </x:c>
      <x:c r="HY38" s="1272" t="s">
        <x:v>116</x:v>
      </x:c>
      <x:c r="HZ38" s="1272" t="s">
        <x:v>116</x:v>
      </x:c>
      <x:c r="IA38" s="1272" t="s">
        <x:v>1673</x:v>
      </x:c>
      <x:c r="IB38" s="1272"/>
      <x:c r="IC38" s="1272"/>
      <x:c r="ID38" s="1272"/>
      <x:c r="IE38" s="1272"/>
      <x:c r="IF38" s="1274"/>
    </x:row>
    <x:row r="39" spans="1:240" ht="12.6" customHeight="1" x14ac:dyDescent="0.25">
      <x:c r="A39" s="2764" t="s">
        <x:v>1470</x:v>
      </x:c>
      <x:c r="B39" s="2765">
        <x:v>2</x:v>
      </x:c>
      <x:c r="C39" s="2766" t="s">
        <x:v>1592</x:v>
      </x:c>
      <x:c r="D39" s="2767">
        <x:v>39</x:v>
      </x:c>
      <x:c r="E39" s="2768">
        <x:v>11.5</x:v>
      </x:c>
      <x:c r="F39" s="2776" t="str">
        <x:f t="shared" si="1"/>
        <x:v/>
      </x:c>
      <x:c r="G39" s="2771" t="str">
        <x:f t="shared" si="2"/>
        <x:v/>
      </x:c>
      <x:c r="H39" s="2842" t="str">
        <x:f t="shared" si="3"/>
        <x:v/>
      </x:c>
      <x:c r="I39" s="2767" t="str">
        <x:f t="shared" si="4"/>
        <x:v/>
      </x:c>
      <x:c r="J39" s="2771" t="str">
        <x:f t="shared" si="5"/>
        <x:v/>
      </x:c>
      <x:c r="K39" s="2855" t="str">
        <x:f t="shared" si="6"/>
        <x:v/>
      </x:c>
      <x:c r="L39" s="2774">
        <x:v>5</x:v>
      </x:c>
      <x:c r="M39" s="2775">
        <x:v>5</x:v>
      </x:c>
      <x:c r="N39" s="2770" t="str">
        <x:f t="shared" si="103"/>
        <x:v/>
      </x:c>
      <x:c r="O39" s="2771" t="str">
        <x:f t="shared" si="104"/>
        <x:v/>
      </x:c>
      <x:c r="P39" s="2772" t="str">
        <x:f t="shared" si="105"/>
        <x:v/>
      </x:c>
      <x:c r="Q39" s="2767" t="str">
        <x:f t="shared" si="7"/>
        <x:v/>
      </x:c>
      <x:c r="R39" s="2771" t="str">
        <x:f t="shared" si="8"/>
        <x:v/>
      </x:c>
      <x:c r="S39" s="2773" t="str">
        <x:f t="shared" si="9"/>
        <x:v/>
      </x:c>
      <x:c r="T39" s="2776">
        <x:v>0</x:v>
      </x:c>
      <x:c r="U39" s="2771">
        <x:v>2.25</x:v>
      </x:c>
      <x:c r="V39" s="2767">
        <x:v>0</x:v>
      </x:c>
      <x:c r="W39" s="2771">
        <x:v>2.25</x:v>
      </x:c>
      <x:c r="X39" s="2775">
        <x:v>4</x:v>
      </x:c>
      <x:c r="Y39" s="2844" t="str">
        <x:f t="shared" si="10"/>
        <x:v/>
      </x:c>
      <x:c r="Z39" s="2845" t="str">
        <x:f t="shared" si="11"/>
        <x:v/>
      </x:c>
      <x:c r="AA39" s="2846" t="s">
        <x:v>1674</x:v>
      </x:c>
      <x:c r="AB39" s="1413"/>
      <x:c r="AC39" s="964" t="b">
        <x:v>0</x:v>
      </x:c>
      <x:c r="AD39" s="441">
        <x:f t="shared" si="12"/>
        <x:v>0</x:v>
      </x:c>
      <x:c r="AE39" s="442">
        <x:f t="shared" si="13"/>
        <x:v>2</x:v>
      </x:c>
      <x:c r="AF39" s="442">
        <x:f t="shared" si="14"/>
        <x:v>0</x:v>
      </x:c>
      <x:c r="AG39" s="442">
        <x:f t="shared" si="15"/>
        <x:v>0</x:v>
      </x:c>
      <x:c r="AH39" s="443">
        <x:f t="shared" si="16"/>
        <x:v>0</x:v>
      </x:c>
      <x:c r="AI39" s="444" t="b">
        <x:v>0</x:v>
      </x:c>
      <x:c r="AJ39" s="238">
        <x:f t="shared" si="17"/>
        <x:v>32</x:v>
      </x:c>
      <x:c r="AK39" s="830" t="str">
        <x:f t="shared" si="18"/>
        <x:v>LH</x:v>
      </x:c>
      <x:c r="AL39" s="945" t="str">
        <x:f t="shared" si="19"/>
        <x:v/>
      </x:c>
      <x:c r="AM39" s="830">
        <x:f t="shared" si="20"/>
        <x:v>305</x:v>
      </x:c>
      <x:c r="AN39" s="830">
        <x:f t="shared" si="21"/>
        <x:v>180</x:v>
      </x:c>
      <x:c r="AO39" s="830" t="str">
        <x:f t="shared" si="22"/>
        <x:v/>
      </x:c>
      <x:c r="AP39" s="830" t="b">
        <x:f>IF(ISERROR(AJ39),FALSE,IF(OR(AJ39=0,ISERROR(AL39),ISERROR(AM39),ISERROR(AN39),ISERROR(AO39)),FALSE,IF(AL39&lt;&gt;"",IF(ISERROR(VLOOKUP(SUBSTITUTE(SUBSTITUTE(C39,"R",""),"A",""),TblJoistSize!$A:$A,1,FALSE)),FALSE,TRUE),TRUE)))</x:f>
        <x:v>1</x:v>
      </x:c>
      <x:c r="AQ39" s="1038">
        <x:f t="shared" si="23"/>
        <x:v>6</x:v>
      </x:c>
      <x:c r="AR39" s="945" t="b">
        <x:f t="shared" si="24"/>
        <x:v>1</x:v>
      </x:c>
      <x:c r="AS39" s="1038">
        <x:f t="shared" si="25"/>
        <x:v>6</x:v>
      </x:c>
      <x:c r="AT39" s="945" t="b">
        <x:f t="shared" si="26"/>
        <x:v>1</x:v>
      </x:c>
      <x:c r="AU39" s="946" t="str">
        <x:f t="shared" si="27"/>
        <x:v>LH</x:v>
      </x:c>
      <x:c r="AV39" s="830" t="str">
        <x:f t="shared" si="28"/>
        <x:v/>
      </x:c>
      <x:c r="AW39" s="830" t="str">
        <x:f t="shared" si="29"/>
        <x:v>LH</x:v>
      </x:c>
      <x:c r="AX39" s="830" t="str">
        <x:f t="shared" si="106"/>
        <x:v>J40</x:v>
      </x:c>
      <x:c r="AY39" s="1039" t="b">
        <x:f t="shared" si="30"/>
        <x:v>0</x:v>
      </x:c>
      <x:c r="AZ39" s="856" t="b">
        <x:f t="shared" si="31"/>
        <x:v>0</x:v>
      </x:c>
      <x:c r="BA39" s="549"/>
      <x:c r="BB39" s="672"/>
      <x:c r="BC39" s="1684"/>
      <x:c r="BD39" s="733"/>
      <x:c r="BE39" s="734"/>
      <x:c r="BF39" s="735"/>
      <x:c r="BG39" s="672"/>
      <x:c r="BH39" s="982"/>
      <x:c r="BI39" s="983"/>
      <x:c r="BJ39" s="1625"/>
      <x:c r="BK39" s="713"/>
      <x:c r="BL39" s="714"/>
      <x:c r="BM39" s="715"/>
      <x:c r="BN39" s="716"/>
      <x:c r="BO39" s="672" t="str">
        <x:f>IF(ISERROR(CU39),"",IF(CU39="","",IF(VLOOKUP(BG39,SectInfo!$B:$N,10,FALSE)="","","X")))</x:f>
        <x:v/>
      </x:c>
      <x:c r="BP39" s="738"/>
      <x:c r="BQ39" s="1551" t="str">
        <x:f t="shared" si="32"/>
        <x:v/>
      </x:c>
      <x:c r="BR39" s="910"/>
      <x:c r="BS39" s="672"/>
      <x:c r="BT39" s="713"/>
      <x:c r="BU39" s="714"/>
      <x:c r="BV39" s="1625"/>
      <x:c r="BW39" s="713"/>
      <x:c r="BX39" s="714"/>
      <x:c r="BY39" s="715"/>
      <x:c r="BZ39" s="716"/>
      <x:c r="CA39" s="680" t="str">
        <x:f>IF(ISERROR(DE39),"",IF(DE39="","",IF(VLOOKUP(BS39,SectInfo!$B:$N,10,FALSE)="","","X")))</x:f>
        <x:v/>
      </x:c>
      <x:c r="CB39" s="738"/>
      <x:c r="CC39" s="1551" t="str">
        <x:f t="shared" si="33"/>
        <x:v/>
      </x:c>
      <x:c r="CD39" s="910"/>
      <x:c r="CE39" s="717"/>
      <x:c r="CF39" s="736"/>
      <x:c r="CG39" s="737"/>
      <x:c r="CH39" s="591" t="str">
        <x:f t="shared" si="34"/>
        <x:v/>
      </x:c>
      <x:c r="CI39" s="592" t="str">
        <x:f t="shared" si="35"/>
        <x:v/>
      </x:c>
      <x:c r="CJ39" s="593" t="str">
        <x:f t="shared" si="36"/>
        <x:v/>
      </x:c>
      <x:c r="CK39" s="594" t="str">
        <x:f t="shared" si="37"/>
        <x:v/>
      </x:c>
      <x:c r="CL39" s="595" t="str">
        <x:f t="shared" si="38"/>
        <x:v/>
      </x:c>
      <x:c r="CM39" s="596" t="str">
        <x:f t="shared" si="39"/>
        <x:v/>
      </x:c>
      <x:c r="CN39" s="597" t="str">
        <x:f t="shared" si="40"/>
        <x:v/>
      </x:c>
      <x:c r="CO39" s="598" t="str">
        <x:f t="shared" si="41"/>
        <x:v/>
      </x:c>
      <x:c r="CP39" s="615" t="str">
        <x:f t="shared" si="42"/>
        <x:v/>
      </x:c>
      <x:c r="CQ39" s="616" t="str">
        <x:f t="shared" si="43"/>
        <x:v/>
      </x:c>
      <x:c r="CR39" s="750">
        <x:f t="shared" si="44"/>
        <x:v>5</x:v>
      </x:c>
      <x:c r="CS39" s="751">
        <x:f t="shared" si="45"/>
        <x:v>5</x:v>
      </x:c>
      <x:c r="CU39" s="817" t="str">
        <x:f>IF(BG39="","",VLOOKUP(BG39,SectInfo!$B:$N,12,FALSE))</x:f>
        <x:v/>
      </x:c>
      <x:c r="CV39" s="815" t="str">
        <x:f>IF(BG39="","",IF(ISBLANK(BP39),VLOOKUP(BG39,SectInfo!$B:$N,13,FALSE),BP39))</x:f>
        <x:v/>
      </x:c>
      <x:c r="CW39" s="8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8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46"/>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47"/>
        <x:v>0</x:v>
      </x:c>
      <x:c r="DO39" s="818">
        <x:f t="shared" si="48"/>
        <x:v>0</x:v>
      </x:c>
      <x:c r="DP39" s="822" t="str">
        <x:f t="shared" si="49"/>
        <x:v/>
      </x:c>
      <x:c r="DQ39" s="822" t="str">
        <x:f t="shared" si="50"/>
        <x:v/>
      </x:c>
      <x:c r="DR39" s="822" t="str">
        <x:f t="shared" si="51"/>
        <x:v/>
      </x:c>
      <x:c r="DS39" s="821">
        <x:f t="shared" si="52"/>
        <x:v>0</x:v>
      </x:c>
      <x:c r="DT39" s="821">
        <x:f t="shared" si="53"/>
        <x:v>0</x:v>
      </x:c>
      <x:c r="DU39" s="821" t="str">
        <x:f t="shared" si="54"/>
        <x:v/>
      </x:c>
      <x:c r="DV39" s="822" t="str">
        <x:f t="shared" si="55"/>
        <x:v/>
      </x:c>
      <x:c r="DW39" s="856" t="str">
        <x:f t="shared" si="56"/>
        <x:v/>
      </x:c>
      <x:c r="DX39" s="1006">
        <x:f t="shared" si="57"/>
        <x:v>0</x:v>
      </x:c>
      <x:c r="DY39" s="822">
        <x:f t="shared" si="58"/>
        <x:v>0</x:v>
      </x:c>
      <x:c r="DZ39" s="821">
        <x:f t="shared" si="59"/>
        <x:v>0</x:v>
      </x:c>
      <x:c r="EA39" s="821" t="str">
        <x:f t="shared" si="60"/>
        <x:v/>
      </x:c>
      <x:c r="EB39" s="822" t="str">
        <x:f t="shared" si="61"/>
        <x:v/>
      </x:c>
      <x:c r="EC39" s="856" t="str">
        <x:f t="shared" si="62"/>
        <x:v/>
      </x:c>
      <x:c r="ED39" s="1006">
        <x:f t="shared" si="63"/>
        <x:v>0</x:v>
      </x:c>
      <x:c r="EE39" s="1293" t="str">
        <x:f t="shared" si="64"/>
        <x:v/>
      </x:c>
      <x:c r="EF39" s="1293" t="str">
        <x:f t="shared" si="65"/>
        <x:v/>
      </x:c>
      <x:c r="EG39" s="1293" t="str">
        <x:f t="shared" si="66"/>
        <x:v/>
      </x:c>
      <x:c r="EH39" s="856" t="str">
        <x:f t="shared" si="67"/>
        <x:v>ERR</x:v>
      </x:c>
      <x:c r="EI39" s="856" t="str">
        <x:f t="shared" si="68"/>
        <x:v>ERR</x:v>
      </x:c>
      <x:c r="EJ39" s="822" t="str">
        <x:f t="shared" si="69"/>
        <x:v/>
      </x:c>
      <x:c r="EK39" s="822" t="str">
        <x:f t="shared" si="69"/>
        <x:v/>
      </x:c>
      <x:c r="EL39" s="1293" t="str">
        <x:f t="shared" si="70"/>
        <x:v/>
      </x:c>
      <x:c r="EM39" s="822" t="str">
        <x:f t="shared" si="71"/>
        <x:v/>
      </x:c>
      <x:c r="EN39" s="822" t="str">
        <x:f t="shared" si="72"/>
        <x:v/>
      </x:c>
      <x:c r="EO39" s="856" t="str">
        <x:f t="shared" si="73"/>
        <x:v>ERR</x:v>
      </x:c>
      <x:c r="EP39" s="856" t="str">
        <x:f t="shared" si="74"/>
        <x:v>ERR</x:v>
      </x:c>
      <x:c r="EQ39" s="1293" t="str">
        <x:f t="shared" si="75"/>
        <x:v/>
      </x:c>
      <x:c r="ER39" s="822" t="str">
        <x:f t="shared" si="75"/>
        <x:v/>
      </x:c>
      <x:c r="ES39" s="822" t="str">
        <x:f t="shared" si="76"/>
        <x:v/>
      </x:c>
      <x:c r="ET39" s="822" t="str">
        <x:f t="shared" si="77"/>
        <x:v/>
      </x:c>
      <x:c r="EU39" s="829">
        <x:f t="shared" si="78"/>
        <x:v>4</x:v>
      </x:c>
      <x:c r="EV39" s="824" t="str">
        <x:f t="shared" si="79"/>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80"/>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81"/>
        <x:v/>
      </x:c>
      <x:c r="FD39" s="821">
        <x:f t="shared" si="107"/>
        <x:v>0</x:v>
      </x:c>
      <x:c r="FE39" s="821">
        <x:f t="shared" si="82"/>
        <x:v>0</x:v>
      </x:c>
      <x:c r="FF39" s="821">
        <x:f t="shared" si="83"/>
        <x:v>0</x:v>
      </x:c>
      <x:c r="FG39" s="821" t="str">
        <x:f t="shared" si="84"/>
        <x:v/>
      </x:c>
      <x:c r="FH39" s="822" t="str">
        <x:f t="shared" si="85"/>
        <x:v/>
      </x:c>
      <x:c r="FI39" s="821">
        <x:f t="shared" si="108"/>
        <x:v>0</x:v>
      </x:c>
      <x:c r="FJ39" s="821">
        <x:f t="shared" si="86"/>
        <x:v>0</x:v>
      </x:c>
      <x:c r="FK39" s="821">
        <x:f t="shared" si="87"/>
        <x:v>0</x:v>
      </x:c>
      <x:c r="FL39" s="821" t="str">
        <x:f t="shared" si="88"/>
        <x:v/>
      </x:c>
      <x:c r="FM39" s="822" t="str">
        <x:f t="shared" si="89"/>
        <x:v/>
      </x:c>
      <x:c r="FN39" s="822" t="e">
        <x:f t="shared" si="90"/>
        <x:v>#VALUE!</x:v>
      </x:c>
      <x:c r="FO39" s="940" t="e">
        <x:f t="shared" si="91"/>
        <x:v>#VALUE!</x:v>
      </x:c>
      <x:c r="FP39" s="940" t="e">
        <x:f t="shared" si="92"/>
        <x:v>#VALUE!</x:v>
      </x:c>
      <x:c r="FQ39" s="830" t="e">
        <x:f t="shared" si="93"/>
        <x:v>#VALUE!</x:v>
      </x:c>
      <x:c r="FR39" s="831" t="e">
        <x:f t="shared" si="94"/>
        <x:v>#VALUE!</x:v>
      </x:c>
      <x:c r="FS39" s="832" t="str">
        <x:f t="shared" si="95"/>
        <x:v/>
      </x:c>
      <x:c r="FT39" s="833" t="str">
        <x:f t="shared" si="96"/>
        <x:v/>
      </x:c>
      <x:c r="FU39" s="870">
        <x:f t="shared" si="97"/>
        <x:v>0</x:v>
      </x:c>
      <x:c r="FV39" s="871">
        <x:f t="shared" si="98"/>
        <x:v>0</x:v>
      </x:c>
      <x:c r="GA39" s="1791">
        <x:v>40</x:v>
      </x:c>
      <x:c r="GB39" s="1792">
        <x:v>0</x:v>
      </x:c>
      <x:c r="GC39" s="1793">
        <x:v>-0.25</x:v>
      </x:c>
      <x:c r="GD39" s="1794">
        <x:v>-0.25</x:v>
      </x:c>
      <x:c r="GE39" s="1795">
        <x:f t="shared" si="99"/>
        <x:v>0</x:v>
      </x:c>
      <x:c r="GF39" s="600" t="str">
        <x:f t="shared" si="100"/>
        <x:v>J40</x:v>
      </x:c>
      <x:c r="GG39" s="1130">
        <x:v>0</x:v>
      </x:c>
      <x:c r="GH39" s="1131">
        <x:v>0</x:v>
      </x:c>
      <x:c r="GI39" s="1130"/>
      <x:c r="GJ39" s="1131"/>
      <x:c r="GK39" s="1638">
        <x:f t="shared" si="101"/>
        <x:v>479.5</x:v>
      </x:c>
      <x:c r="GL39" s="1636">
        <x:f t="shared" si="102"/>
        <x:v>479.5</x:v>
      </x:c>
      <x:c r="GM39" s="1637">
        <x:f>IF(ABS(GK39-GL39)&gt;='Job Info.'!$L$22,ABS(GK39-GL39),0)</x:f>
        <x:v>0</x:v>
      </x:c>
      <x:c r="HA39" s="1269" t="s">
        <x:v>1470</x:v>
      </x:c>
      <x:c r="HB39" s="1270">
        <x:v>2</x:v>
      </x:c>
      <x:c r="HC39" s="1270" t="s">
        <x:v>1592</x:v>
      </x:c>
      <x:c r="HD39" s="1271">
        <x:v>39</x:v>
      </x:c>
      <x:c r="HE39" s="1272">
        <x:v>11.5</x:v>
      </x:c>
      <x:c r="HF39" s="1270" t="s">
        <x:v>116</x:v>
      </x:c>
      <x:c r="HG39" s="1270" t="s">
        <x:v>116</x:v>
      </x:c>
      <x:c r="HH39" s="1270" t="s">
        <x:v>116</x:v>
      </x:c>
      <x:c r="HI39" s="1273" t="s">
        <x:v>116</x:v>
      </x:c>
      <x:c r="HJ39" s="1270" t="s">
        <x:v>116</x:v>
      </x:c>
      <x:c r="HK39" s="1270" t="s">
        <x:v>116</x:v>
      </x:c>
      <x:c r="HL39" s="1270">
        <x:v>5</x:v>
      </x:c>
      <x:c r="HM39" s="1270">
        <x:v>5</x:v>
      </x:c>
      <x:c r="HN39" s="1270" t="s">
        <x:v>116</x:v>
      </x:c>
      <x:c r="HO39" s="1270" t="s">
        <x:v>116</x:v>
      </x:c>
      <x:c r="HP39" s="1270" t="s">
        <x:v>116</x:v>
      </x:c>
      <x:c r="HQ39" s="1273" t="s">
        <x:v>116</x:v>
      </x:c>
      <x:c r="HR39" s="1270" t="s">
        <x:v>116</x:v>
      </x:c>
      <x:c r="HS39" s="1270" t="s">
        <x:v>116</x:v>
      </x:c>
      <x:c r="HT39" s="1270">
        <x:v>0</x:v>
      </x:c>
      <x:c r="HU39" s="1270">
        <x:v>2.25</x:v>
      </x:c>
      <x:c r="HV39" s="1270">
        <x:v>0</x:v>
      </x:c>
      <x:c r="HW39" s="1272">
        <x:v>2.25</x:v>
      </x:c>
      <x:c r="HX39" s="1272">
        <x:v>4</x:v>
      </x:c>
      <x:c r="HY39" s="1272" t="s">
        <x:v>116</x:v>
      </x:c>
      <x:c r="HZ39" s="1272" t="s">
        <x:v>116</x:v>
      </x:c>
      <x:c r="IA39" s="1272" t="s">
        <x:v>1674</x:v>
      </x:c>
      <x:c r="IB39" s="1272"/>
      <x:c r="IC39" s="1272"/>
      <x:c r="ID39" s="1272"/>
      <x:c r="IE39" s="1272"/>
      <x:c r="IF39" s="1274"/>
    </x:row>
    <x:row r="40" spans="1:240" ht="12.6" customHeight="1" x14ac:dyDescent="0.25">
      <x:c r="A40" s="2764" t="s">
        <x:v>1471</x:v>
      </x:c>
      <x:c r="B40" s="2765">
        <x:v>2</x:v>
      </x:c>
      <x:c r="C40" s="2766" t="s">
        <x:v>1592</x:v>
      </x:c>
      <x:c r="D40" s="2767">
        <x:v>39</x:v>
      </x:c>
      <x:c r="E40" s="2768">
        <x:v>11.5</x:v>
      </x:c>
      <x:c r="F40" s="2776" t="str">
        <x:f t="shared" si="1"/>
        <x:v/>
      </x:c>
      <x:c r="G40" s="2771" t="str">
        <x:f t="shared" si="2"/>
        <x:v/>
      </x:c>
      <x:c r="H40" s="2842" t="str">
        <x:f t="shared" si="3"/>
        <x:v/>
      </x:c>
      <x:c r="I40" s="2767" t="str">
        <x:f t="shared" si="4"/>
        <x:v/>
      </x:c>
      <x:c r="J40" s="2771" t="str">
        <x:f t="shared" si="5"/>
        <x:v/>
      </x:c>
      <x:c r="K40" s="2855" t="str">
        <x:f t="shared" si="6"/>
        <x:v/>
      </x:c>
      <x:c r="L40" s="2774">
        <x:v>5</x:v>
      </x:c>
      <x:c r="M40" s="2775">
        <x:v>5</x:v>
      </x:c>
      <x:c r="N40" s="2770" t="str">
        <x:f t="shared" si="103"/>
        <x:v/>
      </x:c>
      <x:c r="O40" s="2771" t="str">
        <x:f t="shared" si="104"/>
        <x:v/>
      </x:c>
      <x:c r="P40" s="2772" t="str">
        <x:f t="shared" si="105"/>
        <x:v/>
      </x:c>
      <x:c r="Q40" s="2767" t="str">
        <x:f t="shared" si="7"/>
        <x:v/>
      </x:c>
      <x:c r="R40" s="2771" t="str">
        <x:f t="shared" si="8"/>
        <x:v/>
      </x:c>
      <x:c r="S40" s="2773" t="str">
        <x:f t="shared" si="9"/>
        <x:v/>
      </x:c>
      <x:c r="T40" s="2776">
        <x:v>0</x:v>
      </x:c>
      <x:c r="U40" s="2771">
        <x:v>2.25</x:v>
      </x:c>
      <x:c r="V40" s="2767">
        <x:v>0</x:v>
      </x:c>
      <x:c r="W40" s="2771">
        <x:v>2.25</x:v>
      </x:c>
      <x:c r="X40" s="2775">
        <x:v>4</x:v>
      </x:c>
      <x:c r="Y40" s="2844" t="str">
        <x:f t="shared" si="10"/>
        <x:v/>
      </x:c>
      <x:c r="Z40" s="2845" t="str">
        <x:f t="shared" si="11"/>
        <x:v/>
      </x:c>
      <x:c r="AA40" s="2846" t="s">
        <x:v>1675</x:v>
      </x:c>
      <x:c r="AB40" s="1413"/>
      <x:c r="AC40" s="964" t="b">
        <x:v>0</x:v>
      </x:c>
      <x:c r="AD40" s="441">
        <x:f t="shared" si="12"/>
        <x:v>0</x:v>
      </x:c>
      <x:c r="AE40" s="442">
        <x:f t="shared" si="13"/>
        <x:v>2</x:v>
      </x:c>
      <x:c r="AF40" s="442">
        <x:f t="shared" si="14"/>
        <x:v>0</x:v>
      </x:c>
      <x:c r="AG40" s="442">
        <x:f t="shared" si="15"/>
        <x:v>0</x:v>
      </x:c>
      <x:c r="AH40" s="443">
        <x:f t="shared" si="16"/>
        <x:v>0</x:v>
      </x:c>
      <x:c r="AI40" s="444" t="b">
        <x:v>0</x:v>
      </x:c>
      <x:c r="AJ40" s="238">
        <x:f t="shared" si="17"/>
        <x:v>32</x:v>
      </x:c>
      <x:c r="AK40" s="830" t="str">
        <x:f t="shared" si="18"/>
        <x:v>LH</x:v>
      </x:c>
      <x:c r="AL40" s="945" t="str">
        <x:f t="shared" si="19"/>
        <x:v/>
      </x:c>
      <x:c r="AM40" s="830">
        <x:f t="shared" si="20"/>
        <x:v>305</x:v>
      </x:c>
      <x:c r="AN40" s="830">
        <x:f t="shared" si="21"/>
        <x:v>180</x:v>
      </x:c>
      <x:c r="AO40" s="830" t="str">
        <x:f t="shared" si="22"/>
        <x:v/>
      </x:c>
      <x:c r="AP40" s="830" t="b">
        <x:f>IF(ISERROR(AJ40),FALSE,IF(OR(AJ40=0,ISERROR(AL40),ISERROR(AM40),ISERROR(AN40),ISERROR(AO40)),FALSE,IF(AL40&lt;&gt;"",IF(ISERROR(VLOOKUP(SUBSTITUTE(SUBSTITUTE(C40,"R",""),"A",""),TblJoistSize!$A:$A,1,FALSE)),FALSE,TRUE),TRUE)))</x:f>
        <x:v>1</x:v>
      </x:c>
      <x:c r="AQ40" s="1038">
        <x:f t="shared" si="23"/>
        <x:v>6</x:v>
      </x:c>
      <x:c r="AR40" s="945" t="b">
        <x:f t="shared" si="24"/>
        <x:v>1</x:v>
      </x:c>
      <x:c r="AS40" s="1038">
        <x:f t="shared" si="25"/>
        <x:v>6</x:v>
      </x:c>
      <x:c r="AT40" s="945" t="b">
        <x:f t="shared" si="26"/>
        <x:v>1</x:v>
      </x:c>
      <x:c r="AU40" s="946" t="str">
        <x:f t="shared" si="27"/>
        <x:v>LH</x:v>
      </x:c>
      <x:c r="AV40" s="830" t="str">
        <x:f t="shared" si="28"/>
        <x:v/>
      </x:c>
      <x:c r="AW40" s="830" t="str">
        <x:f t="shared" si="29"/>
        <x:v>LH</x:v>
      </x:c>
      <x:c r="AX40" s="830" t="str">
        <x:f t="shared" si="106"/>
        <x:v>J41</x:v>
      </x:c>
      <x:c r="AY40" s="1039" t="b">
        <x:f t="shared" si="30"/>
        <x:v>0</x:v>
      </x:c>
      <x:c r="AZ40" s="856" t="b">
        <x:f t="shared" si="31"/>
        <x:v>0</x:v>
      </x:c>
      <x:c r="BA40" s="549"/>
      <x:c r="BB40" s="672"/>
      <x:c r="BC40" s="1684"/>
      <x:c r="BD40" s="733"/>
      <x:c r="BE40" s="734"/>
      <x:c r="BF40" s="735"/>
      <x:c r="BG40" s="672"/>
      <x:c r="BH40" s="982"/>
      <x:c r="BI40" s="983"/>
      <x:c r="BJ40" s="1625"/>
      <x:c r="BK40" s="713"/>
      <x:c r="BL40" s="714"/>
      <x:c r="BM40" s="715"/>
      <x:c r="BN40" s="716"/>
      <x:c r="BO40" s="672" t="str">
        <x:f>IF(ISERROR(CU40),"",IF(CU40="","",IF(VLOOKUP(BG40,SectInfo!$B:$N,10,FALSE)="","","X")))</x:f>
        <x:v/>
      </x:c>
      <x:c r="BP40" s="738"/>
      <x:c r="BQ40" s="1551" t="str">
        <x:f t="shared" si="32"/>
        <x:v/>
      </x:c>
      <x:c r="BR40" s="910"/>
      <x:c r="BS40" s="672"/>
      <x:c r="BT40" s="713"/>
      <x:c r="BU40" s="714"/>
      <x:c r="BV40" s="1625"/>
      <x:c r="BW40" s="713"/>
      <x:c r="BX40" s="714"/>
      <x:c r="BY40" s="715"/>
      <x:c r="BZ40" s="716"/>
      <x:c r="CA40" s="680" t="str">
        <x:f>IF(ISERROR(DE40),"",IF(DE40="","",IF(VLOOKUP(BS40,SectInfo!$B:$N,10,FALSE)="","","X")))</x:f>
        <x:v/>
      </x:c>
      <x:c r="CB40" s="738"/>
      <x:c r="CC40" s="1551" t="str">
        <x:f t="shared" si="33"/>
        <x:v/>
      </x:c>
      <x:c r="CD40" s="910"/>
      <x:c r="CE40" s="717"/>
      <x:c r="CF40" s="736"/>
      <x:c r="CG40" s="737"/>
      <x:c r="CH40" s="591" t="str">
        <x:f t="shared" si="34"/>
        <x:v/>
      </x:c>
      <x:c r="CI40" s="592" t="str">
        <x:f t="shared" si="35"/>
        <x:v/>
      </x:c>
      <x:c r="CJ40" s="593" t="str">
        <x:f t="shared" si="36"/>
        <x:v/>
      </x:c>
      <x:c r="CK40" s="594" t="str">
        <x:f t="shared" si="37"/>
        <x:v/>
      </x:c>
      <x:c r="CL40" s="595" t="str">
        <x:f t="shared" si="38"/>
        <x:v/>
      </x:c>
      <x:c r="CM40" s="596" t="str">
        <x:f t="shared" si="39"/>
        <x:v/>
      </x:c>
      <x:c r="CN40" s="597" t="str">
        <x:f t="shared" si="40"/>
        <x:v/>
      </x:c>
      <x:c r="CO40" s="598" t="str">
        <x:f t="shared" si="41"/>
        <x:v/>
      </x:c>
      <x:c r="CP40" s="615" t="str">
        <x:f t="shared" si="42"/>
        <x:v/>
      </x:c>
      <x:c r="CQ40" s="616" t="str">
        <x:f t="shared" si="43"/>
        <x:v/>
      </x:c>
      <x:c r="CR40" s="750">
        <x:f t="shared" si="44"/>
        <x:v>5</x:v>
      </x:c>
      <x:c r="CS40" s="751">
        <x:f t="shared" si="45"/>
        <x:v>5</x:v>
      </x:c>
      <x:c r="CU40" s="817" t="str">
        <x:f>IF(BG40="","",VLOOKUP(BG40,SectInfo!$B:$N,12,FALSE))</x:f>
        <x:v/>
      </x:c>
      <x:c r="CV40" s="815" t="str">
        <x:f>IF(BG40="","",IF(ISBLANK(BP40),VLOOKUP(BG40,SectInfo!$B:$N,13,FALSE),BP40))</x:f>
        <x:v/>
      </x:c>
      <x:c r="CW40" s="815" t="str">
        <x:f>IF(BG40="","",IF(VLOOKUP(BG40,SectInfo!$B:$N,5,FALSE)="","R",UPPER(VLOOKUP(BG40,SectInfo!$B:$N,5,FALSE))))</x:f>
        <x:v/>
      </x:c>
      <x:c r="CX40" s="815" t="str">
        <x:f>IF(BG40="","",IF(ISBLANK(BR40),VLOOKUP(BG40,SectInfo!$B:$N,6,FALSE),BR40))</x:f>
        <x:v/>
      </x:c>
      <x:c r="CY40" s="1286" t="str">
        <x:f>IF(BG40="","",IF(VLOOKUP(BG40,SectInfo!$B:$N,10,FALSE)="","",(IF(BO40="X",VLOOKUP(BG40,SectInfo!$B:$N,10,FALSE),VALUE(BO40))*-1)))</x:f>
        <x:v/>
      </x:c>
      <x:c r="CZ40" s="1122" t="str">
        <x:f>IF(BG40="","",IF(VLOOKUP(BG40,SectInfo!$B:$N,11,FALSE)="","2",(VLOOKUP(BG40,SectInfo!$B:$N,11,FALSE))))</x:f>
        <x:v/>
      </x:c>
      <x:c r="DA40" s="815" t="str">
        <x:f>IF(BG40="","",IF(VLOOKUP(BG40,SectInfo!$B:$N,7,FALSE)="","",(VLOOKUP(BG40,SectInfo!$B:$N,7,FALSE)*-1)))</x:f>
        <x:v/>
      </x:c>
      <x:c r="DB40" s="815" t="str">
        <x:f>IF(BG40="","",IF(VLOOKUP(BG40,SectInfo!$B:$N,8,FALSE)="",VLOOKUP(AU40,$DF$2:$DN$9,6,FALSE),(VLOOKUP(BG40,SectInfo!$B:$N,8,FALSE))))</x:f>
        <x:v/>
      </x:c>
      <x:c r="DC40" s="815" t="str">
        <x:f>IF(BG40="","",VLOOKUP(BG40,SectInfo!$B:$N,9,FALSE))</x:f>
        <x:v/>
      </x:c>
      <x:c r="DD40" s="816">
        <x:f t="shared" si="46"/>
        <x:v>0</x:v>
      </x:c>
      <x:c r="DE40" s="817" t="str">
        <x:f>IF(BS40="","",VLOOKUP(BS40,SectInfo!$B:$N,12,FALSE))</x:f>
        <x:v/>
      </x:c>
      <x:c r="DF40" s="815" t="str">
        <x:f>IF(BS40="","",IF(ISBLANK(CB40),VLOOKUP(BS40,SectInfo!$B:$N,13,FALSE),CB40))</x:f>
        <x:v/>
      </x:c>
      <x:c r="DG40" s="815" t="str">
        <x:f>IF(BS40="","",IF(VLOOKUP(BS40,SectInfo!$B:$N,5,FALSE)="","R",UPPER(VLOOKUP(BS40,SectInfo!$B:$N,5,FALSE))))</x:f>
        <x:v/>
      </x:c>
      <x:c r="DH40" s="815" t="str">
        <x:f>IF(BS40="","",IF(ISBLANK(CD40),VLOOKUP(BS40,SectInfo!$B:$N,6,FALSE),CD40))</x:f>
        <x:v/>
      </x:c>
      <x:c r="DI40" s="1286" t="str">
        <x:f>IF(BS40="","",IF(VLOOKUP(BS40,SectInfo!$B:$N,10,FALSE)="","",(IF(CA40="X",VLOOKUP(BS40,SectInfo!$B:$N,10,FALSE),VALUE(CA40))*-1)))</x:f>
        <x:v/>
      </x:c>
      <x:c r="DJ40" s="1122" t="str">
        <x:f>IF(BS40="","",IF(VLOOKUP(BS40,SectInfo!$B:$N,11,FALSE)="","2",(VLOOKUP(BS40,SectInfo!$B:$N,11,FALSE))))</x:f>
        <x:v/>
      </x:c>
      <x:c r="DK40" s="815" t="str">
        <x:f>IF(BS40="","",IF(VLOOKUP(BS40,SectInfo!$B:$N,7,FALSE)="","",(VLOOKUP(BS40,SectInfo!$B:$N,7,FALSE)*-1)))</x:f>
        <x:v/>
      </x:c>
      <x:c r="DL40" s="815" t="str">
        <x:f>IF(BS40="","",IF(VLOOKUP(BS40,SectInfo!$B:$N,8,FALSE)="",VLOOKUP(AU40,$DF$2:$DN$9,6,FALSE),(VLOOKUP(BS40,SectInfo!$B:$N,8,FALSE))))</x:f>
        <x:v/>
      </x:c>
      <x:c r="DM40" s="815" t="str">
        <x:f>IF(BS40="","",VLOOKUP(BS40,SectInfo!$B:$N,9,FALSE))</x:f>
        <x:v/>
      </x:c>
      <x:c r="DN40" s="816">
        <x:f t="shared" si="47"/>
        <x:v>0</x:v>
      </x:c>
      <x:c r="DO40" s="818">
        <x:f t="shared" si="48"/>
        <x:v>0</x:v>
      </x:c>
      <x:c r="DP40" s="822" t="str">
        <x:f t="shared" si="49"/>
        <x:v/>
      </x:c>
      <x:c r="DQ40" s="822" t="str">
        <x:f t="shared" si="50"/>
        <x:v/>
      </x:c>
      <x:c r="DR40" s="822" t="str">
        <x:f t="shared" si="51"/>
        <x:v/>
      </x:c>
      <x:c r="DS40" s="821">
        <x:f t="shared" si="52"/>
        <x:v>0</x:v>
      </x:c>
      <x:c r="DT40" s="821">
        <x:f t="shared" si="53"/>
        <x:v>0</x:v>
      </x:c>
      <x:c r="DU40" s="821" t="str">
        <x:f t="shared" si="54"/>
        <x:v/>
      </x:c>
      <x:c r="DV40" s="822" t="str">
        <x:f t="shared" si="55"/>
        <x:v/>
      </x:c>
      <x:c r="DW40" s="856" t="str">
        <x:f t="shared" si="56"/>
        <x:v/>
      </x:c>
      <x:c r="DX40" s="1006">
        <x:f t="shared" si="57"/>
        <x:v>0</x:v>
      </x:c>
      <x:c r="DY40" s="822">
        <x:f t="shared" si="58"/>
        <x:v>0</x:v>
      </x:c>
      <x:c r="DZ40" s="821">
        <x:f t="shared" si="59"/>
        <x:v>0</x:v>
      </x:c>
      <x:c r="EA40" s="821" t="str">
        <x:f t="shared" si="60"/>
        <x:v/>
      </x:c>
      <x:c r="EB40" s="822" t="str">
        <x:f t="shared" si="61"/>
        <x:v/>
      </x:c>
      <x:c r="EC40" s="856" t="str">
        <x:f t="shared" si="62"/>
        <x:v/>
      </x:c>
      <x:c r="ED40" s="1006">
        <x:f t="shared" si="63"/>
        <x:v>0</x:v>
      </x:c>
      <x:c r="EE40" s="1293" t="str">
        <x:f t="shared" si="64"/>
        <x:v/>
      </x:c>
      <x:c r="EF40" s="1293" t="str">
        <x:f t="shared" si="65"/>
        <x:v/>
      </x:c>
      <x:c r="EG40" s="1293" t="str">
        <x:f t="shared" si="66"/>
        <x:v/>
      </x:c>
      <x:c r="EH40" s="856" t="str">
        <x:f t="shared" si="67"/>
        <x:v>ERR</x:v>
      </x:c>
      <x:c r="EI40" s="856" t="str">
        <x:f t="shared" si="68"/>
        <x:v>ERR</x:v>
      </x:c>
      <x:c r="EJ40" s="822" t="str">
        <x:f t="shared" si="69"/>
        <x:v/>
      </x:c>
      <x:c r="EK40" s="822" t="str">
        <x:f t="shared" si="69"/>
        <x:v/>
      </x:c>
      <x:c r="EL40" s="1293" t="str">
        <x:f t="shared" si="70"/>
        <x:v/>
      </x:c>
      <x:c r="EM40" s="822" t="str">
        <x:f t="shared" si="71"/>
        <x:v/>
      </x:c>
      <x:c r="EN40" s="822" t="str">
        <x:f t="shared" si="72"/>
        <x:v/>
      </x:c>
      <x:c r="EO40" s="856" t="str">
        <x:f t="shared" si="73"/>
        <x:v>ERR</x:v>
      </x:c>
      <x:c r="EP40" s="856" t="str">
        <x:f t="shared" si="74"/>
        <x:v>ERR</x:v>
      </x:c>
      <x:c r="EQ40" s="1293" t="str">
        <x:f t="shared" si="75"/>
        <x:v/>
      </x:c>
      <x:c r="ER40" s="822" t="str">
        <x:f t="shared" si="75"/>
        <x:v/>
      </x:c>
      <x:c r="ES40" s="822" t="str">
        <x:f t="shared" si="76"/>
        <x:v/>
      </x:c>
      <x:c r="ET40" s="822" t="str">
        <x:f t="shared" si="77"/>
        <x:v/>
      </x:c>
      <x:c r="EU40" s="829">
        <x:f t="shared" si="78"/>
        <x:v>4</x:v>
      </x:c>
      <x:c r="EV40" s="824" t="str">
        <x:f t="shared" si="79"/>
        <x:v/>
      </x:c>
      <x:c r="EW40" s="829"/>
      <x:c r="EX40" s="829" t="str">
        <x:f>IF(AND(CU40="G", ISBLANK(BK40), ISBLANK(BL40)),VLOOKUP(MIN(BH40:BI40),TblJoistSize!$M$3:$N$10,2),IF(OR(CU40="B",CU40="G"),MIN(BK40:BL40),""))</x:f>
        <x:v/>
      </x:c>
      <x:c r="EY40" s="829" t="str">
        <x:f>IF(AND(CU40="G", ISBLANK(BK40), ISBLANK(BL40)),VLOOKUP(MAX(BH40:BI40),TblJoistSize!$M$3:$N$10,2),IF(OR(CU40="B",CU40="G"),MAX(BK40:BL40),""))</x:f>
        <x:v/>
      </x:c>
      <x:c r="EZ40" s="829" t="str">
        <x:f t="shared" si="80"/>
        <x:v/>
      </x:c>
      <x:c r="FA40" s="829" t="str">
        <x:f>IF(AND(DE40="G", ISBLANK(BW40), ISBLANK(BX40)),VLOOKUP(MIN(BT40:BU40),TblJoistSize!$M$3:$N$10,2),IF(OR(DE40="B", DE40="G"),MIN(BW40:BX40),""))</x:f>
        <x:v/>
      </x:c>
      <x:c r="FB40" s="829" t="str">
        <x:f>IF(AND(DE40="G", ISBLANK(BW40), ISBLANK(BX40)),VLOOKUP(MAX(BT40:BU40),TblJoistSize!$M$3:$N$10,2),IF(OR(DE40="B", DE40="G"),MAX(BW40:BX40),""))</x:f>
        <x:v/>
      </x:c>
      <x:c r="FC40" s="829" t="str">
        <x:f t="shared" si="81"/>
        <x:v/>
      </x:c>
      <x:c r="FD40" s="821">
        <x:f t="shared" si="107"/>
        <x:v>0</x:v>
      </x:c>
      <x:c r="FE40" s="821">
        <x:f t="shared" si="82"/>
        <x:v>0</x:v>
      </x:c>
      <x:c r="FF40" s="821">
        <x:f t="shared" si="83"/>
        <x:v>0</x:v>
      </x:c>
      <x:c r="FG40" s="821" t="str">
        <x:f t="shared" si="84"/>
        <x:v/>
      </x:c>
      <x:c r="FH40" s="822" t="str">
        <x:f t="shared" si="85"/>
        <x:v/>
      </x:c>
      <x:c r="FI40" s="821">
        <x:f t="shared" si="108"/>
        <x:v>0</x:v>
      </x:c>
      <x:c r="FJ40" s="821">
        <x:f t="shared" si="86"/>
        <x:v>0</x:v>
      </x:c>
      <x:c r="FK40" s="821">
        <x:f t="shared" si="87"/>
        <x:v>0</x:v>
      </x:c>
      <x:c r="FL40" s="821" t="str">
        <x:f t="shared" si="88"/>
        <x:v/>
      </x:c>
      <x:c r="FM40" s="822" t="str">
        <x:f t="shared" si="89"/>
        <x:v/>
      </x:c>
      <x:c r="FN40" s="822" t="e">
        <x:f t="shared" si="90"/>
        <x:v>#VALUE!</x:v>
      </x:c>
      <x:c r="FO40" s="940" t="e">
        <x:f t="shared" si="91"/>
        <x:v>#VALUE!</x:v>
      </x:c>
      <x:c r="FP40" s="940" t="e">
        <x:f t="shared" si="92"/>
        <x:v>#VALUE!</x:v>
      </x:c>
      <x:c r="FQ40" s="830" t="e">
        <x:f t="shared" si="93"/>
        <x:v>#VALUE!</x:v>
      </x:c>
      <x:c r="FR40" s="831" t="e">
        <x:f t="shared" si="94"/>
        <x:v>#VALUE!</x:v>
      </x:c>
      <x:c r="FS40" s="832" t="str">
        <x:f t="shared" si="95"/>
        <x:v/>
      </x:c>
      <x:c r="FT40" s="833" t="str">
        <x:f t="shared" si="96"/>
        <x:v/>
      </x:c>
      <x:c r="FU40" s="870">
        <x:f t="shared" si="97"/>
        <x:v>0</x:v>
      </x:c>
      <x:c r="FV40" s="871">
        <x:f t="shared" si="98"/>
        <x:v>0</x:v>
      </x:c>
      <x:c r="GA40" s="1791">
        <x:v>40</x:v>
      </x:c>
      <x:c r="GB40" s="1792">
        <x:v>0</x:v>
      </x:c>
      <x:c r="GC40" s="1793">
        <x:v>-0.25</x:v>
      </x:c>
      <x:c r="GD40" s="1794">
        <x:v>-0.25</x:v>
      </x:c>
      <x:c r="GE40" s="1795">
        <x:f t="shared" si="99"/>
        <x:v>0</x:v>
      </x:c>
      <x:c r="GF40" s="600" t="str">
        <x:f t="shared" si="100"/>
        <x:v>J41</x:v>
      </x:c>
      <x:c r="GG40" s="1130">
        <x:v>0</x:v>
      </x:c>
      <x:c r="GH40" s="1131">
        <x:v>0</x:v>
      </x:c>
      <x:c r="GI40" s="1130"/>
      <x:c r="GJ40" s="1131"/>
      <x:c r="GK40" s="1638">
        <x:f t="shared" si="101"/>
        <x:v>479.5</x:v>
      </x:c>
      <x:c r="GL40" s="1636">
        <x:f t="shared" si="102"/>
        <x:v>479.5</x:v>
      </x:c>
      <x:c r="GM40" s="1637">
        <x:f>IF(ABS(GK40-GL40)&gt;='Job Info.'!$L$22,ABS(GK40-GL40),0)</x:f>
        <x:v>0</x:v>
      </x:c>
      <x:c r="HA40" s="1269" t="s">
        <x:v>1471</x:v>
      </x:c>
      <x:c r="HB40" s="1270">
        <x:v>2</x:v>
      </x:c>
      <x:c r="HC40" s="1270" t="s">
        <x:v>1592</x:v>
      </x:c>
      <x:c r="HD40" s="1271">
        <x:v>39</x:v>
      </x:c>
      <x:c r="HE40" s="1272">
        <x:v>11.5</x:v>
      </x:c>
      <x:c r="HF40" s="1270" t="s">
        <x:v>116</x:v>
      </x:c>
      <x:c r="HG40" s="1270" t="s">
        <x:v>116</x:v>
      </x:c>
      <x:c r="HH40" s="1270" t="s">
        <x:v>116</x:v>
      </x:c>
      <x:c r="HI40" s="1273" t="s">
        <x:v>116</x:v>
      </x:c>
      <x:c r="HJ40" s="1270" t="s">
        <x:v>116</x:v>
      </x:c>
      <x:c r="HK40" s="1270" t="s">
        <x:v>116</x:v>
      </x:c>
      <x:c r="HL40" s="1270">
        <x:v>5</x:v>
      </x:c>
      <x:c r="HM40" s="1270">
        <x:v>5</x:v>
      </x:c>
      <x:c r="HN40" s="1270" t="s">
        <x:v>116</x:v>
      </x:c>
      <x:c r="HO40" s="1270" t="s">
        <x:v>116</x:v>
      </x:c>
      <x:c r="HP40" s="1270" t="s">
        <x:v>116</x:v>
      </x:c>
      <x:c r="HQ40" s="1273" t="s">
        <x:v>116</x:v>
      </x:c>
      <x:c r="HR40" s="1270" t="s">
        <x:v>116</x:v>
      </x:c>
      <x:c r="HS40" s="1270" t="s">
        <x:v>116</x:v>
      </x:c>
      <x:c r="HT40" s="1270">
        <x:v>0</x:v>
      </x:c>
      <x:c r="HU40" s="1270">
        <x:v>2.25</x:v>
      </x:c>
      <x:c r="HV40" s="1270">
        <x:v>0</x:v>
      </x:c>
      <x:c r="HW40" s="1272">
        <x:v>2.25</x:v>
      </x:c>
      <x:c r="HX40" s="1272">
        <x:v>4</x:v>
      </x:c>
      <x:c r="HY40" s="1272" t="s">
        <x:v>116</x:v>
      </x:c>
      <x:c r="HZ40" s="1272" t="s">
        <x:v>116</x:v>
      </x:c>
      <x:c r="IA40" s="1272" t="s">
        <x:v>1675</x:v>
      </x:c>
      <x:c r="IB40" s="1272"/>
      <x:c r="IC40" s="1272"/>
      <x:c r="ID40" s="1272"/>
      <x:c r="IE40" s="1272"/>
      <x:c r="IF40" s="1274"/>
    </x:row>
    <x:row r="41" spans="1:240" ht="12.6" customHeight="1" x14ac:dyDescent="0.25">
      <x:c r="A41" s="2764" t="str">
        <x:f t="shared" ref="A41:A44" si="109">IF(BB41="","",UPPER(BB41))</x:f>
        <x:v/>
      </x:c>
      <x:c r="B41" s="2765"/>
      <x:c r="C41" s="2766" t="str">
        <x:f t="shared" ref="C41:C44" si="110">IF(BD41="","",UPPER(BD41))</x:f>
        <x:v/>
      </x:c>
      <x:c r="D41" s="2767" t="str">
        <x:f t="shared" ref="D41:D44" si="111">IF(DP41="","",TRUNC(DP41/12))</x:f>
        <x:v/>
      </x:c>
      <x:c r="E41" s="2768" t="str">
        <x:f t="shared" ref="E41:E44" si="112">IF(DP41="","",DP41-(D41*12))</x:f>
        <x:v/>
      </x:c>
      <x:c r="F41" s="2776" t="str">
        <x:f t="shared" si="1"/>
        <x:v/>
      </x:c>
      <x:c r="G41" s="2771" t="str">
        <x:f t="shared" si="2"/>
        <x:v/>
      </x:c>
      <x:c r="H41" s="2842" t="str">
        <x:f t="shared" si="3"/>
        <x:v/>
      </x:c>
      <x:c r="I41" s="2767" t="str">
        <x:f t="shared" si="4"/>
        <x:v/>
      </x:c>
      <x:c r="J41" s="2771" t="str">
        <x:f t="shared" si="5"/>
        <x:v/>
      </x:c>
      <x:c r="K41" s="2855" t="str">
        <x:f t="shared" si="6"/>
        <x:v/>
      </x:c>
      <x:c r="L41" s="2774" t="str">
        <x:f t="shared" ref="L41:M44" si="113">DQ41</x:f>
        <x:v/>
      </x:c>
      <x:c r="M41" s="2775" t="str">
        <x:f t="shared" si="113"/>
        <x:v/>
      </x:c>
      <x:c r="N41" s="2770" t="str">
        <x:f t="shared" si="103"/>
        <x:v/>
      </x:c>
      <x:c r="O41" s="2771" t="str">
        <x:f t="shared" si="104"/>
        <x:v/>
      </x:c>
      <x:c r="P41" s="2772" t="str">
        <x:f t="shared" si="105"/>
        <x:v/>
      </x:c>
      <x:c r="Q41" s="2767" t="str">
        <x:f t="shared" si="7"/>
        <x:v/>
      </x:c>
      <x:c r="R41" s="2771" t="str">
        <x:f t="shared" si="8"/>
        <x:v/>
      </x:c>
      <x:c r="S41" s="2773" t="str">
        <x:f t="shared" si="9"/>
        <x:v/>
      </x:c>
      <x:c r="T41" s="2776" t="str">
        <x:f t="shared" ref="T41:T45" si="114">IF(CH41="ERR","",IF(EK41="","",IF(EK41="ERR",TRUNC(EJ41/12),TRUNC(EK41/12))))</x:f>
        <x:v/>
      </x:c>
      <x:c r="U41" s="2771" t="str">
        <x:f t="shared" ref="U41:U45" si="115">IF(CH41="ERR","",IF(EK41="","",IF(EK41="ERR",EJ41-(T41*12),EK41-(T41*12))))</x:f>
        <x:v/>
      </x:c>
      <x:c r="V41" s="2767" t="str">
        <x:f t="shared" ref="V41:V45" si="116">IF(CI41="ERR","",IF(ER41="","",IF(ER41="ERR",TRUNC(EQ41/12),TRUNC(ER41/12))))</x:f>
        <x:v/>
      </x:c>
      <x:c r="W41" s="2771" t="str">
        <x:f t="shared" ref="W41:W45" si="117">IF(CI41="ERR","",IF(ER41="","",IF(ER41="ERR",EQ41-(V41*12),ER41-(V41*12))))</x:f>
        <x:v/>
      </x:c>
      <x:c r="X41" s="2775">
        <x:f t="shared" ref="X41:X44" si="118">IF(EV41="",0,EV41)</x:f>
        <x:v>0</x:v>
      </x:c>
      <x:c r="Y41" s="2844" t="str">
        <x:f t="shared" si="10"/>
        <x:v/>
      </x:c>
      <x:c r="Z41" s="2845" t="str">
        <x:f t="shared" si="11"/>
        <x:v/>
      </x:c>
      <x:c r="AA41" s="2846" t="s">
        <x:v>116</x:v>
      </x:c>
      <x:c r="AB41" s="1413"/>
      <x:c r="AC41" s="964" t="b">
        <x:v>0</x:v>
      </x:c>
      <x:c r="AD41" s="441">
        <x:f t="shared" si="12"/>
        <x:v>0</x:v>
      </x:c>
      <x:c r="AE41" s="442">
        <x:f t="shared" si="13"/>
        <x:v>0</x:v>
      </x:c>
      <x:c r="AF41" s="442">
        <x:f t="shared" si="14"/>
        <x:v>0</x:v>
      </x:c>
      <x:c r="AG41" s="442">
        <x:f t="shared" si="15"/>
        <x:v>0</x:v>
      </x:c>
      <x:c r="AH41" s="443">
        <x:f t="shared" si="16"/>
        <x:v>0</x:v>
      </x:c>
      <x:c r="AI41" s="444" t="b">
        <x:v>0</x:v>
      </x:c>
      <x:c r="AJ41" s="238">
        <x:f t="shared" si="17"/>
        <x:v>0</x:v>
      </x:c>
      <x:c r="AK41" s="830" t="str">
        <x:f t="shared" si="18"/>
        <x:v/>
      </x:c>
      <x:c r="AL41" s="945" t="str">
        <x:f t="shared" si="19"/>
        <x:v/>
      </x:c>
      <x:c r="AM41" s="830" t="str">
        <x:f t="shared" si="20"/>
        <x:v/>
      </x:c>
      <x:c r="AN41" s="830" t="str">
        <x:f t="shared" si="21"/>
        <x:v/>
      </x:c>
      <x:c r="AO41" s="830" t="str">
        <x:f t="shared" si="22"/>
        <x:v/>
      </x:c>
      <x:c r="AP41" s="830" t="b">
        <x:f>IF(ISERROR(AJ41),FALSE,IF(OR(AJ41=0,ISERROR(AL41),ISERROR(AM41),ISERROR(AN41),ISERROR(AO41)),FALSE,IF(AL41&lt;&gt;"",IF(ISERROR(VLOOKUP(SUBSTITUTE(SUBSTITUTE(C41,"R",""),"A",""),TblJoistSize!$A:$A,1,FALSE)),FALSE,TRUE),TRUE)))</x:f>
        <x:v>0</x:v>
      </x:c>
      <x:c r="AQ41" s="1038" t="e">
        <x:f t="shared" si="23"/>
        <x:v>#N/A</x:v>
      </x:c>
      <x:c r="AR41" s="945" t="b">
        <x:f t="shared" si="24"/>
        <x:v>0</x:v>
      </x:c>
      <x:c r="AS41" s="1038" t="e">
        <x:f t="shared" si="25"/>
        <x:v>#N/A</x:v>
      </x:c>
      <x:c r="AT41" s="945" t="b">
        <x:f t="shared" si="26"/>
        <x:v>0</x:v>
      </x:c>
      <x:c r="AU41" s="946" t="str">
        <x:f t="shared" si="27"/>
        <x:v/>
      </x:c>
      <x:c r="AV41" s="830" t="str">
        <x:f t="shared" si="28"/>
        <x:v/>
      </x:c>
      <x:c r="AW41" s="830" t="str">
        <x:f t="shared" si="29"/>
        <x:v/>
      </x:c>
      <x:c r="AX41" s="830" t="str">
        <x:f t="shared" si="106"/>
        <x:v/>
      </x:c>
      <x:c r="AY41" s="1039" t="b">
        <x:f t="shared" si="30"/>
        <x:v>0</x:v>
      </x:c>
      <x:c r="AZ41" s="856" t="str">
        <x:f t="shared" si="31"/>
        <x:v/>
      </x:c>
      <x:c r="BA41" s="549"/>
      <x:c r="BB41" s="672"/>
      <x:c r="BC41" s="1684"/>
      <x:c r="BD41" s="733"/>
      <x:c r="BE41" s="734"/>
      <x:c r="BF41" s="735"/>
      <x:c r="BG41" s="672"/>
      <x:c r="BH41" s="982"/>
      <x:c r="BI41" s="983"/>
      <x:c r="BJ41" s="1625"/>
      <x:c r="BK41" s="713"/>
      <x:c r="BL41" s="714"/>
      <x:c r="BM41" s="715"/>
      <x:c r="BN41" s="716"/>
      <x:c r="BO41" s="672" t="str">
        <x:f>IF(ISERROR(CU41),"",IF(CU41="","",IF(VLOOKUP(BG41,SectInfo!$B:$N,10,FALSE)="","","X")))</x:f>
        <x:v/>
      </x:c>
      <x:c r="BP41" s="738"/>
      <x:c r="BQ41" s="1551" t="str">
        <x:f t="shared" si="32"/>
        <x:v/>
      </x:c>
      <x:c r="BR41" s="910"/>
      <x:c r="BS41" s="672"/>
      <x:c r="BT41" s="713"/>
      <x:c r="BU41" s="714"/>
      <x:c r="BV41" s="1625"/>
      <x:c r="BW41" s="713"/>
      <x:c r="BX41" s="714"/>
      <x:c r="BY41" s="715"/>
      <x:c r="BZ41" s="716"/>
      <x:c r="CA41" s="680" t="str">
        <x:f>IF(ISERROR(DE41),"",IF(DE41="","",IF(VLOOKUP(BS41,SectInfo!$B:$N,10,FALSE)="","","X")))</x:f>
        <x:v/>
      </x:c>
      <x:c r="CB41" s="738"/>
      <x:c r="CC41" s="1551" t="str">
        <x:f t="shared" si="33"/>
        <x:v/>
      </x:c>
      <x:c r="CD41" s="910"/>
      <x:c r="CE41" s="717"/>
      <x:c r="CF41" s="736"/>
      <x:c r="CG41" s="737"/>
      <x:c r="CH41" s="591" t="str">
        <x:f t="shared" si="34"/>
        <x:v/>
      </x:c>
      <x:c r="CI41" s="592" t="str">
        <x:f t="shared" si="35"/>
        <x:v/>
      </x:c>
      <x:c r="CJ41" s="593" t="str">
        <x:f t="shared" si="36"/>
        <x:v/>
      </x:c>
      <x:c r="CK41" s="594" t="str">
        <x:f t="shared" si="37"/>
        <x:v/>
      </x:c>
      <x:c r="CL41" s="595" t="str">
        <x:f t="shared" si="38"/>
        <x:v/>
      </x:c>
      <x:c r="CM41" s="596" t="str">
        <x:f t="shared" si="39"/>
        <x:v/>
      </x:c>
      <x:c r="CN41" s="597" t="str">
        <x:f t="shared" si="40"/>
        <x:v/>
      </x:c>
      <x:c r="CO41" s="598" t="str">
        <x:f t="shared" si="41"/>
        <x:v/>
      </x:c>
      <x:c r="CP41" s="615" t="str">
        <x:f t="shared" si="42"/>
        <x:v/>
      </x:c>
      <x:c r="CQ41" s="616" t="str">
        <x:f t="shared" si="43"/>
        <x:v/>
      </x:c>
      <x:c r="CR41" s="750" t="str">
        <x:f t="shared" si="44"/>
        <x:v/>
      </x:c>
      <x:c r="CS41" s="751" t="str">
        <x:f t="shared" si="45"/>
        <x:v/>
      </x:c>
      <x:c r="CU41" s="817" t="str">
        <x:f>IF(BG41="","",VLOOKUP(BG41,SectInfo!$B:$N,12,FALSE))</x:f>
        <x:v/>
      </x:c>
      <x:c r="CV41" s="815" t="str">
        <x:f>IF(BG41="","",IF(ISBLANK(BP41),VLOOKUP(BG41,SectInfo!$B:$N,13,FALSE),BP41))</x:f>
        <x:v/>
      </x:c>
      <x:c r="CW41" s="815" t="str">
        <x:f>IF(BG41="","",IF(VLOOKUP(BG41,SectInfo!$B:$N,5,FALSE)="","R",UPPER(VLOOKUP(BG41,SectInfo!$B:$N,5,FALSE))))</x:f>
        <x:v/>
      </x:c>
      <x:c r="CX41" s="815" t="str">
        <x:f>IF(BG41="","",IF(ISBLANK(BR41),VLOOKUP(BG41,SectInfo!$B:$N,6,FALSE),BR41))</x:f>
        <x:v/>
      </x:c>
      <x:c r="CY41" s="1286" t="str">
        <x:f>IF(BG41="","",IF(VLOOKUP(BG41,SectInfo!$B:$N,10,FALSE)="","",(IF(BO41="X",VLOOKUP(BG41,SectInfo!$B:$N,10,FALSE),VALUE(BO41))*-1)))</x:f>
        <x:v/>
      </x:c>
      <x:c r="CZ41" s="1122" t="str">
        <x:f>IF(BG41="","",IF(VLOOKUP(BG41,SectInfo!$B:$N,11,FALSE)="","2",(VLOOKUP(BG41,SectInfo!$B:$N,11,FALSE))))</x:f>
        <x:v/>
      </x:c>
      <x:c r="DA41" s="815" t="str">
        <x:f>IF(BG41="","",IF(VLOOKUP(BG41,SectInfo!$B:$N,7,FALSE)="","",(VLOOKUP(BG41,SectInfo!$B:$N,7,FALSE)*-1)))</x:f>
        <x:v/>
      </x:c>
      <x:c r="DB41" s="815" t="str">
        <x:f>IF(BG41="","",IF(VLOOKUP(BG41,SectInfo!$B:$N,8,FALSE)="",VLOOKUP(AU41,$DF$2:$DN$9,6,FALSE),(VLOOKUP(BG41,SectInfo!$B:$N,8,FALSE))))</x:f>
        <x:v/>
      </x:c>
      <x:c r="DC41" s="815" t="str">
        <x:f>IF(BG41="","",VLOOKUP(BG41,SectInfo!$B:$N,9,FALSE))</x:f>
        <x:v/>
      </x:c>
      <x:c r="DD41" s="816">
        <x:f t="shared" si="46"/>
        <x:v>0</x:v>
      </x:c>
      <x:c r="DE41" s="817" t="str">
        <x:f>IF(BS41="","",VLOOKUP(BS41,SectInfo!$B:$N,12,FALSE))</x:f>
        <x:v/>
      </x:c>
      <x:c r="DF41" s="815" t="str">
        <x:f>IF(BS41="","",IF(ISBLANK(CB41),VLOOKUP(BS41,SectInfo!$B:$N,13,FALSE),CB41))</x:f>
        <x:v/>
      </x:c>
      <x:c r="DG41" s="815" t="str">
        <x:f>IF(BS41="","",IF(VLOOKUP(BS41,SectInfo!$B:$N,5,FALSE)="","R",UPPER(VLOOKUP(BS41,SectInfo!$B:$N,5,FALSE))))</x:f>
        <x:v/>
      </x:c>
      <x:c r="DH41" s="815" t="str">
        <x:f>IF(BS41="","",IF(ISBLANK(CD41),VLOOKUP(BS41,SectInfo!$B:$N,6,FALSE),CD41))</x:f>
        <x:v/>
      </x:c>
      <x:c r="DI41" s="1286" t="str">
        <x:f>IF(BS41="","",IF(VLOOKUP(BS41,SectInfo!$B:$N,10,FALSE)="","",(IF(CA41="X",VLOOKUP(BS41,SectInfo!$B:$N,10,FALSE),VALUE(CA41))*-1)))</x:f>
        <x:v/>
      </x:c>
      <x:c r="DJ41" s="1122" t="str">
        <x:f>IF(BS41="","",IF(VLOOKUP(BS41,SectInfo!$B:$N,11,FALSE)="","2",(VLOOKUP(BS41,SectInfo!$B:$N,11,FALSE))))</x:f>
        <x:v/>
      </x:c>
      <x:c r="DK41" s="815" t="str">
        <x:f>IF(BS41="","",IF(VLOOKUP(BS41,SectInfo!$B:$N,7,FALSE)="","",(VLOOKUP(BS41,SectInfo!$B:$N,7,FALSE)*-1)))</x:f>
        <x:v/>
      </x:c>
      <x:c r="DL41" s="815" t="str">
        <x:f>IF(BS41="","",IF(VLOOKUP(BS41,SectInfo!$B:$N,8,FALSE)="",VLOOKUP(AU41,$DF$2:$DN$9,6,FALSE),(VLOOKUP(BS41,SectInfo!$B:$N,8,FALSE))))</x:f>
        <x:v/>
      </x:c>
      <x:c r="DM41" s="815" t="str">
        <x:f>IF(BS41="","",VLOOKUP(BS41,SectInfo!$B:$N,9,FALSE))</x:f>
        <x:v/>
      </x:c>
      <x:c r="DN41" s="816">
        <x:f t="shared" si="47"/>
        <x:v>0</x:v>
      </x:c>
      <x:c r="DO41" s="818">
        <x:f t="shared" si="48"/>
        <x:v>0</x:v>
      </x:c>
      <x:c r="DP41" s="822" t="str">
        <x:f t="shared" si="49"/>
        <x:v/>
      </x:c>
      <x:c r="DQ41" s="822" t="str">
        <x:f t="shared" si="50"/>
        <x:v/>
      </x:c>
      <x:c r="DR41" s="822" t="str">
        <x:f t="shared" si="51"/>
        <x:v/>
      </x:c>
      <x:c r="DS41" s="821">
        <x:f t="shared" si="52"/>
        <x:v>0</x:v>
      </x:c>
      <x:c r="DT41" s="821">
        <x:f t="shared" si="53"/>
        <x:v>0</x:v>
      </x:c>
      <x:c r="DU41" s="821" t="str">
        <x:f t="shared" si="54"/>
        <x:v/>
      </x:c>
      <x:c r="DV41" s="822" t="str">
        <x:f t="shared" si="55"/>
        <x:v/>
      </x:c>
      <x:c r="DW41" s="856" t="str">
        <x:f t="shared" si="56"/>
        <x:v/>
      </x:c>
      <x:c r="DX41" s="1006">
        <x:f t="shared" si="57"/>
        <x:v>0</x:v>
      </x:c>
      <x:c r="DY41" s="822">
        <x:f t="shared" si="58"/>
        <x:v>0</x:v>
      </x:c>
      <x:c r="DZ41" s="821">
        <x:f t="shared" si="59"/>
        <x:v>0</x:v>
      </x:c>
      <x:c r="EA41" s="821" t="str">
        <x:f t="shared" si="60"/>
        <x:v/>
      </x:c>
      <x:c r="EB41" s="822" t="str">
        <x:f t="shared" si="61"/>
        <x:v/>
      </x:c>
      <x:c r="EC41" s="856" t="str">
        <x:f t="shared" si="62"/>
        <x:v/>
      </x:c>
      <x:c r="ED41" s="1006">
        <x:f t="shared" si="63"/>
        <x:v>0</x:v>
      </x:c>
      <x:c r="EE41" s="1293" t="str">
        <x:f t="shared" si="64"/>
        <x:v/>
      </x:c>
      <x:c r="EF41" s="1293" t="str">
        <x:f t="shared" si="65"/>
        <x:v/>
      </x:c>
      <x:c r="EG41" s="1293" t="str">
        <x:f t="shared" si="66"/>
        <x:v/>
      </x:c>
      <x:c r="EH41" s="856" t="e">
        <x:f t="shared" si="67"/>
        <x:v>#N/A</x:v>
      </x:c>
      <x:c r="EI41" s="856" t="e">
        <x:f t="shared" si="68"/>
        <x:v>#N/A</x:v>
      </x:c>
      <x:c r="EJ41" s="822" t="str">
        <x:f t="shared" si="69"/>
        <x:v/>
      </x:c>
      <x:c r="EK41" s="822" t="str">
        <x:f t="shared" si="69"/>
        <x:v/>
      </x:c>
      <x:c r="EL41" s="1293" t="str">
        <x:f t="shared" si="70"/>
        <x:v/>
      </x:c>
      <x:c r="EM41" s="822" t="str">
        <x:f t="shared" si="71"/>
        <x:v/>
      </x:c>
      <x:c r="EN41" s="822" t="str">
        <x:f t="shared" si="72"/>
        <x:v/>
      </x:c>
      <x:c r="EO41" s="856" t="e">
        <x:f t="shared" si="73"/>
        <x:v>#N/A</x:v>
      </x:c>
      <x:c r="EP41" s="856" t="e">
        <x:f t="shared" si="74"/>
        <x:v>#N/A</x:v>
      </x:c>
      <x:c r="EQ41" s="1293" t="str">
        <x:f t="shared" si="75"/>
        <x:v/>
      </x:c>
      <x:c r="ER41" s="822" t="str">
        <x:f t="shared" si="75"/>
        <x:v/>
      </x:c>
      <x:c r="ES41" s="822" t="str">
        <x:f t="shared" si="76"/>
        <x:v/>
      </x:c>
      <x:c r="ET41" s="822" t="str">
        <x:f t="shared" si="77"/>
        <x:v/>
      </x:c>
      <x:c r="EU41" s="829" t="str">
        <x:f t="shared" si="78"/>
        <x:v/>
      </x:c>
      <x:c r="EV41" s="824" t="str">
        <x:f t="shared" si="79"/>
        <x:v/>
      </x:c>
      <x:c r="EW41" s="829"/>
      <x:c r="EX41" s="829" t="str">
        <x:f>IF(AND(CU41="G", ISBLANK(BK41), ISBLANK(BL41)),VLOOKUP(MIN(BH41:BI41),TblJoistSize!$M$3:$N$10,2),IF(OR(CU41="B",CU41="G"),MIN(BK41:BL41),""))</x:f>
        <x:v/>
      </x:c>
      <x:c r="EY41" s="829" t="str">
        <x:f>IF(AND(CU41="G", ISBLANK(BK41), ISBLANK(BL41)),VLOOKUP(MAX(BH41:BI41),TblJoistSize!$M$3:$N$10,2),IF(OR(CU41="B",CU41="G"),MAX(BK41:BL41),""))</x:f>
        <x:v/>
      </x:c>
      <x:c r="EZ41" s="829" t="str">
        <x:f t="shared" si="80"/>
        <x:v/>
      </x:c>
      <x:c r="FA41" s="829" t="str">
        <x:f>IF(AND(DE41="G", ISBLANK(BW41), ISBLANK(BX41)),VLOOKUP(MIN(BT41:BU41),TblJoistSize!$M$3:$N$10,2),IF(OR(DE41="B", DE41="G"),MIN(BW41:BX41),""))</x:f>
        <x:v/>
      </x:c>
      <x:c r="FB41" s="829" t="str">
        <x:f>IF(AND(DE41="G", ISBLANK(BW41), ISBLANK(BX41)),VLOOKUP(MAX(BT41:BU41),TblJoistSize!$M$3:$N$10,2),IF(OR(DE41="B", DE41="G"),MAX(BW41:BX41),""))</x:f>
        <x:v/>
      </x:c>
      <x:c r="FC41" s="829" t="str">
        <x:f t="shared" si="81"/>
        <x:v/>
      </x:c>
      <x:c r="FD41" s="821">
        <x:f t="shared" si="107"/>
        <x:v>0</x:v>
      </x:c>
      <x:c r="FE41" s="821">
        <x:f t="shared" si="82"/>
        <x:v>0</x:v>
      </x:c>
      <x:c r="FF41" s="821">
        <x:f t="shared" si="83"/>
        <x:v>0</x:v>
      </x:c>
      <x:c r="FG41" s="821" t="str">
        <x:f t="shared" si="84"/>
        <x:v/>
      </x:c>
      <x:c r="FH41" s="822" t="str">
        <x:f t="shared" si="85"/>
        <x:v/>
      </x:c>
      <x:c r="FI41" s="821">
        <x:f t="shared" si="108"/>
        <x:v>0</x:v>
      </x:c>
      <x:c r="FJ41" s="821">
        <x:f t="shared" si="86"/>
        <x:v>0</x:v>
      </x:c>
      <x:c r="FK41" s="821">
        <x:f t="shared" si="87"/>
        <x:v>0</x:v>
      </x:c>
      <x:c r="FL41" s="821" t="str">
        <x:f t="shared" si="88"/>
        <x:v/>
      </x:c>
      <x:c r="FM41" s="822" t="str">
        <x:f t="shared" si="89"/>
        <x:v/>
      </x:c>
      <x:c r="FN41" s="822" t="e">
        <x:f t="shared" si="90"/>
        <x:v>#VALUE!</x:v>
      </x:c>
      <x:c r="FO41" s="940" t="e">
        <x:f t="shared" si="91"/>
        <x:v>#VALUE!</x:v>
      </x:c>
      <x:c r="FP41" s="940" t="e">
        <x:f t="shared" si="92"/>
        <x:v>#VALUE!</x:v>
      </x:c>
      <x:c r="FQ41" s="830" t="e">
        <x:f t="shared" si="93"/>
        <x:v>#VALUE!</x:v>
      </x:c>
      <x:c r="FR41" s="831" t="e">
        <x:f t="shared" si="94"/>
        <x:v>#VALUE!</x:v>
      </x:c>
      <x:c r="FS41" s="832" t="str">
        <x:f t="shared" si="95"/>
        <x:v/>
      </x:c>
      <x:c r="FT41" s="833" t="str">
        <x:f t="shared" si="96"/>
        <x:v/>
      </x:c>
      <x:c r="FU41" s="870">
        <x:f t="shared" si="97"/>
        <x:v>0</x:v>
      </x:c>
      <x:c r="FV41" s="871">
        <x:f t="shared" si="98"/>
        <x:v>0</x:v>
      </x:c>
      <x:c r="GA41" s="1791" t="str">
        <x:f t="shared" ref="GA41:GA45" si="119">IF(GF41="","",BE41)</x:f>
        <x:v/>
      </x:c>
      <x:c r="GB41" s="1792" t="str">
        <x:f t="shared" ref="GB41:GB45" si="120">IF(GF41="","",BF41)</x:f>
        <x:v/>
      </x:c>
      <x:c r="GC41" s="1793" t="str">
        <x:f t="shared" ref="GC41:GC45" si="121">IF(GF41="","",IF(CV41="",0,CV41))</x:f>
        <x:v/>
      </x:c>
      <x:c r="GD41" s="1794" t="str">
        <x:f t="shared" ref="GD41:GD45" si="122">IF(GF41="","",IF(DF41="",0,DF41))</x:f>
        <x:v/>
      </x:c>
      <x:c r="GE41" s="1795" t="str">
        <x:f t="shared" si="99"/>
        <x:v/>
      </x:c>
      <x:c r="GF41" s="600" t="str">
        <x:f t="shared" si="100"/>
        <x:v/>
      </x:c>
      <x:c r="GG41" s="1130"/>
      <x:c r="GH41" s="1131"/>
      <x:c r="GI41" s="1130"/>
      <x:c r="GJ41" s="1131"/>
      <x:c r="GK41" s="1638">
        <x:f t="shared" si="101"/>
        <x:v>0</x:v>
      </x:c>
      <x:c r="GL41" s="1636" t="e">
        <x:f t="shared" si="102"/>
        <x:v>#VALUE!</x:v>
      </x:c>
      <x:c r="GM41" s="1637" t="e">
        <x:f>IF(ABS(GK41-GL41)&gt;='Job Info.'!$L$22,ABS(GK41-GL41),0)</x:f>
        <x:v>#VALUE!</x:v>
      </x:c>
      <x:c r="HA41" s="1269"/>
      <x:c r="HB41" s="1270"/>
      <x:c r="HC41" s="1270"/>
      <x:c r="HD41" s="1271"/>
      <x:c r="HE41" s="1272"/>
      <x:c r="HF41" s="1270"/>
      <x:c r="HG41" s="1270"/>
      <x:c r="HH41" s="1270"/>
      <x:c r="HI41" s="1273"/>
      <x:c r="HJ41" s="1270"/>
      <x:c r="HK41" s="1270"/>
      <x:c r="HL41" s="1270"/>
      <x:c r="HM41" s="1270"/>
      <x:c r="HN41" s="1270"/>
      <x:c r="HO41" s="1270"/>
      <x:c r="HP41" s="1270"/>
      <x:c r="HQ41" s="1273"/>
      <x:c r="HR41" s="1270"/>
      <x:c r="HS41" s="1270"/>
      <x:c r="HT41" s="1270"/>
      <x:c r="HU41" s="1270"/>
      <x:c r="HV41" s="1270"/>
      <x:c r="HW41" s="1272"/>
      <x:c r="HX41" s="1272"/>
      <x:c r="HY41" s="1272"/>
      <x:c r="HZ41" s="1272"/>
      <x:c r="IA41" s="1272"/>
      <x:c r="IB41" s="1272"/>
      <x:c r="IC41" s="1272"/>
      <x:c r="ID41" s="1272"/>
      <x:c r="IE41" s="1272"/>
      <x:c r="IF41" s="1274"/>
    </x:row>
    <x:row r="42" spans="1:240" ht="12.6" customHeight="1" x14ac:dyDescent="0.25">
      <x:c r="A42" s="2764" t="str">
        <x:f t="shared" si="109"/>
        <x:v/>
      </x:c>
      <x:c r="B42" s="2765"/>
      <x:c r="C42" s="2766" t="str">
        <x:f t="shared" si="110"/>
        <x:v/>
      </x:c>
      <x:c r="D42" s="2767" t="str">
        <x:f t="shared" si="111"/>
        <x:v/>
      </x:c>
      <x:c r="E42" s="2768" t="str">
        <x:f t="shared" si="112"/>
        <x:v/>
      </x:c>
      <x:c r="F42" s="2776" t="str">
        <x:f t="shared" si="1"/>
        <x:v/>
      </x:c>
      <x:c r="G42" s="2771" t="str">
        <x:f t="shared" si="2"/>
        <x:v/>
      </x:c>
      <x:c r="H42" s="2842" t="str">
        <x:f t="shared" si="3"/>
        <x:v/>
      </x:c>
      <x:c r="I42" s="2767" t="str">
        <x:f t="shared" si="4"/>
        <x:v/>
      </x:c>
      <x:c r="J42" s="2771" t="str">
        <x:f t="shared" si="5"/>
        <x:v/>
      </x:c>
      <x:c r="K42" s="2855" t="str">
        <x:f t="shared" si="6"/>
        <x:v/>
      </x:c>
      <x:c r="L42" s="2774" t="str">
        <x:f t="shared" si="113"/>
        <x:v/>
      </x:c>
      <x:c r="M42" s="2775" t="str">
        <x:f t="shared" si="113"/>
        <x:v/>
      </x:c>
      <x:c r="N42" s="2770" t="str">
        <x:f t="shared" si="103"/>
        <x:v/>
      </x:c>
      <x:c r="O42" s="2771" t="str">
        <x:f t="shared" si="104"/>
        <x:v/>
      </x:c>
      <x:c r="P42" s="2772" t="str">
        <x:f t="shared" si="105"/>
        <x:v/>
      </x:c>
      <x:c r="Q42" s="2767" t="str">
        <x:f t="shared" si="7"/>
        <x:v/>
      </x:c>
      <x:c r="R42" s="2771" t="str">
        <x:f t="shared" si="8"/>
        <x:v/>
      </x:c>
      <x:c r="S42" s="2773" t="str">
        <x:f t="shared" si="9"/>
        <x:v/>
      </x:c>
      <x:c r="T42" s="2776" t="str">
        <x:f t="shared" si="114"/>
        <x:v/>
      </x:c>
      <x:c r="U42" s="2771" t="str">
        <x:f t="shared" si="115"/>
        <x:v/>
      </x:c>
      <x:c r="V42" s="2767" t="str">
        <x:f t="shared" si="116"/>
        <x:v/>
      </x:c>
      <x:c r="W42" s="2771" t="str">
        <x:f t="shared" si="117"/>
        <x:v/>
      </x:c>
      <x:c r="X42" s="2775">
        <x:f t="shared" si="118"/>
        <x:v>0</x:v>
      </x:c>
      <x:c r="Y42" s="2844" t="str">
        <x:f t="shared" si="10"/>
        <x:v/>
      </x:c>
      <x:c r="Z42" s="2845" t="str">
        <x:f t="shared" si="11"/>
        <x:v/>
      </x:c>
      <x:c r="AA42" s="2846" t="s">
        <x:v>116</x:v>
      </x:c>
      <x:c r="AB42" s="1413"/>
      <x:c r="AC42" s="964" t="b">
        <x:v>0</x:v>
      </x:c>
      <x:c r="AD42" s="441">
        <x:f t="shared" si="12"/>
        <x:v>0</x:v>
      </x:c>
      <x:c r="AE42" s="442">
        <x:f t="shared" si="13"/>
        <x:v>0</x:v>
      </x:c>
      <x:c r="AF42" s="442">
        <x:f t="shared" si="14"/>
        <x:v>0</x:v>
      </x:c>
      <x:c r="AG42" s="442">
        <x:f t="shared" si="15"/>
        <x:v>0</x:v>
      </x:c>
      <x:c r="AH42" s="443">
        <x:f t="shared" si="16"/>
        <x:v>0</x:v>
      </x:c>
      <x:c r="AI42" s="444" t="b">
        <x:v>0</x:v>
      </x:c>
      <x:c r="AJ42" s="238">
        <x:f t="shared" si="17"/>
        <x:v>0</x:v>
      </x:c>
      <x:c r="AK42" s="830" t="str">
        <x:f t="shared" si="18"/>
        <x:v/>
      </x:c>
      <x:c r="AL42" s="945" t="str">
        <x:f t="shared" si="19"/>
        <x:v/>
      </x:c>
      <x:c r="AM42" s="830" t="str">
        <x:f t="shared" si="20"/>
        <x:v/>
      </x:c>
      <x:c r="AN42" s="830" t="str">
        <x:f t="shared" si="21"/>
        <x:v/>
      </x:c>
      <x:c r="AO42" s="830" t="str">
        <x:f t="shared" si="22"/>
        <x:v/>
      </x:c>
      <x:c r="AP42" s="830" t="b">
        <x:f>IF(ISERROR(AJ42),FALSE,IF(OR(AJ42=0,ISERROR(AL42),ISERROR(AM42),ISERROR(AN42),ISERROR(AO42)),FALSE,IF(AL42&lt;&gt;"",IF(ISERROR(VLOOKUP(SUBSTITUTE(SUBSTITUTE(C42,"R",""),"A",""),TblJoistSize!$A:$A,1,FALSE)),FALSE,TRUE),TRUE)))</x:f>
        <x:v>0</x:v>
      </x:c>
      <x:c r="AQ42" s="1038" t="e">
        <x:f t="shared" si="23"/>
        <x:v>#N/A</x:v>
      </x:c>
      <x:c r="AR42" s="945" t="b">
        <x:f t="shared" si="24"/>
        <x:v>0</x:v>
      </x:c>
      <x:c r="AS42" s="1038" t="e">
        <x:f t="shared" si="25"/>
        <x:v>#N/A</x:v>
      </x:c>
      <x:c r="AT42" s="945" t="b">
        <x:f t="shared" si="26"/>
        <x:v>0</x:v>
      </x:c>
      <x:c r="AU42" s="946" t="str">
        <x:f t="shared" si="27"/>
        <x:v/>
      </x:c>
      <x:c r="AV42" s="830" t="str">
        <x:f t="shared" si="28"/>
        <x:v/>
      </x:c>
      <x:c r="AW42" s="830" t="str">
        <x:f t="shared" si="29"/>
        <x:v/>
      </x:c>
      <x:c r="AX42" s="830" t="str">
        <x:f t="shared" si="106"/>
        <x:v/>
      </x:c>
      <x:c r="AY42" s="1039" t="b">
        <x:f t="shared" si="30"/>
        <x:v>0</x:v>
      </x:c>
      <x:c r="AZ42" s="856" t="str">
        <x:f t="shared" si="31"/>
        <x:v/>
      </x:c>
      <x:c r="BA42" s="549"/>
      <x:c r="BB42" s="672"/>
      <x:c r="BC42" s="1684"/>
      <x:c r="BD42" s="733"/>
      <x:c r="BE42" s="734"/>
      <x:c r="BF42" s="735"/>
      <x:c r="BG42" s="672"/>
      <x:c r="BH42" s="982"/>
      <x:c r="BI42" s="983"/>
      <x:c r="BJ42" s="1625"/>
      <x:c r="BK42" s="713"/>
      <x:c r="BL42" s="714"/>
      <x:c r="BM42" s="715"/>
      <x:c r="BN42" s="716"/>
      <x:c r="BO42" s="672" t="str">
        <x:f>IF(ISERROR(CU42),"",IF(CU42="","",IF(VLOOKUP(BG42,SectInfo!$B:$N,10,FALSE)="","","X")))</x:f>
        <x:v/>
      </x:c>
      <x:c r="BP42" s="738"/>
      <x:c r="BQ42" s="1551" t="str">
        <x:f t="shared" si="32"/>
        <x:v/>
      </x:c>
      <x:c r="BR42" s="910"/>
      <x:c r="BS42" s="672"/>
      <x:c r="BT42" s="713"/>
      <x:c r="BU42" s="714"/>
      <x:c r="BV42" s="1625"/>
      <x:c r="BW42" s="713"/>
      <x:c r="BX42" s="714"/>
      <x:c r="BY42" s="715"/>
      <x:c r="BZ42" s="716"/>
      <x:c r="CA42" s="680" t="str">
        <x:f>IF(ISERROR(DE42),"",IF(DE42="","",IF(VLOOKUP(BS42,SectInfo!$B:$N,10,FALSE)="","","X")))</x:f>
        <x:v/>
      </x:c>
      <x:c r="CB42" s="738"/>
      <x:c r="CC42" s="1551" t="str">
        <x:f t="shared" si="33"/>
        <x:v/>
      </x:c>
      <x:c r="CD42" s="910"/>
      <x:c r="CE42" s="717"/>
      <x:c r="CF42" s="736"/>
      <x:c r="CG42" s="737"/>
      <x:c r="CH42" s="591" t="str">
        <x:f t="shared" si="34"/>
        <x:v/>
      </x:c>
      <x:c r="CI42" s="592" t="str">
        <x:f t="shared" si="35"/>
        <x:v/>
      </x:c>
      <x:c r="CJ42" s="593" t="str">
        <x:f t="shared" si="36"/>
        <x:v/>
      </x:c>
      <x:c r="CK42" s="594" t="str">
        <x:f t="shared" si="37"/>
        <x:v/>
      </x:c>
      <x:c r="CL42" s="595" t="str">
        <x:f t="shared" si="38"/>
        <x:v/>
      </x:c>
      <x:c r="CM42" s="596" t="str">
        <x:f t="shared" si="39"/>
        <x:v/>
      </x:c>
      <x:c r="CN42" s="597" t="str">
        <x:f t="shared" si="40"/>
        <x:v/>
      </x:c>
      <x:c r="CO42" s="598" t="str">
        <x:f t="shared" si="41"/>
        <x:v/>
      </x:c>
      <x:c r="CP42" s="615" t="str">
        <x:f t="shared" si="42"/>
        <x:v/>
      </x:c>
      <x:c r="CQ42" s="616" t="str">
        <x:f t="shared" si="43"/>
        <x:v/>
      </x:c>
      <x:c r="CR42" s="750" t="str">
        <x:f t="shared" si="44"/>
        <x:v/>
      </x:c>
      <x:c r="CS42" s="751" t="str">
        <x:f t="shared" si="45"/>
        <x:v/>
      </x:c>
      <x:c r="CU42" s="817" t="str">
        <x:f>IF(BG42="","",VLOOKUP(BG42,SectInfo!$B:$N,12,FALSE))</x:f>
        <x:v/>
      </x:c>
      <x:c r="CV42" s="815" t="str">
        <x:f>IF(BG42="","",IF(ISBLANK(BP42),VLOOKUP(BG42,SectInfo!$B:$N,13,FALSE),BP42))</x:f>
        <x:v/>
      </x:c>
      <x:c r="CW42" s="815" t="str">
        <x:f>IF(BG42="","",IF(VLOOKUP(BG42,SectInfo!$B:$N,5,FALSE)="","R",UPPER(VLOOKUP(BG42,SectInfo!$B:$N,5,FALSE))))</x:f>
        <x:v/>
      </x:c>
      <x:c r="CX42" s="815" t="str">
        <x:f>IF(BG42="","",IF(ISBLANK(BR42),VLOOKUP(BG42,SectInfo!$B:$N,6,FALSE),BR42))</x:f>
        <x:v/>
      </x:c>
      <x:c r="CY42" s="1286" t="str">
        <x:f>IF(BG42="","",IF(VLOOKUP(BG42,SectInfo!$B:$N,10,FALSE)="","",(IF(BO42="X",VLOOKUP(BG42,SectInfo!$B:$N,10,FALSE),VALUE(BO42))*-1)))</x:f>
        <x:v/>
      </x:c>
      <x:c r="CZ42" s="1122" t="str">
        <x:f>IF(BG42="","",IF(VLOOKUP(BG42,SectInfo!$B:$N,11,FALSE)="","2",(VLOOKUP(BG42,SectInfo!$B:$N,11,FALSE))))</x:f>
        <x:v/>
      </x:c>
      <x:c r="DA42" s="815" t="str">
        <x:f>IF(BG42="","",IF(VLOOKUP(BG42,SectInfo!$B:$N,7,FALSE)="","",(VLOOKUP(BG42,SectInfo!$B:$N,7,FALSE)*-1)))</x:f>
        <x:v/>
      </x:c>
      <x:c r="DB42" s="815" t="str">
        <x:f>IF(BG42="","",IF(VLOOKUP(BG42,SectInfo!$B:$N,8,FALSE)="",VLOOKUP(AU42,$DF$2:$DN$9,6,FALSE),(VLOOKUP(BG42,SectInfo!$B:$N,8,FALSE))))</x:f>
        <x:v/>
      </x:c>
      <x:c r="DC42" s="815" t="str">
        <x:f>IF(BG42="","",VLOOKUP(BG42,SectInfo!$B:$N,9,FALSE))</x:f>
        <x:v/>
      </x:c>
      <x:c r="DD42" s="816">
        <x:f t="shared" si="46"/>
        <x:v>0</x:v>
      </x:c>
      <x:c r="DE42" s="817" t="str">
        <x:f>IF(BS42="","",VLOOKUP(BS42,SectInfo!$B:$N,12,FALSE))</x:f>
        <x:v/>
      </x:c>
      <x:c r="DF42" s="815" t="str">
        <x:f>IF(BS42="","",IF(ISBLANK(CB42),VLOOKUP(BS42,SectInfo!$B:$N,13,FALSE),CB42))</x:f>
        <x:v/>
      </x:c>
      <x:c r="DG42" s="815" t="str">
        <x:f>IF(BS42="","",IF(VLOOKUP(BS42,SectInfo!$B:$N,5,FALSE)="","R",UPPER(VLOOKUP(BS42,SectInfo!$B:$N,5,FALSE))))</x:f>
        <x:v/>
      </x:c>
      <x:c r="DH42" s="815" t="str">
        <x:f>IF(BS42="","",IF(ISBLANK(CD42),VLOOKUP(BS42,SectInfo!$B:$N,6,FALSE),CD42))</x:f>
        <x:v/>
      </x:c>
      <x:c r="DI42" s="1286" t="str">
        <x:f>IF(BS42="","",IF(VLOOKUP(BS42,SectInfo!$B:$N,10,FALSE)="","",(IF(CA42="X",VLOOKUP(BS42,SectInfo!$B:$N,10,FALSE),VALUE(CA42))*-1)))</x:f>
        <x:v/>
      </x:c>
      <x:c r="DJ42" s="1122" t="str">
        <x:f>IF(BS42="","",IF(VLOOKUP(BS42,SectInfo!$B:$N,11,FALSE)="","2",(VLOOKUP(BS42,SectInfo!$B:$N,11,FALSE))))</x:f>
        <x:v/>
      </x:c>
      <x:c r="DK42" s="815" t="str">
        <x:f>IF(BS42="","",IF(VLOOKUP(BS42,SectInfo!$B:$N,7,FALSE)="","",(VLOOKUP(BS42,SectInfo!$B:$N,7,FALSE)*-1)))</x:f>
        <x:v/>
      </x:c>
      <x:c r="DL42" s="815" t="str">
        <x:f>IF(BS42="","",IF(VLOOKUP(BS42,SectInfo!$B:$N,8,FALSE)="",VLOOKUP(AU42,$DF$2:$DN$9,6,FALSE),(VLOOKUP(BS42,SectInfo!$B:$N,8,FALSE))))</x:f>
        <x:v/>
      </x:c>
      <x:c r="DM42" s="815" t="str">
        <x:f>IF(BS42="","",VLOOKUP(BS42,SectInfo!$B:$N,9,FALSE))</x:f>
        <x:v/>
      </x:c>
      <x:c r="DN42" s="816">
        <x:f t="shared" si="47"/>
        <x:v>0</x:v>
      </x:c>
      <x:c r="DO42" s="818">
        <x:f t="shared" si="48"/>
        <x:v>0</x:v>
      </x:c>
      <x:c r="DP42" s="822" t="str">
        <x:f t="shared" si="49"/>
        <x:v/>
      </x:c>
      <x:c r="DQ42" s="822" t="str">
        <x:f t="shared" si="50"/>
        <x:v/>
      </x:c>
      <x:c r="DR42" s="822" t="str">
        <x:f t="shared" si="51"/>
        <x:v/>
      </x:c>
      <x:c r="DS42" s="821">
        <x:f t="shared" si="52"/>
        <x:v>0</x:v>
      </x:c>
      <x:c r="DT42" s="821">
        <x:f t="shared" si="53"/>
        <x:v>0</x:v>
      </x:c>
      <x:c r="DU42" s="821" t="str">
        <x:f t="shared" si="54"/>
        <x:v/>
      </x:c>
      <x:c r="DV42" s="822" t="str">
        <x:f t="shared" si="55"/>
        <x:v/>
      </x:c>
      <x:c r="DW42" s="856" t="str">
        <x:f t="shared" si="56"/>
        <x:v/>
      </x:c>
      <x:c r="DX42" s="1006">
        <x:f t="shared" si="57"/>
        <x:v>0</x:v>
      </x:c>
      <x:c r="DY42" s="822">
        <x:f t="shared" si="58"/>
        <x:v>0</x:v>
      </x:c>
      <x:c r="DZ42" s="821">
        <x:f t="shared" si="59"/>
        <x:v>0</x:v>
      </x:c>
      <x:c r="EA42" s="821" t="str">
        <x:f t="shared" si="60"/>
        <x:v/>
      </x:c>
      <x:c r="EB42" s="822" t="str">
        <x:f t="shared" si="61"/>
        <x:v/>
      </x:c>
      <x:c r="EC42" s="856" t="str">
        <x:f t="shared" si="62"/>
        <x:v/>
      </x:c>
      <x:c r="ED42" s="1006">
        <x:f t="shared" si="63"/>
        <x:v>0</x:v>
      </x:c>
      <x:c r="EE42" s="1293" t="str">
        <x:f t="shared" si="64"/>
        <x:v/>
      </x:c>
      <x:c r="EF42" s="1293" t="str">
        <x:f t="shared" si="65"/>
        <x:v/>
      </x:c>
      <x:c r="EG42" s="1293" t="str">
        <x:f t="shared" si="66"/>
        <x:v/>
      </x:c>
      <x:c r="EH42" s="856" t="e">
        <x:f t="shared" si="67"/>
        <x:v>#N/A</x:v>
      </x:c>
      <x:c r="EI42" s="856" t="e">
        <x:f t="shared" si="68"/>
        <x:v>#N/A</x:v>
      </x:c>
      <x:c r="EJ42" s="822" t="str">
        <x:f t="shared" si="69"/>
        <x:v/>
      </x:c>
      <x:c r="EK42" s="822" t="str">
        <x:f t="shared" si="69"/>
        <x:v/>
      </x:c>
      <x:c r="EL42" s="1293" t="str">
        <x:f t="shared" si="70"/>
        <x:v/>
      </x:c>
      <x:c r="EM42" s="822" t="str">
        <x:f t="shared" si="71"/>
        <x:v/>
      </x:c>
      <x:c r="EN42" s="822" t="str">
        <x:f t="shared" si="72"/>
        <x:v/>
      </x:c>
      <x:c r="EO42" s="856" t="e">
        <x:f t="shared" si="73"/>
        <x:v>#N/A</x:v>
      </x:c>
      <x:c r="EP42" s="856" t="e">
        <x:f t="shared" si="74"/>
        <x:v>#N/A</x:v>
      </x:c>
      <x:c r="EQ42" s="1293" t="str">
        <x:f t="shared" si="75"/>
        <x:v/>
      </x:c>
      <x:c r="ER42" s="822" t="str">
        <x:f t="shared" si="75"/>
        <x:v/>
      </x:c>
      <x:c r="ES42" s="822" t="str">
        <x:f t="shared" si="76"/>
        <x:v/>
      </x:c>
      <x:c r="ET42" s="822" t="str">
        <x:f t="shared" si="77"/>
        <x:v/>
      </x:c>
      <x:c r="EU42" s="829" t="str">
        <x:f t="shared" si="78"/>
        <x:v/>
      </x:c>
      <x:c r="EV42" s="824" t="str">
        <x:f t="shared" si="79"/>
        <x:v/>
      </x:c>
      <x:c r="EW42" s="829"/>
      <x:c r="EX42" s="829" t="str">
        <x:f>IF(AND(CU42="G", ISBLANK(BK42), ISBLANK(BL42)),VLOOKUP(MIN(BH42:BI42),TblJoistSize!$M$3:$N$10,2),IF(OR(CU42="B",CU42="G"),MIN(BK42:BL42),""))</x:f>
        <x:v/>
      </x:c>
      <x:c r="EY42" s="829" t="str">
        <x:f>IF(AND(CU42="G", ISBLANK(BK42), ISBLANK(BL42)),VLOOKUP(MAX(BH42:BI42),TblJoistSize!$M$3:$N$10,2),IF(OR(CU42="B",CU42="G"),MAX(BK42:BL42),""))</x:f>
        <x:v/>
      </x:c>
      <x:c r="EZ42" s="829" t="str">
        <x:f t="shared" si="80"/>
        <x:v/>
      </x:c>
      <x:c r="FA42" s="829" t="str">
        <x:f>IF(AND(DE42="G", ISBLANK(BW42), ISBLANK(BX42)),VLOOKUP(MIN(BT42:BU42),TblJoistSize!$M$3:$N$10,2),IF(OR(DE42="B", DE42="G"),MIN(BW42:BX42),""))</x:f>
        <x:v/>
      </x:c>
      <x:c r="FB42" s="829" t="str">
        <x:f>IF(AND(DE42="G", ISBLANK(BW42), ISBLANK(BX42)),VLOOKUP(MAX(BT42:BU42),TblJoistSize!$M$3:$N$10,2),IF(OR(DE42="B", DE42="G"),MAX(BW42:BX42),""))</x:f>
        <x:v/>
      </x:c>
      <x:c r="FC42" s="829" t="str">
        <x:f t="shared" si="81"/>
        <x:v/>
      </x:c>
      <x:c r="FD42" s="821">
        <x:f t="shared" si="107"/>
        <x:v>0</x:v>
      </x:c>
      <x:c r="FE42" s="821">
        <x:f t="shared" si="82"/>
        <x:v>0</x:v>
      </x:c>
      <x:c r="FF42" s="821">
        <x:f t="shared" si="83"/>
        <x:v>0</x:v>
      </x:c>
      <x:c r="FG42" s="821" t="str">
        <x:f t="shared" si="84"/>
        <x:v/>
      </x:c>
      <x:c r="FH42" s="822" t="str">
        <x:f t="shared" si="85"/>
        <x:v/>
      </x:c>
      <x:c r="FI42" s="821">
        <x:f t="shared" si="108"/>
        <x:v>0</x:v>
      </x:c>
      <x:c r="FJ42" s="821">
        <x:f t="shared" si="86"/>
        <x:v>0</x:v>
      </x:c>
      <x:c r="FK42" s="821">
        <x:f t="shared" si="87"/>
        <x:v>0</x:v>
      </x:c>
      <x:c r="FL42" s="821" t="str">
        <x:f t="shared" si="88"/>
        <x:v/>
      </x:c>
      <x:c r="FM42" s="822" t="str">
        <x:f t="shared" si="89"/>
        <x:v/>
      </x:c>
      <x:c r="FN42" s="822" t="e">
        <x:f t="shared" si="90"/>
        <x:v>#VALUE!</x:v>
      </x:c>
      <x:c r="FO42" s="940" t="e">
        <x:f t="shared" si="91"/>
        <x:v>#VALUE!</x:v>
      </x:c>
      <x:c r="FP42" s="940" t="e">
        <x:f t="shared" si="92"/>
        <x:v>#VALUE!</x:v>
      </x:c>
      <x:c r="FQ42" s="830" t="e">
        <x:f t="shared" si="93"/>
        <x:v>#VALUE!</x:v>
      </x:c>
      <x:c r="FR42" s="831" t="e">
        <x:f t="shared" si="94"/>
        <x:v>#VALUE!</x:v>
      </x:c>
      <x:c r="FS42" s="832" t="str">
        <x:f t="shared" si="95"/>
        <x:v/>
      </x:c>
      <x:c r="FT42" s="833" t="str">
        <x:f t="shared" si="96"/>
        <x:v/>
      </x:c>
      <x:c r="FU42" s="870">
        <x:f t="shared" si="97"/>
        <x:v>0</x:v>
      </x:c>
      <x:c r="FV42" s="871">
        <x:f t="shared" si="98"/>
        <x:v>0</x:v>
      </x:c>
      <x:c r="GA42" s="1791" t="str">
        <x:f t="shared" si="119"/>
        <x:v/>
      </x:c>
      <x:c r="GB42" s="1792" t="str">
        <x:f t="shared" si="120"/>
        <x:v/>
      </x:c>
      <x:c r="GC42" s="1793" t="str">
        <x:f t="shared" si="121"/>
        <x:v/>
      </x:c>
      <x:c r="GD42" s="1794" t="str">
        <x:f t="shared" si="122"/>
        <x:v/>
      </x:c>
      <x:c r="GE42" s="1795" t="str">
        <x:f t="shared" si="99"/>
        <x:v/>
      </x:c>
      <x:c r="GF42" s="600" t="str">
        <x:f t="shared" si="100"/>
        <x:v/>
      </x:c>
      <x:c r="GG42" s="1130"/>
      <x:c r="GH42" s="1131"/>
      <x:c r="GI42" s="1130"/>
      <x:c r="GJ42" s="1131"/>
      <x:c r="GK42" s="1638">
        <x:f t="shared" si="101"/>
        <x:v>0</x:v>
      </x:c>
      <x:c r="GL42" s="1636" t="e">
        <x:f t="shared" si="102"/>
        <x:v>#VALUE!</x:v>
      </x:c>
      <x:c r="GM42" s="1637" t="e">
        <x:f>IF(ABS(GK42-GL42)&gt;='Job Info.'!$L$22,ABS(GK42-GL42),0)</x:f>
        <x:v>#VALUE!</x:v>
      </x:c>
      <x:c r="HA42" s="1269"/>
      <x:c r="HB42" s="1270"/>
      <x:c r="HC42" s="1270"/>
      <x:c r="HD42" s="1271"/>
      <x:c r="HE42" s="1272"/>
      <x:c r="HF42" s="1270"/>
      <x:c r="HG42" s="1270"/>
      <x:c r="HH42" s="1270"/>
      <x:c r="HI42" s="1273"/>
      <x:c r="HJ42" s="1270"/>
      <x:c r="HK42" s="1270"/>
      <x:c r="HL42" s="1270"/>
      <x:c r="HM42" s="1270"/>
      <x:c r="HN42" s="1270"/>
      <x:c r="HO42" s="1270"/>
      <x:c r="HP42" s="1270"/>
      <x:c r="HQ42" s="1273"/>
      <x:c r="HR42" s="1270"/>
      <x:c r="HS42" s="1270"/>
      <x:c r="HT42" s="1270"/>
      <x:c r="HU42" s="1270"/>
      <x:c r="HV42" s="1270"/>
      <x:c r="HW42" s="1272"/>
      <x:c r="HX42" s="1272"/>
      <x:c r="HY42" s="1272"/>
      <x:c r="HZ42" s="1272"/>
      <x:c r="IA42" s="1272"/>
      <x:c r="IB42" s="1272"/>
      <x:c r="IC42" s="1272"/>
      <x:c r="ID42" s="1272"/>
      <x:c r="IE42" s="1272"/>
      <x:c r="IF42" s="1274"/>
    </x:row>
    <x:row r="43" spans="1:240" ht="12.6" customHeight="1" x14ac:dyDescent="0.25">
      <x:c r="A43" s="2764" t="str">
        <x:f t="shared" si="109"/>
        <x:v/>
      </x:c>
      <x:c r="B43" s="2765"/>
      <x:c r="C43" s="2766" t="str">
        <x:f t="shared" si="110"/>
        <x:v/>
      </x:c>
      <x:c r="D43" s="2767" t="str">
        <x:f t="shared" si="111"/>
        <x:v/>
      </x:c>
      <x:c r="E43" s="2768" t="str">
        <x:f t="shared" si="112"/>
        <x:v/>
      </x:c>
      <x:c r="F43" s="2776" t="str">
        <x:f t="shared" si="1"/>
        <x:v/>
      </x:c>
      <x:c r="G43" s="2771" t="str">
        <x:f t="shared" si="2"/>
        <x:v/>
      </x:c>
      <x:c r="H43" s="2842" t="str">
        <x:f t="shared" si="3"/>
        <x:v/>
      </x:c>
      <x:c r="I43" s="2767" t="str">
        <x:f t="shared" si="4"/>
        <x:v/>
      </x:c>
      <x:c r="J43" s="2771" t="str">
        <x:f t="shared" si="5"/>
        <x:v/>
      </x:c>
      <x:c r="K43" s="2855" t="str">
        <x:f t="shared" si="6"/>
        <x:v/>
      </x:c>
      <x:c r="L43" s="2774" t="str">
        <x:f t="shared" si="113"/>
        <x:v/>
      </x:c>
      <x:c r="M43" s="2775" t="str">
        <x:f t="shared" si="113"/>
        <x:v/>
      </x:c>
      <x:c r="N43" s="2770" t="str">
        <x:f t="shared" si="103"/>
        <x:v/>
      </x:c>
      <x:c r="O43" s="2771" t="str">
        <x:f t="shared" si="104"/>
        <x:v/>
      </x:c>
      <x:c r="P43" s="2772" t="str">
        <x:f t="shared" si="105"/>
        <x:v/>
      </x:c>
      <x:c r="Q43" s="2767" t="str">
        <x:f t="shared" si="7"/>
        <x:v/>
      </x:c>
      <x:c r="R43" s="2771" t="str">
        <x:f t="shared" si="8"/>
        <x:v/>
      </x:c>
      <x:c r="S43" s="2773" t="str">
        <x:f t="shared" si="9"/>
        <x:v/>
      </x:c>
      <x:c r="T43" s="2776" t="str">
        <x:f t="shared" si="114"/>
        <x:v/>
      </x:c>
      <x:c r="U43" s="2771" t="str">
        <x:f t="shared" si="115"/>
        <x:v/>
      </x:c>
      <x:c r="V43" s="2767" t="str">
        <x:f t="shared" si="116"/>
        <x:v/>
      </x:c>
      <x:c r="W43" s="2771" t="str">
        <x:f t="shared" si="117"/>
        <x:v/>
      </x:c>
      <x:c r="X43" s="2775">
        <x:f t="shared" si="118"/>
        <x:v>0</x:v>
      </x:c>
      <x:c r="Y43" s="2844" t="str">
        <x:f t="shared" si="10"/>
        <x:v/>
      </x:c>
      <x:c r="Z43" s="2845" t="str">
        <x:f t="shared" si="11"/>
        <x:v/>
      </x:c>
      <x:c r="AA43" s="2846" t="s">
        <x:v>116</x:v>
      </x:c>
      <x:c r="AB43" s="1413"/>
      <x:c r="AC43" s="964" t="b">
        <x:v>0</x:v>
      </x:c>
      <x:c r="AD43" s="441">
        <x:f t="shared" si="12"/>
        <x:v>0</x:v>
      </x:c>
      <x:c r="AE43" s="442">
        <x:f t="shared" si="13"/>
        <x:v>0</x:v>
      </x:c>
      <x:c r="AF43" s="442">
        <x:f t="shared" si="14"/>
        <x:v>0</x:v>
      </x:c>
      <x:c r="AG43" s="442">
        <x:f t="shared" si="15"/>
        <x:v>0</x:v>
      </x:c>
      <x:c r="AH43" s="443">
        <x:f t="shared" si="16"/>
        <x:v>0</x:v>
      </x:c>
      <x:c r="AI43" s="444" t="b">
        <x:v>0</x:v>
      </x:c>
      <x:c r="AJ43" s="238">
        <x:f t="shared" si="17"/>
        <x:v>0</x:v>
      </x:c>
      <x:c r="AK43" s="830" t="str">
        <x:f t="shared" si="18"/>
        <x:v/>
      </x:c>
      <x:c r="AL43" s="945" t="str">
        <x:f t="shared" si="19"/>
        <x:v/>
      </x:c>
      <x:c r="AM43" s="830" t="str">
        <x:f t="shared" si="20"/>
        <x:v/>
      </x:c>
      <x:c r="AN43" s="830" t="str">
        <x:f t="shared" si="21"/>
        <x:v/>
      </x:c>
      <x:c r="AO43" s="830" t="str">
        <x:f t="shared" si="22"/>
        <x:v/>
      </x:c>
      <x:c r="AP43" s="830" t="b">
        <x:f>IF(ISERROR(AJ43),FALSE,IF(OR(AJ43=0,ISERROR(AL43),ISERROR(AM43),ISERROR(AN43),ISERROR(AO43)),FALSE,IF(AL43&lt;&gt;"",IF(ISERROR(VLOOKUP(SUBSTITUTE(SUBSTITUTE(C43,"R",""),"A",""),TblJoistSize!$A:$A,1,FALSE)),FALSE,TRUE),TRUE)))</x:f>
        <x:v>0</x:v>
      </x:c>
      <x:c r="AQ43" s="1038" t="e">
        <x:f t="shared" si="23"/>
        <x:v>#N/A</x:v>
      </x:c>
      <x:c r="AR43" s="945" t="b">
        <x:f t="shared" si="24"/>
        <x:v>0</x:v>
      </x:c>
      <x:c r="AS43" s="1038" t="e">
        <x:f t="shared" si="25"/>
        <x:v>#N/A</x:v>
      </x:c>
      <x:c r="AT43" s="945" t="b">
        <x:f t="shared" si="26"/>
        <x:v>0</x:v>
      </x:c>
      <x:c r="AU43" s="946" t="str">
        <x:f t="shared" si="27"/>
        <x:v/>
      </x:c>
      <x:c r="AV43" s="830" t="str">
        <x:f t="shared" si="28"/>
        <x:v/>
      </x:c>
      <x:c r="AW43" s="830" t="str">
        <x:f t="shared" si="29"/>
        <x:v/>
      </x:c>
      <x:c r="AX43" s="830" t="str">
        <x:f t="shared" si="106"/>
        <x:v/>
      </x:c>
      <x:c r="AY43" s="1039" t="b">
        <x:f t="shared" si="30"/>
        <x:v>0</x:v>
      </x:c>
      <x:c r="AZ43" s="856" t="str">
        <x:f t="shared" si="31"/>
        <x:v/>
      </x:c>
      <x:c r="BA43" s="549"/>
      <x:c r="BB43" s="672"/>
      <x:c r="BC43" s="1684"/>
      <x:c r="BD43" s="733"/>
      <x:c r="BE43" s="734"/>
      <x:c r="BF43" s="735"/>
      <x:c r="BG43" s="672"/>
      <x:c r="BH43" s="982"/>
      <x:c r="BI43" s="983"/>
      <x:c r="BJ43" s="1625"/>
      <x:c r="BK43" s="713"/>
      <x:c r="BL43" s="714"/>
      <x:c r="BM43" s="715"/>
      <x:c r="BN43" s="716"/>
      <x:c r="BO43" s="672" t="str">
        <x:f>IF(ISERROR(CU43),"",IF(CU43="","",IF(VLOOKUP(BG43,SectInfo!$B:$N,10,FALSE)="","","X")))</x:f>
        <x:v/>
      </x:c>
      <x:c r="BP43" s="738"/>
      <x:c r="BQ43" s="1551" t="str">
        <x:f t="shared" si="32"/>
        <x:v/>
      </x:c>
      <x:c r="BR43" s="910"/>
      <x:c r="BS43" s="672"/>
      <x:c r="BT43" s="713"/>
      <x:c r="BU43" s="714"/>
      <x:c r="BV43" s="1625"/>
      <x:c r="BW43" s="713"/>
      <x:c r="BX43" s="714"/>
      <x:c r="BY43" s="715"/>
      <x:c r="BZ43" s="716"/>
      <x:c r="CA43" s="680" t="str">
        <x:f>IF(ISERROR(DE43),"",IF(DE43="","",IF(VLOOKUP(BS43,SectInfo!$B:$N,10,FALSE)="","","X")))</x:f>
        <x:v/>
      </x:c>
      <x:c r="CB43" s="738"/>
      <x:c r="CC43" s="1551" t="str">
        <x:f t="shared" si="33"/>
        <x:v/>
      </x:c>
      <x:c r="CD43" s="910"/>
      <x:c r="CE43" s="717"/>
      <x:c r="CF43" s="736"/>
      <x:c r="CG43" s="737"/>
      <x:c r="CH43" s="591" t="str">
        <x:f t="shared" si="34"/>
        <x:v/>
      </x:c>
      <x:c r="CI43" s="592" t="str">
        <x:f t="shared" si="35"/>
        <x:v/>
      </x:c>
      <x:c r="CJ43" s="593" t="str">
        <x:f t="shared" si="36"/>
        <x:v/>
      </x:c>
      <x:c r="CK43" s="594" t="str">
        <x:f t="shared" si="37"/>
        <x:v/>
      </x:c>
      <x:c r="CL43" s="595" t="str">
        <x:f t="shared" si="38"/>
        <x:v/>
      </x:c>
      <x:c r="CM43" s="596" t="str">
        <x:f t="shared" si="39"/>
        <x:v/>
      </x:c>
      <x:c r="CN43" s="597" t="str">
        <x:f t="shared" si="40"/>
        <x:v/>
      </x:c>
      <x:c r="CO43" s="598" t="str">
        <x:f t="shared" si="41"/>
        <x:v/>
      </x:c>
      <x:c r="CP43" s="615" t="str">
        <x:f t="shared" si="42"/>
        <x:v/>
      </x:c>
      <x:c r="CQ43" s="616" t="str">
        <x:f t="shared" si="43"/>
        <x:v/>
      </x:c>
      <x:c r="CR43" s="750" t="str">
        <x:f t="shared" si="44"/>
        <x:v/>
      </x:c>
      <x:c r="CS43" s="751" t="str">
        <x:f t="shared" si="45"/>
        <x:v/>
      </x:c>
      <x:c r="CU43" s="817" t="str">
        <x:f>IF(BG43="","",VLOOKUP(BG43,SectInfo!$B:$N,12,FALSE))</x:f>
        <x:v/>
      </x:c>
      <x:c r="CV43" s="815" t="str">
        <x:f>IF(BG43="","",IF(ISBLANK(BP43),VLOOKUP(BG43,SectInfo!$B:$N,13,FALSE),BP43))</x:f>
        <x:v/>
      </x:c>
      <x:c r="CW43" s="815" t="str">
        <x:f>IF(BG43="","",IF(VLOOKUP(BG43,SectInfo!$B:$N,5,FALSE)="","R",UPPER(VLOOKUP(BG43,SectInfo!$B:$N,5,FALSE))))</x:f>
        <x:v/>
      </x:c>
      <x:c r="CX43" s="815" t="str">
        <x:f>IF(BG43="","",IF(ISBLANK(BR43),VLOOKUP(BG43,SectInfo!$B:$N,6,FALSE),BR43))</x:f>
        <x:v/>
      </x:c>
      <x:c r="CY43" s="1286" t="str">
        <x:f>IF(BG43="","",IF(VLOOKUP(BG43,SectInfo!$B:$N,10,FALSE)="","",(IF(BO43="X",VLOOKUP(BG43,SectInfo!$B:$N,10,FALSE),VALUE(BO43))*-1)))</x:f>
        <x:v/>
      </x:c>
      <x:c r="CZ43" s="1122" t="str">
        <x:f>IF(BG43="","",IF(VLOOKUP(BG43,SectInfo!$B:$N,11,FALSE)="","2",(VLOOKUP(BG43,SectInfo!$B:$N,11,FALSE))))</x:f>
        <x:v/>
      </x:c>
      <x:c r="DA43" s="815" t="str">
        <x:f>IF(BG43="","",IF(VLOOKUP(BG43,SectInfo!$B:$N,7,FALSE)="","",(VLOOKUP(BG43,SectInfo!$B:$N,7,FALSE)*-1)))</x:f>
        <x:v/>
      </x:c>
      <x:c r="DB43" s="815" t="str">
        <x:f>IF(BG43="","",IF(VLOOKUP(BG43,SectInfo!$B:$N,8,FALSE)="",VLOOKUP(AU43,$DF$2:$DN$9,6,FALSE),(VLOOKUP(BG43,SectInfo!$B:$N,8,FALSE))))</x:f>
        <x:v/>
      </x:c>
      <x:c r="DC43" s="815" t="str">
        <x:f>IF(BG43="","",VLOOKUP(BG43,SectInfo!$B:$N,9,FALSE))</x:f>
        <x:v/>
      </x:c>
      <x:c r="DD43" s="816">
        <x:f t="shared" si="46"/>
        <x:v>0</x:v>
      </x:c>
      <x:c r="DE43" s="817" t="str">
        <x:f>IF(BS43="","",VLOOKUP(BS43,SectInfo!$B:$N,12,FALSE))</x:f>
        <x:v/>
      </x:c>
      <x:c r="DF43" s="815" t="str">
        <x:f>IF(BS43="","",IF(ISBLANK(CB43),VLOOKUP(BS43,SectInfo!$B:$N,13,FALSE),CB43))</x:f>
        <x:v/>
      </x:c>
      <x:c r="DG43" s="815" t="str">
        <x:f>IF(BS43="","",IF(VLOOKUP(BS43,SectInfo!$B:$N,5,FALSE)="","R",UPPER(VLOOKUP(BS43,SectInfo!$B:$N,5,FALSE))))</x:f>
        <x:v/>
      </x:c>
      <x:c r="DH43" s="815" t="str">
        <x:f>IF(BS43="","",IF(ISBLANK(CD43),VLOOKUP(BS43,SectInfo!$B:$N,6,FALSE),CD43))</x:f>
        <x:v/>
      </x:c>
      <x:c r="DI43" s="1286" t="str">
        <x:f>IF(BS43="","",IF(VLOOKUP(BS43,SectInfo!$B:$N,10,FALSE)="","",(IF(CA43="X",VLOOKUP(BS43,SectInfo!$B:$N,10,FALSE),VALUE(CA43))*-1)))</x:f>
        <x:v/>
      </x:c>
      <x:c r="DJ43" s="1122" t="str">
        <x:f>IF(BS43="","",IF(VLOOKUP(BS43,SectInfo!$B:$N,11,FALSE)="","2",(VLOOKUP(BS43,SectInfo!$B:$N,11,FALSE))))</x:f>
        <x:v/>
      </x:c>
      <x:c r="DK43" s="815" t="str">
        <x:f>IF(BS43="","",IF(VLOOKUP(BS43,SectInfo!$B:$N,7,FALSE)="","",(VLOOKUP(BS43,SectInfo!$B:$N,7,FALSE)*-1)))</x:f>
        <x:v/>
      </x:c>
      <x:c r="DL43" s="815" t="str">
        <x:f>IF(BS43="","",IF(VLOOKUP(BS43,SectInfo!$B:$N,8,FALSE)="",VLOOKUP(AU43,$DF$2:$DN$9,6,FALSE),(VLOOKUP(BS43,SectInfo!$B:$N,8,FALSE))))</x:f>
        <x:v/>
      </x:c>
      <x:c r="DM43" s="815" t="str">
        <x:f>IF(BS43="","",VLOOKUP(BS43,SectInfo!$B:$N,9,FALSE))</x:f>
        <x:v/>
      </x:c>
      <x:c r="DN43" s="816">
        <x:f t="shared" si="47"/>
        <x:v>0</x:v>
      </x:c>
      <x:c r="DO43" s="818">
        <x:f t="shared" si="48"/>
        <x:v>0</x:v>
      </x:c>
      <x:c r="DP43" s="822" t="str">
        <x:f t="shared" si="49"/>
        <x:v/>
      </x:c>
      <x:c r="DQ43" s="822" t="str">
        <x:f t="shared" si="50"/>
        <x:v/>
      </x:c>
      <x:c r="DR43" s="822" t="str">
        <x:f t="shared" si="51"/>
        <x:v/>
      </x:c>
      <x:c r="DS43" s="821">
        <x:f t="shared" si="52"/>
        <x:v>0</x:v>
      </x:c>
      <x:c r="DT43" s="821">
        <x:f t="shared" si="53"/>
        <x:v>0</x:v>
      </x:c>
      <x:c r="DU43" s="821" t="str">
        <x:f t="shared" si="54"/>
        <x:v/>
      </x:c>
      <x:c r="DV43" s="822" t="str">
        <x:f t="shared" si="55"/>
        <x:v/>
      </x:c>
      <x:c r="DW43" s="856" t="str">
        <x:f t="shared" si="56"/>
        <x:v/>
      </x:c>
      <x:c r="DX43" s="1006">
        <x:f t="shared" si="57"/>
        <x:v>0</x:v>
      </x:c>
      <x:c r="DY43" s="822">
        <x:f t="shared" si="58"/>
        <x:v>0</x:v>
      </x:c>
      <x:c r="DZ43" s="821">
        <x:f t="shared" si="59"/>
        <x:v>0</x:v>
      </x:c>
      <x:c r="EA43" s="821" t="str">
        <x:f t="shared" si="60"/>
        <x:v/>
      </x:c>
      <x:c r="EB43" s="822" t="str">
        <x:f t="shared" si="61"/>
        <x:v/>
      </x:c>
      <x:c r="EC43" s="856" t="str">
        <x:f t="shared" si="62"/>
        <x:v/>
      </x:c>
      <x:c r="ED43" s="1006">
        <x:f t="shared" si="63"/>
        <x:v>0</x:v>
      </x:c>
      <x:c r="EE43" s="1293" t="str">
        <x:f t="shared" si="64"/>
        <x:v/>
      </x:c>
      <x:c r="EF43" s="1293" t="str">
        <x:f t="shared" si="65"/>
        <x:v/>
      </x:c>
      <x:c r="EG43" s="1293" t="str">
        <x:f t="shared" si="66"/>
        <x:v/>
      </x:c>
      <x:c r="EH43" s="856" t="e">
        <x:f t="shared" si="67"/>
        <x:v>#N/A</x:v>
      </x:c>
      <x:c r="EI43" s="856" t="e">
        <x:f t="shared" si="68"/>
        <x:v>#N/A</x:v>
      </x:c>
      <x:c r="EJ43" s="822" t="str">
        <x:f t="shared" si="69"/>
        <x:v/>
      </x:c>
      <x:c r="EK43" s="822" t="str">
        <x:f t="shared" si="69"/>
        <x:v/>
      </x:c>
      <x:c r="EL43" s="1293" t="str">
        <x:f t="shared" si="70"/>
        <x:v/>
      </x:c>
      <x:c r="EM43" s="822" t="str">
        <x:f t="shared" si="71"/>
        <x:v/>
      </x:c>
      <x:c r="EN43" s="822" t="str">
        <x:f t="shared" si="72"/>
        <x:v/>
      </x:c>
      <x:c r="EO43" s="856" t="e">
        <x:f t="shared" si="73"/>
        <x:v>#N/A</x:v>
      </x:c>
      <x:c r="EP43" s="856" t="e">
        <x:f t="shared" si="74"/>
        <x:v>#N/A</x:v>
      </x:c>
      <x:c r="EQ43" s="1293" t="str">
        <x:f t="shared" si="75"/>
        <x:v/>
      </x:c>
      <x:c r="ER43" s="822" t="str">
        <x:f t="shared" si="75"/>
        <x:v/>
      </x:c>
      <x:c r="ES43" s="822" t="str">
        <x:f t="shared" si="76"/>
        <x:v/>
      </x:c>
      <x:c r="ET43" s="822" t="str">
        <x:f t="shared" si="77"/>
        <x:v/>
      </x:c>
      <x:c r="EU43" s="829" t="str">
        <x:f t="shared" si="78"/>
        <x:v/>
      </x:c>
      <x:c r="EV43" s="824" t="str">
        <x:f t="shared" si="79"/>
        <x:v/>
      </x:c>
      <x:c r="EW43" s="829"/>
      <x:c r="EX43" s="829" t="str">
        <x:f>IF(AND(CU43="G", ISBLANK(BK43), ISBLANK(BL43)),VLOOKUP(MIN(BH43:BI43),TblJoistSize!$M$3:$N$10,2),IF(OR(CU43="B",CU43="G"),MIN(BK43:BL43),""))</x:f>
        <x:v/>
      </x:c>
      <x:c r="EY43" s="829" t="str">
        <x:f>IF(AND(CU43="G", ISBLANK(BK43), ISBLANK(BL43)),VLOOKUP(MAX(BH43:BI43),TblJoistSize!$M$3:$N$10,2),IF(OR(CU43="B",CU43="G"),MAX(BK43:BL43),""))</x:f>
        <x:v/>
      </x:c>
      <x:c r="EZ43" s="829" t="str">
        <x:f t="shared" si="80"/>
        <x:v/>
      </x:c>
      <x:c r="FA43" s="829" t="str">
        <x:f>IF(AND(DE43="G", ISBLANK(BW43), ISBLANK(BX43)),VLOOKUP(MIN(BT43:BU43),TblJoistSize!$M$3:$N$10,2),IF(OR(DE43="B", DE43="G"),MIN(BW43:BX43),""))</x:f>
        <x:v/>
      </x:c>
      <x:c r="FB43" s="829" t="str">
        <x:f>IF(AND(DE43="G", ISBLANK(BW43), ISBLANK(BX43)),VLOOKUP(MAX(BT43:BU43),TblJoistSize!$M$3:$N$10,2),IF(OR(DE43="B", DE43="G"),MAX(BW43:BX43),""))</x:f>
        <x:v/>
      </x:c>
      <x:c r="FC43" s="829" t="str">
        <x:f t="shared" si="81"/>
        <x:v/>
      </x:c>
      <x:c r="FD43" s="821">
        <x:f t="shared" si="107"/>
        <x:v>0</x:v>
      </x:c>
      <x:c r="FE43" s="821">
        <x:f t="shared" si="82"/>
        <x:v>0</x:v>
      </x:c>
      <x:c r="FF43" s="821">
        <x:f t="shared" si="83"/>
        <x:v>0</x:v>
      </x:c>
      <x:c r="FG43" s="821" t="str">
        <x:f t="shared" si="84"/>
        <x:v/>
      </x:c>
      <x:c r="FH43" s="822" t="str">
        <x:f t="shared" si="85"/>
        <x:v/>
      </x:c>
      <x:c r="FI43" s="821">
        <x:f t="shared" si="108"/>
        <x:v>0</x:v>
      </x:c>
      <x:c r="FJ43" s="821">
        <x:f t="shared" si="86"/>
        <x:v>0</x:v>
      </x:c>
      <x:c r="FK43" s="821">
        <x:f t="shared" si="87"/>
        <x:v>0</x:v>
      </x:c>
      <x:c r="FL43" s="821" t="str">
        <x:f t="shared" si="88"/>
        <x:v/>
      </x:c>
      <x:c r="FM43" s="822" t="str">
        <x:f t="shared" si="89"/>
        <x:v/>
      </x:c>
      <x:c r="FN43" s="822" t="e">
        <x:f t="shared" si="90"/>
        <x:v>#VALUE!</x:v>
      </x:c>
      <x:c r="FO43" s="940" t="e">
        <x:f t="shared" si="91"/>
        <x:v>#VALUE!</x:v>
      </x:c>
      <x:c r="FP43" s="940" t="e">
        <x:f t="shared" si="92"/>
        <x:v>#VALUE!</x:v>
      </x:c>
      <x:c r="FQ43" s="830" t="e">
        <x:f t="shared" si="93"/>
        <x:v>#VALUE!</x:v>
      </x:c>
      <x:c r="FR43" s="831" t="e">
        <x:f t="shared" si="94"/>
        <x:v>#VALUE!</x:v>
      </x:c>
      <x:c r="FS43" s="832" t="str">
        <x:f t="shared" si="95"/>
        <x:v/>
      </x:c>
      <x:c r="FT43" s="833" t="str">
        <x:f t="shared" si="96"/>
        <x:v/>
      </x:c>
      <x:c r="FU43" s="870">
        <x:f t="shared" si="97"/>
        <x:v>0</x:v>
      </x:c>
      <x:c r="FV43" s="871">
        <x:f t="shared" si="98"/>
        <x:v>0</x:v>
      </x:c>
      <x:c r="GA43" s="1791" t="str">
        <x:f t="shared" si="119"/>
        <x:v/>
      </x:c>
      <x:c r="GB43" s="1792" t="str">
        <x:f t="shared" si="120"/>
        <x:v/>
      </x:c>
      <x:c r="GC43" s="1793" t="str">
        <x:f t="shared" si="121"/>
        <x:v/>
      </x:c>
      <x:c r="GD43" s="1794" t="str">
        <x:f t="shared" si="122"/>
        <x:v/>
      </x:c>
      <x:c r="GE43" s="1795" t="str">
        <x:f t="shared" si="99"/>
        <x:v/>
      </x:c>
      <x:c r="GF43" s="600" t="str">
        <x:f t="shared" si="100"/>
        <x:v/>
      </x:c>
      <x:c r="GG43" s="1130"/>
      <x:c r="GH43" s="1131"/>
      <x:c r="GI43" s="1130"/>
      <x:c r="GJ43" s="1131"/>
      <x:c r="GK43" s="1638">
        <x:f t="shared" si="101"/>
        <x:v>0</x:v>
      </x:c>
      <x:c r="GL43" s="1636" t="e">
        <x:f t="shared" si="102"/>
        <x:v>#VALUE!</x:v>
      </x:c>
      <x:c r="GM43" s="1637" t="e">
        <x:f>IF(ABS(GK43-GL43)&gt;='Job Info.'!$L$22,ABS(GK43-GL43),0)</x:f>
        <x:v>#VALUE!</x:v>
      </x:c>
      <x:c r="HA43" s="1269"/>
      <x:c r="HB43" s="1270"/>
      <x:c r="HC43" s="1270"/>
      <x:c r="HD43" s="1271"/>
      <x:c r="HE43" s="1272"/>
      <x:c r="HF43" s="1270"/>
      <x:c r="HG43" s="1270"/>
      <x:c r="HH43" s="1270"/>
      <x:c r="HI43" s="1273"/>
      <x:c r="HJ43" s="1270"/>
      <x:c r="HK43" s="1270"/>
      <x:c r="HL43" s="1270"/>
      <x:c r="HM43" s="1270"/>
      <x:c r="HN43" s="1270"/>
      <x:c r="HO43" s="1270"/>
      <x:c r="HP43" s="1270"/>
      <x:c r="HQ43" s="1273"/>
      <x:c r="HR43" s="1270"/>
      <x:c r="HS43" s="1270"/>
      <x:c r="HT43" s="1270"/>
      <x:c r="HU43" s="1270"/>
      <x:c r="HV43" s="1270"/>
      <x:c r="HW43" s="1272"/>
      <x:c r="HX43" s="1272"/>
      <x:c r="HY43" s="1272"/>
      <x:c r="HZ43" s="1272"/>
      <x:c r="IA43" s="1272"/>
      <x:c r="IB43" s="1272"/>
      <x:c r="IC43" s="1272"/>
      <x:c r="ID43" s="1272"/>
      <x:c r="IE43" s="1272"/>
      <x:c r="IF43" s="1274"/>
    </x:row>
    <x:row r="44" spans="1:240" ht="12.6" customHeight="1" x14ac:dyDescent="0.25">
      <x:c r="A44" s="2764" t="str">
        <x:f t="shared" si="109"/>
        <x:v/>
      </x:c>
      <x:c r="B44" s="2765"/>
      <x:c r="C44" s="2766" t="str">
        <x:f t="shared" si="110"/>
        <x:v/>
      </x:c>
      <x:c r="D44" s="2767" t="str">
        <x:f t="shared" si="111"/>
        <x:v/>
      </x:c>
      <x:c r="E44" s="2768" t="str">
        <x:f t="shared" si="112"/>
        <x:v/>
      </x:c>
      <x:c r="F44" s="2776" t="str">
        <x:f t="shared" si="1"/>
        <x:v/>
      </x:c>
      <x:c r="G44" s="2771" t="str">
        <x:f t="shared" si="2"/>
        <x:v/>
      </x:c>
      <x:c r="H44" s="2842" t="str">
        <x:f t="shared" si="3"/>
        <x:v/>
      </x:c>
      <x:c r="I44" s="2767" t="str">
        <x:f t="shared" si="4"/>
        <x:v/>
      </x:c>
      <x:c r="J44" s="2771" t="str">
        <x:f t="shared" si="5"/>
        <x:v/>
      </x:c>
      <x:c r="K44" s="2855" t="str">
        <x:f t="shared" si="6"/>
        <x:v/>
      </x:c>
      <x:c r="L44" s="2774" t="str">
        <x:f t="shared" si="113"/>
        <x:v/>
      </x:c>
      <x:c r="M44" s="2775" t="str">
        <x:f t="shared" si="113"/>
        <x:v/>
      </x:c>
      <x:c r="N44" s="2770" t="str">
        <x:f t="shared" si="103"/>
        <x:v/>
      </x:c>
      <x:c r="O44" s="2771" t="str">
        <x:f t="shared" si="104"/>
        <x:v/>
      </x:c>
      <x:c r="P44" s="2772" t="str">
        <x:f t="shared" si="105"/>
        <x:v/>
      </x:c>
      <x:c r="Q44" s="2767" t="str">
        <x:f t="shared" si="7"/>
        <x:v/>
      </x:c>
      <x:c r="R44" s="2771" t="str">
        <x:f t="shared" si="8"/>
        <x:v/>
      </x:c>
      <x:c r="S44" s="2773" t="str">
        <x:f t="shared" si="9"/>
        <x:v/>
      </x:c>
      <x:c r="T44" s="2776" t="str">
        <x:f t="shared" si="114"/>
        <x:v/>
      </x:c>
      <x:c r="U44" s="2771" t="str">
        <x:f t="shared" si="115"/>
        <x:v/>
      </x:c>
      <x:c r="V44" s="2767" t="str">
        <x:f t="shared" si="116"/>
        <x:v/>
      </x:c>
      <x:c r="W44" s="2771" t="str">
        <x:f t="shared" si="117"/>
        <x:v/>
      </x:c>
      <x:c r="X44" s="2775">
        <x:f t="shared" si="118"/>
        <x:v>0</x:v>
      </x:c>
      <x:c r="Y44" s="2844" t="str">
        <x:f t="shared" si="10"/>
        <x:v/>
      </x:c>
      <x:c r="Z44" s="2845" t="str">
        <x:f t="shared" si="11"/>
        <x:v/>
      </x:c>
      <x:c r="AA44" s="2846" t="s">
        <x:v>116</x:v>
      </x:c>
      <x:c r="AB44" s="1413"/>
      <x:c r="AC44" s="964" t="b">
        <x:v>0</x:v>
      </x:c>
      <x:c r="AD44" s="441">
        <x:f t="shared" si="12"/>
        <x:v>0</x:v>
      </x:c>
      <x:c r="AE44" s="442">
        <x:f t="shared" si="13"/>
        <x:v>0</x:v>
      </x:c>
      <x:c r="AF44" s="442">
        <x:f t="shared" si="14"/>
        <x:v>0</x:v>
      </x:c>
      <x:c r="AG44" s="442">
        <x:f t="shared" si="15"/>
        <x:v>0</x:v>
      </x:c>
      <x:c r="AH44" s="443">
        <x:f t="shared" si="16"/>
        <x:v>0</x:v>
      </x:c>
      <x:c r="AI44" s="444" t="b">
        <x:v>0</x:v>
      </x:c>
      <x:c r="AJ44" s="238">
        <x:f t="shared" si="17"/>
        <x:v>0</x:v>
      </x:c>
      <x:c r="AK44" s="830" t="str">
        <x:f t="shared" si="18"/>
        <x:v/>
      </x:c>
      <x:c r="AL44" s="945" t="str">
        <x:f t="shared" si="19"/>
        <x:v/>
      </x:c>
      <x:c r="AM44" s="830" t="str">
        <x:f t="shared" si="20"/>
        <x:v/>
      </x:c>
      <x:c r="AN44" s="830" t="str">
        <x:f t="shared" si="21"/>
        <x:v/>
      </x:c>
      <x:c r="AO44" s="830" t="str">
        <x:f t="shared" si="22"/>
        <x:v/>
      </x:c>
      <x:c r="AP44" s="830" t="b">
        <x:f>IF(ISERROR(AJ44),FALSE,IF(OR(AJ44=0,ISERROR(AL44),ISERROR(AM44),ISERROR(AN44),ISERROR(AO44)),FALSE,IF(AL44&lt;&gt;"",IF(ISERROR(VLOOKUP(SUBSTITUTE(SUBSTITUTE(C44,"R",""),"A",""),TblJoistSize!$A:$A,1,FALSE)),FALSE,TRUE),TRUE)))</x:f>
        <x:v>0</x:v>
      </x:c>
      <x:c r="AQ44" s="1038" t="e">
        <x:f t="shared" si="23"/>
        <x:v>#N/A</x:v>
      </x:c>
      <x:c r="AR44" s="945" t="b">
        <x:f t="shared" si="24"/>
        <x:v>0</x:v>
      </x:c>
      <x:c r="AS44" s="1038" t="e">
        <x:f t="shared" si="25"/>
        <x:v>#N/A</x:v>
      </x:c>
      <x:c r="AT44" s="945" t="b">
        <x:f t="shared" si="26"/>
        <x:v>0</x:v>
      </x:c>
      <x:c r="AU44" s="946" t="str">
        <x:f t="shared" si="27"/>
        <x:v/>
      </x:c>
      <x:c r="AV44" s="830" t="str">
        <x:f t="shared" si="28"/>
        <x:v/>
      </x:c>
      <x:c r="AW44" s="830" t="str">
        <x:f t="shared" si="29"/>
        <x:v/>
      </x:c>
      <x:c r="AX44" s="830" t="str">
        <x:f t="shared" si="106"/>
        <x:v/>
      </x:c>
      <x:c r="AY44" s="1039" t="b">
        <x:f t="shared" si="30"/>
        <x:v>0</x:v>
      </x:c>
      <x:c r="AZ44" s="856" t="str">
        <x:f t="shared" si="31"/>
        <x:v/>
      </x:c>
      <x:c r="BA44" s="549"/>
      <x:c r="BB44" s="672"/>
      <x:c r="BC44" s="1684"/>
      <x:c r="BD44" s="733"/>
      <x:c r="BE44" s="734"/>
      <x:c r="BF44" s="735"/>
      <x:c r="BG44" s="672"/>
      <x:c r="BH44" s="982"/>
      <x:c r="BI44" s="983"/>
      <x:c r="BJ44" s="1625"/>
      <x:c r="BK44" s="713"/>
      <x:c r="BL44" s="714"/>
      <x:c r="BM44" s="715"/>
      <x:c r="BN44" s="716"/>
      <x:c r="BO44" s="672" t="str">
        <x:f>IF(ISERROR(CU44),"",IF(CU44="","",IF(VLOOKUP(BG44,SectInfo!$B:$N,10,FALSE)="","","X")))</x:f>
        <x:v/>
      </x:c>
      <x:c r="BP44" s="738"/>
      <x:c r="BQ44" s="1551" t="str">
        <x:f t="shared" si="32"/>
        <x:v/>
      </x:c>
      <x:c r="BR44" s="910"/>
      <x:c r="BS44" s="672"/>
      <x:c r="BT44" s="713"/>
      <x:c r="BU44" s="714"/>
      <x:c r="BV44" s="1625"/>
      <x:c r="BW44" s="713"/>
      <x:c r="BX44" s="714"/>
      <x:c r="BY44" s="715"/>
      <x:c r="BZ44" s="716"/>
      <x:c r="CA44" s="680" t="str">
        <x:f>IF(ISERROR(DE44),"",IF(DE44="","",IF(VLOOKUP(BS44,SectInfo!$B:$N,10,FALSE)="","","X")))</x:f>
        <x:v/>
      </x:c>
      <x:c r="CB44" s="738"/>
      <x:c r="CC44" s="1551" t="str">
        <x:f t="shared" si="33"/>
        <x:v/>
      </x:c>
      <x:c r="CD44" s="910"/>
      <x:c r="CE44" s="717"/>
      <x:c r="CF44" s="736"/>
      <x:c r="CG44" s="737"/>
      <x:c r="CH44" s="591" t="str">
        <x:f t="shared" si="34"/>
        <x:v/>
      </x:c>
      <x:c r="CI44" s="592" t="str">
        <x:f t="shared" si="35"/>
        <x:v/>
      </x:c>
      <x:c r="CJ44" s="593" t="str">
        <x:f t="shared" si="36"/>
        <x:v/>
      </x:c>
      <x:c r="CK44" s="594" t="str">
        <x:f t="shared" si="37"/>
        <x:v/>
      </x:c>
      <x:c r="CL44" s="595" t="str">
        <x:f t="shared" si="38"/>
        <x:v/>
      </x:c>
      <x:c r="CM44" s="596" t="str">
        <x:f t="shared" si="39"/>
        <x:v/>
      </x:c>
      <x:c r="CN44" s="597" t="str">
        <x:f t="shared" si="40"/>
        <x:v/>
      </x:c>
      <x:c r="CO44" s="598" t="str">
        <x:f t="shared" si="41"/>
        <x:v/>
      </x:c>
      <x:c r="CP44" s="615" t="str">
        <x:f t="shared" si="42"/>
        <x:v/>
      </x:c>
      <x:c r="CQ44" s="616" t="str">
        <x:f t="shared" si="43"/>
        <x:v/>
      </x:c>
      <x:c r="CR44" s="750" t="str">
        <x:f t="shared" si="44"/>
        <x:v/>
      </x:c>
      <x:c r="CS44" s="751" t="str">
        <x:f t="shared" si="45"/>
        <x:v/>
      </x:c>
      <x:c r="CU44" s="817" t="str">
        <x:f>IF(BG44="","",VLOOKUP(BG44,SectInfo!$B:$N,12,FALSE))</x:f>
        <x:v/>
      </x:c>
      <x:c r="CV44" s="815" t="str">
        <x:f>IF(BG44="","",IF(ISBLANK(BP44),VLOOKUP(BG44,SectInfo!$B:$N,13,FALSE),BP44))</x:f>
        <x:v/>
      </x:c>
      <x:c r="CW44" s="815" t="str">
        <x:f>IF(BG44="","",IF(VLOOKUP(BG44,SectInfo!$B:$N,5,FALSE)="","R",UPPER(VLOOKUP(BG44,SectInfo!$B:$N,5,FALSE))))</x:f>
        <x:v/>
      </x:c>
      <x:c r="CX44" s="815" t="str">
        <x:f>IF(BG44="","",IF(ISBLANK(BR44),VLOOKUP(BG44,SectInfo!$B:$N,6,FALSE),BR44))</x:f>
        <x:v/>
      </x:c>
      <x:c r="CY44" s="1286" t="str">
        <x:f>IF(BG44="","",IF(VLOOKUP(BG44,SectInfo!$B:$N,10,FALSE)="","",(IF(BO44="X",VLOOKUP(BG44,SectInfo!$B:$N,10,FALSE),VALUE(BO44))*-1)))</x:f>
        <x:v/>
      </x:c>
      <x:c r="CZ44" s="1122" t="str">
        <x:f>IF(BG44="","",IF(VLOOKUP(BG44,SectInfo!$B:$N,11,FALSE)="","2",(VLOOKUP(BG44,SectInfo!$B:$N,11,FALSE))))</x:f>
        <x:v/>
      </x:c>
      <x:c r="DA44" s="815" t="str">
        <x:f>IF(BG44="","",IF(VLOOKUP(BG44,SectInfo!$B:$N,7,FALSE)="","",(VLOOKUP(BG44,SectInfo!$B:$N,7,FALSE)*-1)))</x:f>
        <x:v/>
      </x:c>
      <x:c r="DB44" s="815" t="str">
        <x:f>IF(BG44="","",IF(VLOOKUP(BG44,SectInfo!$B:$N,8,FALSE)="",VLOOKUP(AU44,$DF$2:$DN$9,6,FALSE),(VLOOKUP(BG44,SectInfo!$B:$N,8,FALSE))))</x:f>
        <x:v/>
      </x:c>
      <x:c r="DC44" s="815" t="str">
        <x:f>IF(BG44="","",VLOOKUP(BG44,SectInfo!$B:$N,9,FALSE))</x:f>
        <x:v/>
      </x:c>
      <x:c r="DD44" s="816">
        <x:f t="shared" si="46"/>
        <x:v>0</x:v>
      </x:c>
      <x:c r="DE44" s="817" t="str">
        <x:f>IF(BS44="","",VLOOKUP(BS44,SectInfo!$B:$N,12,FALSE))</x:f>
        <x:v/>
      </x:c>
      <x:c r="DF44" s="815" t="str">
        <x:f>IF(BS44="","",IF(ISBLANK(CB44),VLOOKUP(BS44,SectInfo!$B:$N,13,FALSE),CB44))</x:f>
        <x:v/>
      </x:c>
      <x:c r="DG44" s="815" t="str">
        <x:f>IF(BS44="","",IF(VLOOKUP(BS44,SectInfo!$B:$N,5,FALSE)="","R",UPPER(VLOOKUP(BS44,SectInfo!$B:$N,5,FALSE))))</x:f>
        <x:v/>
      </x:c>
      <x:c r="DH44" s="815" t="str">
        <x:f>IF(BS44="","",IF(ISBLANK(CD44),VLOOKUP(BS44,SectInfo!$B:$N,6,FALSE),CD44))</x:f>
        <x:v/>
      </x:c>
      <x:c r="DI44" s="1286" t="str">
        <x:f>IF(BS44="","",IF(VLOOKUP(BS44,SectInfo!$B:$N,10,FALSE)="","",(IF(CA44="X",VLOOKUP(BS44,SectInfo!$B:$N,10,FALSE),VALUE(CA44))*-1)))</x:f>
        <x:v/>
      </x:c>
      <x:c r="DJ44" s="1122" t="str">
        <x:f>IF(BS44="","",IF(VLOOKUP(BS44,SectInfo!$B:$N,11,FALSE)="","2",(VLOOKUP(BS44,SectInfo!$B:$N,11,FALSE))))</x:f>
        <x:v/>
      </x:c>
      <x:c r="DK44" s="815" t="str">
        <x:f>IF(BS44="","",IF(VLOOKUP(BS44,SectInfo!$B:$N,7,FALSE)="","",(VLOOKUP(BS44,SectInfo!$B:$N,7,FALSE)*-1)))</x:f>
        <x:v/>
      </x:c>
      <x:c r="DL44" s="815" t="str">
        <x:f>IF(BS44="","",IF(VLOOKUP(BS44,SectInfo!$B:$N,8,FALSE)="",VLOOKUP(AU44,$DF$2:$DN$9,6,FALSE),(VLOOKUP(BS44,SectInfo!$B:$N,8,FALSE))))</x:f>
        <x:v/>
      </x:c>
      <x:c r="DM44" s="815" t="str">
        <x:f>IF(BS44="","",VLOOKUP(BS44,SectInfo!$B:$N,9,FALSE))</x:f>
        <x:v/>
      </x:c>
      <x:c r="DN44" s="816">
        <x:f t="shared" si="47"/>
        <x:v>0</x:v>
      </x:c>
      <x:c r="DO44" s="818">
        <x:f t="shared" si="48"/>
        <x:v>0</x:v>
      </x:c>
      <x:c r="DP44" s="822" t="str">
        <x:f t="shared" si="49"/>
        <x:v/>
      </x:c>
      <x:c r="DQ44" s="822" t="str">
        <x:f t="shared" si="50"/>
        <x:v/>
      </x:c>
      <x:c r="DR44" s="822" t="str">
        <x:f t="shared" si="51"/>
        <x:v/>
      </x:c>
      <x:c r="DS44" s="821">
        <x:f t="shared" si="52"/>
        <x:v>0</x:v>
      </x:c>
      <x:c r="DT44" s="821">
        <x:f t="shared" si="53"/>
        <x:v>0</x:v>
      </x:c>
      <x:c r="DU44" s="821" t="str">
        <x:f t="shared" si="54"/>
        <x:v/>
      </x:c>
      <x:c r="DV44" s="822" t="str">
        <x:f t="shared" si="55"/>
        <x:v/>
      </x:c>
      <x:c r="DW44" s="856" t="str">
        <x:f t="shared" si="56"/>
        <x:v/>
      </x:c>
      <x:c r="DX44" s="1006">
        <x:f t="shared" si="57"/>
        <x:v>0</x:v>
      </x:c>
      <x:c r="DY44" s="822">
        <x:f t="shared" si="58"/>
        <x:v>0</x:v>
      </x:c>
      <x:c r="DZ44" s="821">
        <x:f t="shared" si="59"/>
        <x:v>0</x:v>
      </x:c>
      <x:c r="EA44" s="821" t="str">
        <x:f t="shared" si="60"/>
        <x:v/>
      </x:c>
      <x:c r="EB44" s="822" t="str">
        <x:f t="shared" si="61"/>
        <x:v/>
      </x:c>
      <x:c r="EC44" s="856" t="str">
        <x:f t="shared" si="62"/>
        <x:v/>
      </x:c>
      <x:c r="ED44" s="1006">
        <x:f t="shared" si="63"/>
        <x:v>0</x:v>
      </x:c>
      <x:c r="EE44" s="1293" t="str">
        <x:f t="shared" si="64"/>
        <x:v/>
      </x:c>
      <x:c r="EF44" s="1293" t="str">
        <x:f t="shared" si="65"/>
        <x:v/>
      </x:c>
      <x:c r="EG44" s="1293" t="str">
        <x:f t="shared" si="66"/>
        <x:v/>
      </x:c>
      <x:c r="EH44" s="856" t="e">
        <x:f t="shared" si="67"/>
        <x:v>#N/A</x:v>
      </x:c>
      <x:c r="EI44" s="856" t="e">
        <x:f t="shared" si="68"/>
        <x:v>#N/A</x:v>
      </x:c>
      <x:c r="EJ44" s="822" t="str">
        <x:f t="shared" si="69"/>
        <x:v/>
      </x:c>
      <x:c r="EK44" s="822" t="str">
        <x:f t="shared" si="69"/>
        <x:v/>
      </x:c>
      <x:c r="EL44" s="1293" t="str">
        <x:f t="shared" si="70"/>
        <x:v/>
      </x:c>
      <x:c r="EM44" s="822" t="str">
        <x:f t="shared" si="71"/>
        <x:v/>
      </x:c>
      <x:c r="EN44" s="822" t="str">
        <x:f t="shared" si="72"/>
        <x:v/>
      </x:c>
      <x:c r="EO44" s="856" t="e">
        <x:f t="shared" si="73"/>
        <x:v>#N/A</x:v>
      </x:c>
      <x:c r="EP44" s="856" t="e">
        <x:f t="shared" si="74"/>
        <x:v>#N/A</x:v>
      </x:c>
      <x:c r="EQ44" s="1293" t="str">
        <x:f t="shared" si="75"/>
        <x:v/>
      </x:c>
      <x:c r="ER44" s="822" t="str">
        <x:f t="shared" si="75"/>
        <x:v/>
      </x:c>
      <x:c r="ES44" s="822" t="str">
        <x:f t="shared" si="76"/>
        <x:v/>
      </x:c>
      <x:c r="ET44" s="822" t="str">
        <x:f t="shared" si="77"/>
        <x:v/>
      </x:c>
      <x:c r="EU44" s="829" t="str">
        <x:f t="shared" si="78"/>
        <x:v/>
      </x:c>
      <x:c r="EV44" s="824" t="str">
        <x:f t="shared" si="79"/>
        <x:v/>
      </x:c>
      <x:c r="EW44" s="829"/>
      <x:c r="EX44" s="829" t="str">
        <x:f>IF(AND(CU44="G", ISBLANK(BK44), ISBLANK(BL44)),VLOOKUP(MIN(BH44:BI44),TblJoistSize!$M$3:$N$10,2),IF(OR(CU44="B",CU44="G"),MIN(BK44:BL44),""))</x:f>
        <x:v/>
      </x:c>
      <x:c r="EY44" s="829" t="str">
        <x:f>IF(AND(CU44="G", ISBLANK(BK44), ISBLANK(BL44)),VLOOKUP(MAX(BH44:BI44),TblJoistSize!$M$3:$N$10,2),IF(OR(CU44="B",CU44="G"),MAX(BK44:BL44),""))</x:f>
        <x:v/>
      </x:c>
      <x:c r="EZ44" s="829" t="str">
        <x:f t="shared" si="80"/>
        <x:v/>
      </x:c>
      <x:c r="FA44" s="829" t="str">
        <x:f>IF(AND(DE44="G", ISBLANK(BW44), ISBLANK(BX44)),VLOOKUP(MIN(BT44:BU44),TblJoistSize!$M$3:$N$10,2),IF(OR(DE44="B", DE44="G"),MIN(BW44:BX44),""))</x:f>
        <x:v/>
      </x:c>
      <x:c r="FB44" s="829" t="str">
        <x:f>IF(AND(DE44="G", ISBLANK(BW44), ISBLANK(BX44)),VLOOKUP(MAX(BT44:BU44),TblJoistSize!$M$3:$N$10,2),IF(OR(DE44="B", DE44="G"),MAX(BW44:BX44),""))</x:f>
        <x:v/>
      </x:c>
      <x:c r="FC44" s="829" t="str">
        <x:f t="shared" si="81"/>
        <x:v/>
      </x:c>
      <x:c r="FD44" s="821">
        <x:f t="shared" si="107"/>
        <x:v>0</x:v>
      </x:c>
      <x:c r="FE44" s="821">
        <x:f t="shared" si="82"/>
        <x:v>0</x:v>
      </x:c>
      <x:c r="FF44" s="821">
        <x:f t="shared" si="83"/>
        <x:v>0</x:v>
      </x:c>
      <x:c r="FG44" s="821" t="str">
        <x:f t="shared" si="84"/>
        <x:v/>
      </x:c>
      <x:c r="FH44" s="822" t="str">
        <x:f t="shared" si="85"/>
        <x:v/>
      </x:c>
      <x:c r="FI44" s="821">
        <x:f t="shared" si="108"/>
        <x:v>0</x:v>
      </x:c>
      <x:c r="FJ44" s="821">
        <x:f t="shared" si="86"/>
        <x:v>0</x:v>
      </x:c>
      <x:c r="FK44" s="821">
        <x:f t="shared" si="87"/>
        <x:v>0</x:v>
      </x:c>
      <x:c r="FL44" s="821" t="str">
        <x:f t="shared" si="88"/>
        <x:v/>
      </x:c>
      <x:c r="FM44" s="822" t="str">
        <x:f t="shared" si="89"/>
        <x:v/>
      </x:c>
      <x:c r="FN44" s="822" t="e">
        <x:f t="shared" si="90"/>
        <x:v>#VALUE!</x:v>
      </x:c>
      <x:c r="FO44" s="940" t="e">
        <x:f t="shared" si="91"/>
        <x:v>#VALUE!</x:v>
      </x:c>
      <x:c r="FP44" s="940" t="e">
        <x:f t="shared" si="92"/>
        <x:v>#VALUE!</x:v>
      </x:c>
      <x:c r="FQ44" s="830" t="e">
        <x:f t="shared" si="93"/>
        <x:v>#VALUE!</x:v>
      </x:c>
      <x:c r="FR44" s="831" t="e">
        <x:f t="shared" si="94"/>
        <x:v>#VALUE!</x:v>
      </x:c>
      <x:c r="FS44" s="832" t="str">
        <x:f t="shared" si="95"/>
        <x:v/>
      </x:c>
      <x:c r="FT44" s="833" t="str">
        <x:f t="shared" si="96"/>
        <x:v/>
      </x:c>
      <x:c r="FU44" s="870">
        <x:f t="shared" si="97"/>
        <x:v>0</x:v>
      </x:c>
      <x:c r="FV44" s="871">
        <x:f t="shared" si="98"/>
        <x:v>0</x:v>
      </x:c>
      <x:c r="GA44" s="1791" t="str">
        <x:f t="shared" si="119"/>
        <x:v/>
      </x:c>
      <x:c r="GB44" s="1792" t="str">
        <x:f t="shared" si="120"/>
        <x:v/>
      </x:c>
      <x:c r="GC44" s="1793" t="str">
        <x:f t="shared" si="121"/>
        <x:v/>
      </x:c>
      <x:c r="GD44" s="1794" t="str">
        <x:f t="shared" si="122"/>
        <x:v/>
      </x:c>
      <x:c r="GE44" s="1795" t="str">
        <x:f t="shared" si="99"/>
        <x:v/>
      </x:c>
      <x:c r="GF44" s="600" t="str">
        <x:f t="shared" si="100"/>
        <x:v/>
      </x:c>
      <x:c r="GG44" s="1130"/>
      <x:c r="GH44" s="1131"/>
      <x:c r="GI44" s="1130"/>
      <x:c r="GJ44" s="1131"/>
      <x:c r="GK44" s="1638">
        <x:f t="shared" si="101"/>
        <x:v>0</x:v>
      </x:c>
      <x:c r="GL44" s="1636" t="e">
        <x:f t="shared" si="102"/>
        <x:v>#VALUE!</x:v>
      </x:c>
      <x:c r="GM44" s="1637" t="e">
        <x:f>IF(ABS(GK44-GL44)&gt;='Job Info.'!$L$22,ABS(GK44-GL44),0)</x:f>
        <x:v>#VALUE!</x:v>
      </x:c>
      <x:c r="HA44" s="1269"/>
      <x:c r="HB44" s="1270"/>
      <x:c r="HC44" s="1270"/>
      <x:c r="HD44" s="1271"/>
      <x:c r="HE44" s="1272"/>
      <x:c r="HF44" s="1270"/>
      <x:c r="HG44" s="1270"/>
      <x:c r="HH44" s="1270"/>
      <x:c r="HI44" s="1273"/>
      <x:c r="HJ44" s="1270"/>
      <x:c r="HK44" s="1270"/>
      <x:c r="HL44" s="1270"/>
      <x:c r="HM44" s="1270"/>
      <x:c r="HN44" s="1270"/>
      <x:c r="HO44" s="1270"/>
      <x:c r="HP44" s="1270"/>
      <x:c r="HQ44" s="1273"/>
      <x:c r="HR44" s="1270"/>
      <x:c r="HS44" s="1270"/>
      <x:c r="HT44" s="1270"/>
      <x:c r="HU44" s="1270"/>
      <x:c r="HV44" s="1270"/>
      <x:c r="HW44" s="1272"/>
      <x:c r="HX44" s="1272"/>
      <x:c r="HY44" s="1272"/>
      <x:c r="HZ44" s="1272"/>
      <x:c r="IA44" s="1272"/>
      <x:c r="IB44" s="1272"/>
      <x:c r="IC44" s="1272"/>
      <x:c r="ID44" s="1272"/>
      <x:c r="IE44" s="1272"/>
      <x:c r="IF44" s="1274"/>
    </x:row>
    <x:row r="45" spans="1:240" ht="12.6" customHeight="1" thickBot="1" x14ac:dyDescent="0.3">
      <x:c r="A45" s="2782" t="str">
        <x:f>IF(BB45="","",UPPER(BB45))</x:f>
        <x:v/>
      </x:c>
      <x:c r="B45" s="2783"/>
      <x:c r="C45" s="2784" t="str">
        <x:f>IF(BD45="","",UPPER(BD45))</x:f>
        <x:v/>
      </x:c>
      <x:c r="D45" s="2785" t="str">
        <x:f>IF(DP45="","",TRUNC(DP45/12))</x:f>
        <x:v/>
      </x:c>
      <x:c r="E45" s="2786" t="str">
        <x:f>IF(DP45="","",DP45-(D45*12))</x:f>
        <x:v/>
      </x:c>
      <x:c r="F45" s="2794" t="str">
        <x:f>IF(DX45=0,"",TRUNC(DX45/12))</x:f>
        <x:v/>
      </x:c>
      <x:c r="G45" s="2789" t="str">
        <x:f>IF(DX45=0,"",DX45-(F45*12))</x:f>
        <x:v/>
      </x:c>
      <x:c r="H45" s="2848" t="str">
        <x:f>IF(DX45=0,"",CW45)</x:f>
        <x:v/>
      </x:c>
      <x:c r="I45" s="2785" t="str">
        <x:f>IF(ED45=0,"",TRUNC(ED45/12))</x:f>
        <x:v/>
      </x:c>
      <x:c r="J45" s="2789" t="str">
        <x:f>IF(ED45=0,"",ED45-(I45*12))</x:f>
        <x:v/>
      </x:c>
      <x:c r="K45" s="2856" t="str">
        <x:f>IF(ED45=0,"",DG45)</x:f>
        <x:v/>
      </x:c>
      <x:c r="L45" s="2792" t="str">
        <x:f>DQ45</x:f>
        <x:v/>
      </x:c>
      <x:c r="M45" s="2793" t="str">
        <x:f>DR45</x:f>
        <x:v/>
      </x:c>
      <x:c r="N45" s="2788" t="str">
        <x:f t="shared" si="103"/>
        <x:v/>
      </x:c>
      <x:c r="O45" s="2789" t="str">
        <x:f t="shared" si="104"/>
        <x:v/>
      </x:c>
      <x:c r="P45" s="2790" t="str">
        <x:f t="shared" si="105"/>
        <x:v/>
      </x:c>
      <x:c r="Q45" s="2785" t="str">
        <x:f t="shared" si="7"/>
        <x:v/>
      </x:c>
      <x:c r="R45" s="2789" t="str">
        <x:f t="shared" si="8"/>
        <x:v/>
      </x:c>
      <x:c r="S45" s="2791" t="str">
        <x:f t="shared" si="9"/>
        <x:v/>
      </x:c>
      <x:c r="T45" s="2794" t="str">
        <x:f t="shared" si="114"/>
        <x:v/>
      </x:c>
      <x:c r="U45" s="2789" t="str">
        <x:f t="shared" si="115"/>
        <x:v/>
      </x:c>
      <x:c r="V45" s="2785" t="str">
        <x:f t="shared" si="116"/>
        <x:v/>
      </x:c>
      <x:c r="W45" s="2789" t="str">
        <x:f t="shared" si="117"/>
        <x:v/>
      </x:c>
      <x:c r="X45" s="2793">
        <x:f>IF(EV45="",0,EV45)</x:f>
        <x:v>0</x:v>
      </x:c>
      <x:c r="Y45" s="2850" t="str">
        <x:f>FG45</x:f>
        <x:v/>
      </x:c>
      <x:c r="Z45" s="2851" t="str">
        <x:f>FL45</x:f>
        <x:v/>
      </x:c>
      <x:c r="AA45" s="2852" t="s">
        <x:v>116</x:v>
      </x:c>
      <x:c r="AB45" s="1413"/>
      <x:c r="AC45" s="964" t="b">
        <x:v>0</x:v>
      </x:c>
      <x:c r="AD45" s="441">
        <x:f t="shared" si="12"/>
        <x:v>0</x:v>
      </x:c>
      <x:c r="AE45" s="442">
        <x:f t="shared" si="13"/>
        <x:v>0</x:v>
      </x:c>
      <x:c r="AF45" s="442">
        <x:f t="shared" si="14"/>
        <x:v>0</x:v>
      </x:c>
      <x:c r="AG45" s="442">
        <x:f t="shared" si="15"/>
        <x:v>0</x:v>
      </x:c>
      <x:c r="AH45" s="443">
        <x:f t="shared" si="16"/>
        <x:v>0</x:v>
      </x:c>
      <x:c r="AI45" s="444" t="b">
        <x:v>0</x:v>
      </x:c>
      <x:c r="AJ45" s="238">
        <x:f t="shared" si="17"/>
        <x:v>0</x:v>
      </x:c>
      <x:c r="AK45" s="830" t="str">
        <x:f t="shared" si="18"/>
        <x:v/>
      </x:c>
      <x:c r="AL45" s="945" t="str">
        <x:f t="shared" si="19"/>
        <x:v/>
      </x:c>
      <x:c r="AM45" s="830" t="str">
        <x:f t="shared" si="20"/>
        <x:v/>
      </x:c>
      <x:c r="AN45" s="830" t="str">
        <x:f t="shared" si="21"/>
        <x:v/>
      </x:c>
      <x:c r="AO45" s="830" t="str">
        <x:f t="shared" si="22"/>
        <x:v/>
      </x:c>
      <x:c r="AP45" s="830" t="b">
        <x:f>IF(ISERROR(AJ45),FALSE,IF(OR(AJ45=0,ISERROR(AL45),ISERROR(AM45),ISERROR(AN45),ISERROR(AO45)),FALSE,IF(AL45&lt;&gt;"",IF(ISERROR(VLOOKUP(SUBSTITUTE(SUBSTITUTE(C45,"R",""),"A",""),TblJoistSize!$A:$A,1,FALSE)),FALSE,TRUE),TRUE)))</x:f>
        <x:v>0</x:v>
      </x:c>
      <x:c r="AQ45" s="1038" t="e">
        <x:f t="shared" si="23"/>
        <x:v>#N/A</x:v>
      </x:c>
      <x:c r="AR45" s="945" t="b">
        <x:f t="shared" si="24"/>
        <x:v>0</x:v>
      </x:c>
      <x:c r="AS45" s="1038" t="e">
        <x:f t="shared" si="25"/>
        <x:v>#N/A</x:v>
      </x:c>
      <x:c r="AT45" s="945" t="b">
        <x:f t="shared" si="26"/>
        <x:v>0</x:v>
      </x:c>
      <x:c r="AU45" s="946" t="str">
        <x:f t="shared" si="27"/>
        <x:v/>
      </x:c>
      <x:c r="AV45" s="830" t="str">
        <x:f t="shared" si="28"/>
        <x:v/>
      </x:c>
      <x:c r="AW45" s="830" t="str">
        <x:f t="shared" si="29"/>
        <x:v/>
      </x:c>
      <x:c r="AX45" s="830" t="str">
        <x:f t="shared" si="106"/>
        <x:v/>
      </x:c>
      <x:c r="AY45" s="1039" t="b">
        <x:f t="shared" si="30"/>
        <x:v>0</x:v>
      </x:c>
      <x:c r="AZ45" s="856" t="str">
        <x:f t="shared" si="31"/>
        <x:v/>
      </x:c>
      <x:c r="BA45" s="549"/>
      <x:c r="BB45" s="681"/>
      <x:c r="BC45" s="1685"/>
      <x:c r="BD45" s="807"/>
      <x:c r="BE45" s="808"/>
      <x:c r="BF45" s="809"/>
      <x:c r="BG45" s="681"/>
      <x:c r="BH45" s="985"/>
      <x:c r="BI45" s="986"/>
      <x:c r="BJ45" s="1626"/>
      <x:c r="BK45" s="718"/>
      <x:c r="BL45" s="719"/>
      <x:c r="BM45" s="720"/>
      <x:c r="BN45" s="721"/>
      <x:c r="BO45" s="681" t="str">
        <x:f>IF(ISERROR(CU45),"",IF(CU45="","",IF(VLOOKUP(BG45,SectInfo!$B:$N,10,FALSE)="","","X")))</x:f>
        <x:v/>
      </x:c>
      <x:c r="BP45" s="741"/>
      <x:c r="BQ45" s="1552" t="str">
        <x:f t="shared" si="32"/>
        <x:v/>
      </x:c>
      <x:c r="BR45" s="911"/>
      <x:c r="BS45" s="681"/>
      <x:c r="BT45" s="718"/>
      <x:c r="BU45" s="719"/>
      <x:c r="BV45" s="1626"/>
      <x:c r="BW45" s="718"/>
      <x:c r="BX45" s="719"/>
      <x:c r="BY45" s="720"/>
      <x:c r="BZ45" s="721"/>
      <x:c r="CA45" s="689" t="str">
        <x:f>IF(ISERROR(DE45),"",IF(DE45="","",IF(VLOOKUP(BS45,SectInfo!$B:$N,10,FALSE)="","","X")))</x:f>
        <x:v/>
      </x:c>
      <x:c r="CB45" s="741"/>
      <x:c r="CC45" s="1552" t="str">
        <x:f t="shared" si="33"/>
        <x:v/>
      </x:c>
      <x:c r="CD45" s="911"/>
      <x:c r="CE45" s="722"/>
      <x:c r="CF45" s="739"/>
      <x:c r="CG45" s="740"/>
      <x:c r="CH45" s="601" t="str">
        <x:f t="shared" si="34"/>
        <x:v/>
      </x:c>
      <x:c r="CI45" s="602" t="str">
        <x:f t="shared" si="35"/>
        <x:v/>
      </x:c>
      <x:c r="CJ45" s="603" t="str">
        <x:f t="shared" si="36"/>
        <x:v/>
      </x:c>
      <x:c r="CK45" s="604" t="str">
        <x:f t="shared" si="37"/>
        <x:v/>
      </x:c>
      <x:c r="CL45" s="605" t="str">
        <x:f t="shared" si="38"/>
        <x:v/>
      </x:c>
      <x:c r="CM45" s="606" t="str">
        <x:f t="shared" si="39"/>
        <x:v/>
      </x:c>
      <x:c r="CN45" s="607" t="str">
        <x:f t="shared" si="40"/>
        <x:v/>
      </x:c>
      <x:c r="CO45" s="608" t="str">
        <x:f t="shared" si="41"/>
        <x:v/>
      </x:c>
      <x:c r="CP45" s="617" t="str">
        <x:f t="shared" si="42"/>
        <x:v/>
      </x:c>
      <x:c r="CQ45" s="618" t="str">
        <x:f t="shared" si="43"/>
        <x:v/>
      </x:c>
      <x:c r="CR45" s="752" t="str">
        <x:f t="shared" si="44"/>
        <x:v/>
      </x:c>
      <x:c r="CS45" s="753" t="str">
        <x:f t="shared" si="45"/>
        <x:v/>
      </x:c>
      <x:c r="CU45" s="817" t="str">
        <x:f>IF(BG45="","",VLOOKUP(BG45,SectInfo!$B:$N,12,FALSE))</x:f>
        <x:v/>
      </x:c>
      <x:c r="CV45" s="815" t="str">
        <x:f>IF(BG45="","",IF(ISBLANK(BP45),VLOOKUP(BG45,SectInfo!$B:$N,13,FALSE),BP45))</x:f>
        <x:v/>
      </x:c>
      <x:c r="CW45" s="815" t="str">
        <x:f>IF(BG45="","",IF(VLOOKUP(BG45,SectInfo!$B:$N,5,FALSE)="","R",UPPER(VLOOKUP(BG45,SectInfo!$B:$N,5,FALSE))))</x:f>
        <x:v/>
      </x:c>
      <x:c r="CX45" s="815" t="str">
        <x:f>IF(BG45="","",IF(ISBLANK(BR45),VLOOKUP(BG45,SectInfo!$B:$N,6,FALSE),BR45))</x:f>
        <x:v/>
      </x:c>
      <x:c r="CY45" s="1286" t="str">
        <x:f>IF(BG45="","",IF(VLOOKUP(BG45,SectInfo!$B:$N,10,FALSE)="","",(IF(BO45="X",VLOOKUP(BG45,SectInfo!$B:$N,10,FALSE),VALUE(BO45))*-1)))</x:f>
        <x:v/>
      </x:c>
      <x:c r="CZ45" s="1122" t="str">
        <x:f>IF(BG45="","",IF(VLOOKUP(BG45,SectInfo!$B:$N,11,FALSE)="","2",(VLOOKUP(BG45,SectInfo!$B:$N,11,FALSE))))</x:f>
        <x:v/>
      </x:c>
      <x:c r="DA45" s="815" t="str">
        <x:f>IF(BG45="","",IF(VLOOKUP(BG45,SectInfo!$B:$N,7,FALSE)="","",(VLOOKUP(BG45,SectInfo!$B:$N,7,FALSE)*-1)))</x:f>
        <x:v/>
      </x:c>
      <x:c r="DB45" s="815" t="str">
        <x:f>IF(BG45="","",IF(VLOOKUP(BG45,SectInfo!$B:$N,8,FALSE)="",VLOOKUP(AU45,$DF$2:$DN$9,6,FALSE),(VLOOKUP(BG45,SectInfo!$B:$N,8,FALSE))))</x:f>
        <x:v/>
      </x:c>
      <x:c r="DC45" s="815" t="str">
        <x:f>IF(BG45="","",VLOOKUP(BG45,SectInfo!$B:$N,9,FALSE))</x:f>
        <x:v/>
      </x:c>
      <x:c r="DD45" s="816">
        <x:f t="shared" si="46"/>
        <x:v>0</x:v>
      </x:c>
      <x:c r="DE45" s="817" t="str">
        <x:f>IF(BS45="","",VLOOKUP(BS45,SectInfo!$B:$N,12,FALSE))</x:f>
        <x:v/>
      </x:c>
      <x:c r="DF45" s="815" t="str">
        <x:f>IF(BS45="","",IF(ISBLANK(CB45),VLOOKUP(BS45,SectInfo!$B:$N,13,FALSE),CB45))</x:f>
        <x:v/>
      </x:c>
      <x:c r="DG45" s="815" t="str">
        <x:f>IF(BS45="","",IF(VLOOKUP(BS45,SectInfo!$B:$N,5,FALSE)="","R",UPPER(VLOOKUP(BS45,SectInfo!$B:$N,5,FALSE))))</x:f>
        <x:v/>
      </x:c>
      <x:c r="DH45" s="815" t="str">
        <x:f>IF(BS45="","",IF(ISBLANK(CD45),VLOOKUP(BS45,SectInfo!$B:$N,6,FALSE),CD45))</x:f>
        <x:v/>
      </x:c>
      <x:c r="DI45" s="1286" t="str">
        <x:f>IF(BS45="","",IF(VLOOKUP(BS45,SectInfo!$B:$N,10,FALSE)="","",(IF(CA45="X",VLOOKUP(BS45,SectInfo!$B:$N,10,FALSE),VALUE(CA45))*-1)))</x:f>
        <x:v/>
      </x:c>
      <x:c r="DJ45" s="1122" t="str">
        <x:f>IF(BS45="","",IF(VLOOKUP(BS45,SectInfo!$B:$N,11,FALSE)="","2",(VLOOKUP(BS45,SectInfo!$B:$N,11,FALSE))))</x:f>
        <x:v/>
      </x:c>
      <x:c r="DK45" s="815" t="str">
        <x:f>IF(BS45="","",IF(VLOOKUP(BS45,SectInfo!$B:$N,7,FALSE)="","",(VLOOKUP(BS45,SectInfo!$B:$N,7,FALSE)*-1)))</x:f>
        <x:v/>
      </x:c>
      <x:c r="DL45" s="815" t="str">
        <x:f>IF(BS45="","",IF(VLOOKUP(BS45,SectInfo!$B:$N,8,FALSE)="",VLOOKUP(AU45,$DF$2:$DN$9,6,FALSE),(VLOOKUP(BS45,SectInfo!$B:$N,8,FALSE))))</x:f>
        <x:v/>
      </x:c>
      <x:c r="DM45" s="815" t="str">
        <x:f>IF(BS45="","",VLOOKUP(BS45,SectInfo!$B:$N,9,FALSE))</x:f>
        <x:v/>
      </x:c>
      <x:c r="DN45" s="816">
        <x:f t="shared" si="47"/>
        <x:v>0</x:v>
      </x:c>
      <x:c r="DO45" s="818">
        <x:f t="shared" si="48"/>
        <x:v>0</x:v>
      </x:c>
      <x:c r="DP45" s="822" t="str">
        <x:f t="shared" si="49"/>
        <x:v/>
      </x:c>
      <x:c r="DQ45" s="822" t="str">
        <x:f t="shared" si="50"/>
        <x:v/>
      </x:c>
      <x:c r="DR45" s="822" t="str">
        <x:f t="shared" si="51"/>
        <x:v/>
      </x:c>
      <x:c r="DS45" s="821">
        <x:f t="shared" si="52"/>
        <x:v>0</x:v>
      </x:c>
      <x:c r="DT45" s="821">
        <x:f t="shared" si="53"/>
        <x:v>0</x:v>
      </x:c>
      <x:c r="DU45" s="821" t="str">
        <x:f t="shared" si="54"/>
        <x:v/>
      </x:c>
      <x:c r="DV45" s="822" t="str">
        <x:f t="shared" si="55"/>
        <x:v/>
      </x:c>
      <x:c r="DW45" s="856" t="str">
        <x:f t="shared" si="56"/>
        <x:v/>
      </x:c>
      <x:c r="DX45" s="1006">
        <x:f t="shared" si="57"/>
        <x:v>0</x:v>
      </x:c>
      <x:c r="DY45" s="822">
        <x:f t="shared" si="58"/>
        <x:v>0</x:v>
      </x:c>
      <x:c r="DZ45" s="821">
        <x:f t="shared" si="59"/>
        <x:v>0</x:v>
      </x:c>
      <x:c r="EA45" s="821" t="str">
        <x:f t="shared" si="60"/>
        <x:v/>
      </x:c>
      <x:c r="EB45" s="822" t="str">
        <x:f t="shared" si="61"/>
        <x:v/>
      </x:c>
      <x:c r="EC45" s="856" t="str">
        <x:f t="shared" si="62"/>
        <x:v/>
      </x:c>
      <x:c r="ED45" s="1006">
        <x:f t="shared" si="63"/>
        <x:v>0</x:v>
      </x:c>
      <x:c r="EE45" s="1293" t="str">
        <x:f t="shared" si="64"/>
        <x:v/>
      </x:c>
      <x:c r="EF45" s="1293" t="str">
        <x:f t="shared" si="65"/>
        <x:v/>
      </x:c>
      <x:c r="EG45" s="1293" t="str">
        <x:f t="shared" si="66"/>
        <x:v/>
      </x:c>
      <x:c r="EH45" s="856" t="e">
        <x:f t="shared" si="67"/>
        <x:v>#N/A</x:v>
      </x:c>
      <x:c r="EI45" s="856" t="e">
        <x:f t="shared" si="68"/>
        <x:v>#N/A</x:v>
      </x:c>
      <x:c r="EJ45" s="822" t="str">
        <x:f t="shared" si="69"/>
        <x:v/>
      </x:c>
      <x:c r="EK45" s="822" t="str">
        <x:f t="shared" si="69"/>
        <x:v/>
      </x:c>
      <x:c r="EL45" s="1293" t="str">
        <x:f t="shared" si="70"/>
        <x:v/>
      </x:c>
      <x:c r="EM45" s="822" t="str">
        <x:f t="shared" si="71"/>
        <x:v/>
      </x:c>
      <x:c r="EN45" s="822" t="str">
        <x:f t="shared" si="72"/>
        <x:v/>
      </x:c>
      <x:c r="EO45" s="856" t="e">
        <x:f t="shared" si="73"/>
        <x:v>#N/A</x:v>
      </x:c>
      <x:c r="EP45" s="856" t="e">
        <x:f t="shared" si="74"/>
        <x:v>#N/A</x:v>
      </x:c>
      <x:c r="EQ45" s="1293" t="str">
        <x:f t="shared" si="75"/>
        <x:v/>
      </x:c>
      <x:c r="ER45" s="822" t="str">
        <x:f t="shared" si="75"/>
        <x:v/>
      </x:c>
      <x:c r="ES45" s="822" t="str">
        <x:f t="shared" si="76"/>
        <x:v/>
      </x:c>
      <x:c r="ET45" s="822" t="str">
        <x:f t="shared" si="77"/>
        <x:v/>
      </x:c>
      <x:c r="EU45" s="829" t="str">
        <x:f t="shared" si="78"/>
        <x:v/>
      </x:c>
      <x:c r="EV45" s="824" t="str">
        <x:f t="shared" si="79"/>
        <x:v/>
      </x:c>
      <x:c r="EW45" s="829"/>
      <x:c r="EX45" s="829" t="str">
        <x:f>IF(AND(CU45="G", ISBLANK(BK45), ISBLANK(BL45)),VLOOKUP(MIN(BH45:BI45),TblJoistSize!$M$3:$N$10,2),IF(OR(CU45="B",CU45="G"),MIN(BK45:BL45),""))</x:f>
        <x:v/>
      </x:c>
      <x:c r="EY45" s="829" t="str">
        <x:f>IF(AND(CU45="G", ISBLANK(BK45), ISBLANK(BL45)),VLOOKUP(MAX(BH45:BI45),TblJoistSize!$M$3:$N$10,2),IF(OR(CU45="B",CU45="G"),MAX(BK45:BL45),""))</x:f>
        <x:v/>
      </x:c>
      <x:c r="EZ45" s="829" t="str">
        <x:f t="shared" si="80"/>
        <x:v/>
      </x:c>
      <x:c r="FA45" s="829" t="str">
        <x:f>IF(AND(DE45="G", ISBLANK(BW45), ISBLANK(BX45)),VLOOKUP(MIN(BT45:BU45),TblJoistSize!$M$3:$N$10,2),IF(OR(DE45="B", DE45="G"),MIN(BW45:BX45),""))</x:f>
        <x:v/>
      </x:c>
      <x:c r="FB45" s="829" t="str">
        <x:f>IF(AND(DE45="G", ISBLANK(BW45), ISBLANK(BX45)),VLOOKUP(MAX(BT45:BU45),TblJoistSize!$M$3:$N$10,2),IF(OR(DE45="B", DE45="G"),MAX(BW45:BX45),""))</x:f>
        <x:v/>
      </x:c>
      <x:c r="FC45" s="829" t="str">
        <x:f t="shared" si="81"/>
        <x:v/>
      </x:c>
      <x:c r="FD45" s="821">
        <x:f t="shared" si="107"/>
        <x:v>0</x:v>
      </x:c>
      <x:c r="FE45" s="821">
        <x:f t="shared" si="82"/>
        <x:v>0</x:v>
      </x:c>
      <x:c r="FF45" s="821">
        <x:f t="shared" si="83"/>
        <x:v>0</x:v>
      </x:c>
      <x:c r="FG45" s="821" t="str">
        <x:f t="shared" si="84"/>
        <x:v/>
      </x:c>
      <x:c r="FH45" s="822" t="str">
        <x:f t="shared" si="85"/>
        <x:v/>
      </x:c>
      <x:c r="FI45" s="821">
        <x:f t="shared" si="108"/>
        <x:v>0</x:v>
      </x:c>
      <x:c r="FJ45" s="821">
        <x:f t="shared" si="86"/>
        <x:v>0</x:v>
      </x:c>
      <x:c r="FK45" s="821">
        <x:f t="shared" si="87"/>
        <x:v>0</x:v>
      </x:c>
      <x:c r="FL45" s="821" t="str">
        <x:f t="shared" si="88"/>
        <x:v/>
      </x:c>
      <x:c r="FM45" s="822" t="str">
        <x:f t="shared" si="89"/>
        <x:v/>
      </x:c>
      <x:c r="FN45" s="822" t="e">
        <x:f t="shared" si="90"/>
        <x:v>#VALUE!</x:v>
      </x:c>
      <x:c r="FO45" s="940" t="e">
        <x:f t="shared" si="91"/>
        <x:v>#VALUE!</x:v>
      </x:c>
      <x:c r="FP45" s="940" t="e">
        <x:f t="shared" si="92"/>
        <x:v>#VALUE!</x:v>
      </x:c>
      <x:c r="FQ45" s="830" t="e">
        <x:f t="shared" si="93"/>
        <x:v>#VALUE!</x:v>
      </x:c>
      <x:c r="FR45" s="831" t="e">
        <x:f t="shared" si="94"/>
        <x:v>#VALUE!</x:v>
      </x:c>
      <x:c r="FS45" s="832" t="str">
        <x:f t="shared" si="95"/>
        <x:v/>
      </x:c>
      <x:c r="FT45" s="833" t="str">
        <x:f t="shared" si="96"/>
        <x:v/>
      </x:c>
      <x:c r="FU45" s="870">
        <x:f t="shared" si="97"/>
        <x:v>0</x:v>
      </x:c>
      <x:c r="FV45" s="871">
        <x:f t="shared" si="98"/>
        <x:v>0</x:v>
      </x:c>
      <x:c r="GA45" s="1791" t="str">
        <x:f t="shared" si="119"/>
        <x:v/>
      </x:c>
      <x:c r="GB45" s="1792" t="str">
        <x:f t="shared" si="120"/>
        <x:v/>
      </x:c>
      <x:c r="GC45" s="1793" t="str">
        <x:f t="shared" si="121"/>
        <x:v/>
      </x:c>
      <x:c r="GD45" s="1794" t="str">
        <x:f t="shared" si="122"/>
        <x:v/>
      </x:c>
      <x:c r="GE45" s="1795" t="str">
        <x:f t="shared" si="99"/>
        <x:v/>
      </x:c>
      <x:c r="GF45" s="600" t="str">
        <x:f t="shared" si="100"/>
        <x:v/>
      </x:c>
      <x:c r="GG45" s="1132"/>
      <x:c r="GH45" s="1133"/>
      <x:c r="GI45" s="1132"/>
      <x:c r="GJ45" s="1133"/>
      <x:c r="GK45" s="1638">
        <x:f t="shared" si="101"/>
        <x:v>0</x:v>
      </x:c>
      <x:c r="GL45" s="1636" t="e">
        <x:f t="shared" si="102"/>
        <x:v>#VALUE!</x:v>
      </x:c>
      <x:c r="GM45" s="1637" t="e">
        <x:f>IF(ABS(GK45-GL45)&gt;='Job Info.'!$L$22,ABS(GK45-GL45),0)</x:f>
        <x:v>#VALUE!</x:v>
      </x:c>
      <x:c r="HA45" s="1275"/>
      <x:c r="HB45" s="1276"/>
      <x:c r="HC45" s="1276"/>
      <x:c r="HD45" s="1277"/>
      <x:c r="HE45" s="1278"/>
      <x:c r="HF45" s="1276"/>
      <x:c r="HG45" s="1276"/>
      <x:c r="HH45" s="1276"/>
      <x:c r="HI45" s="1279"/>
      <x:c r="HJ45" s="1276"/>
      <x:c r="HK45" s="1276"/>
      <x:c r="HL45" s="1276"/>
      <x:c r="HM45" s="1276"/>
      <x:c r="HN45" s="1276"/>
      <x:c r="HO45" s="1276"/>
      <x:c r="HP45" s="1276"/>
      <x:c r="HQ45" s="1279"/>
      <x:c r="HR45" s="1276"/>
      <x:c r="HS45" s="1276"/>
      <x:c r="HT45" s="1276"/>
      <x:c r="HU45" s="1276"/>
      <x:c r="HV45" s="1276"/>
      <x:c r="HW45" s="1278"/>
      <x:c r="HX45" s="1278"/>
      <x:c r="HY45" s="1278"/>
      <x:c r="HZ45" s="1278"/>
      <x:c r="IA45" s="1278"/>
      <x:c r="IB45" s="1278"/>
      <x:c r="IC45" s="1278"/>
      <x:c r="ID45" s="1278"/>
      <x:c r="IE45" s="1278"/>
      <x:c r="IF45" s="1280"/>
    </x:row>
    <x:row r="46" spans="1:240" ht="15" customHeight="1" thickTop="1" thickBot="1" x14ac:dyDescent="0.25">
      <x:c r="A46" s="1146"/>
      <x:c r="B46" s="1146"/>
      <x:c r="C46" s="1146"/>
      <x:c r="D46" s="1146"/>
      <x:c r="E46" s="1146"/>
      <x:c r="F46" s="1146"/>
      <x:c r="G46" s="1146"/>
      <x:c r="H46" s="1146"/>
      <x:c r="I46" s="1146"/>
      <x:c r="J46" s="1146"/>
      <x:c r="K46" s="1146"/>
      <x:c r="L46" s="1146"/>
      <x:c r="M46" s="1146"/>
      <x:c r="N46" s="1146"/>
      <x:c r="O46" s="1146"/>
      <x:c r="P46" s="1146"/>
      <x:c r="Q46" s="1146"/>
      <x:c r="R46" s="1146"/>
      <x:c r="S46" s="1146"/>
      <x:c r="T46" s="1146"/>
      <x:c r="U46" s="1146"/>
      <x:c r="V46" s="1146"/>
      <x:c r="W46" s="1146"/>
      <x:c r="X46" s="1146"/>
      <x:c r="Y46" s="1146"/>
      <x:c r="Z46" s="1146"/>
      <x:c r="AA46" s="1146"/>
      <x:c r="AD46" s="452">
        <x:f>SUM(AD16:AD45)</x:f>
        <x:v>0</x:v>
      </x:c>
      <x:c r="AE46" s="453">
        <x:f>SUM(AE16:AE45)</x:f>
        <x:v>220</x:v>
      </x:c>
      <x:c r="AF46" s="453">
        <x:f>SUM(AF16:AF45)</x:f>
        <x:v>0</x:v>
      </x:c>
      <x:c r="AG46" s="453">
        <x:f>SUM(AG16:AG45)</x:f>
        <x:v>0</x:v>
      </x:c>
      <x:c r="AH46" s="454">
        <x:f>SUM(AH16:AH45)</x:f>
        <x:v>0</x:v>
      </x:c>
      <x:c r="CF46" s="912"/>
      <x:c r="CG46" s="912"/>
      <x:c r="CN46" s="246"/>
      <x:c r="CO46" s="246"/>
      <x:c r="GA46" s="455"/>
      <x:c r="GB46" s="455"/>
      <x:c r="GC46" s="455"/>
      <x:c r="GD46" s="455"/>
      <x:c r="GE46" s="455"/>
      <x:c r="GF46" s="455"/>
    </x:row>
    <x:row r="47" spans="1:240" ht="15" customHeight="1" thickBot="1" x14ac:dyDescent="0.25">
      <x:c r="A47" s="907" t="s">
        <x:v>720</x:v>
      </x:c>
      <x:c r="AD47" s="906">
        <x:f>SUM(AD46:AH46)</x:f>
        <x:v>220</x:v>
      </x:c>
      <x:c r="AK47" s="456"/>
      <x:c r="AL47" s="457"/>
      <x:c r="AM47" s="457"/>
      <x:c r="AN47" s="457"/>
    </x:row>
    <x:row r="48" spans="1:240" s="563" customFormat="1" ht="15" hidden="1" customHeight="1" x14ac:dyDescent="0.2">
      <x:c r="AA48" s="762"/>
      <x:c r="AI48" s="564"/>
      <x:c r="HD48" s="565"/>
      <x:c r="HE48" s="566"/>
    </x:row>
    <x:row r="49" spans="1:192" ht="15" hidden="1" customHeight="1" x14ac:dyDescent="0.2">
      <x:c r="AJ49" s="245" t="s">
        <x:v>414</x:v>
      </x:c>
      <x:c r="AK49" s="456">
        <x:f>$DA$4</x:f>
        <x:v>0.5625</x:v>
      </x:c>
      <x:c r="AL49" s="457">
        <x:f>$DB$4</x:f>
        <x:v>1.5</x:v>
      </x:c>
      <x:c r="AM49" s="457">
        <x:f>$CX$4</x:f>
        <x:v>4</x:v>
      </x:c>
      <x:c r="AN49" s="457">
        <x:f>$CW$4</x:f>
        <x:v>2.5</x:v>
      </x:c>
    </x:row>
    <x:row r="50" spans="1:192" ht="12" hidden="1" thickBot="1" x14ac:dyDescent="0.25"/>
    <x:row r="51" spans="1:192" ht="12" hidden="1" thickBot="1" x14ac:dyDescent="0.25"/>
    <x:row r="52" spans="1:192" ht="15" hidden="1" customHeight="1" x14ac:dyDescent="0.2">
      <x:c r="AJ52" s="245" t="s">
        <x:v>416</x:v>
      </x:c>
      <x:c r="AK52" s="456">
        <x:f>$DA$5</x:f>
        <x:v>0.5625</x:v>
      </x:c>
      <x:c r="AL52" s="457">
        <x:f>$DB$5</x:f>
        <x:v>1.5</x:v>
      </x:c>
      <x:c r="AM52" s="457">
        <x:f>$CX$5</x:f>
        <x:v>4</x:v>
      </x:c>
      <x:c r="AN52" s="457">
        <x:f>$CW$5</x:f>
        <x:v>2.5</x:v>
      </x:c>
    </x:row>
    <x:row r="53" spans="1:192" ht="15" hidden="1" customHeight="1" x14ac:dyDescent="0.2">
      <x:c r="AJ53" s="245" t="s">
        <x:v>75</x:v>
      </x:c>
      <x:c r="AK53" s="456">
        <x:f>$DA$4</x:f>
        <x:v>0.5625</x:v>
      </x:c>
      <x:c r="AL53" s="457">
        <x:f>$DB$4</x:f>
        <x:v>1.5</x:v>
      </x:c>
      <x:c r="AM53" s="457">
        <x:f>$CX$4</x:f>
        <x:v>4</x:v>
      </x:c>
      <x:c r="AN53" s="457">
        <x:f>$CW$4</x:f>
        <x:v>2.5</x:v>
      </x:c>
    </x:row>
    <x:row r="54" spans="1:192" ht="15" hidden="1" customHeight="1" x14ac:dyDescent="0.2">
      <x:c r="AJ54" s="245" t="s">
        <x:v>114</x:v>
      </x:c>
      <x:c r="AK54" s="456">
        <x:f>$DA$5</x:f>
        <x:v>0.5625</x:v>
      </x:c>
      <x:c r="AL54" s="457">
        <x:f>$DB$5</x:f>
        <x:v>1.5</x:v>
      </x:c>
      <x:c r="AM54" s="457">
        <x:f>$CX$5</x:f>
        <x:v>4</x:v>
      </x:c>
      <x:c r="AN54" s="457">
        <x:f>$CW$5</x:f>
        <x:v>2.5</x:v>
      </x:c>
    </x:row>
    <x:row r="55" spans="1:192" ht="15" hidden="1" customHeight="1" x14ac:dyDescent="0.2"/>
    <x:row r="56" spans="1:192" ht="15" hidden="1" customHeight="1" x14ac:dyDescent="0.2">
      <x:c r="AA56" s="1144"/>
    </x:row>
    <x:row r="57" spans="1:192" ht="15" hidden="1" customHeight="1" x14ac:dyDescent="0.25">
      <x:c r="A57" s="1001" t="str">
        <x:f>IF(BB57="","",UPPER(BB57))</x:f>
        <x:v/>
      </x:c>
      <x:c r="B57" s="1002" t="str">
        <x:f>IF(BC57="","",BC57)</x:f>
        <x:v/>
      </x:c>
      <x:c r="C57" s="1002" t="str">
        <x:f>IF(BD57="","",UPPER(BD57))</x:f>
        <x:v/>
      </x:c>
      <x:c r="D57" s="998" t="str">
        <x:f>IF(DP57="","",TRUNC(DP57/12))</x:f>
        <x:v/>
      </x:c>
      <x:c r="E57" s="1061" t="str">
        <x:f>IF(DP57="","",DP57-(D57*12))</x:f>
        <x:v/>
      </x:c>
      <x:c r="F57" s="1046" t="str">
        <x:f>IF(DX57=0,"",TRUNC(DX57/12))</x:f>
        <x:v/>
      </x:c>
      <x:c r="G57" s="999" t="str">
        <x:f>IF(DX57=0,"",DX57-(F57*12))</x:f>
        <x:v/>
      </x:c>
      <x:c r="H57" s="1003" t="str">
        <x:f>IF(DX57=0,"",CW57)</x:f>
        <x:v/>
      </x:c>
      <x:c r="I57" s="998" t="str">
        <x:f>IF(ED57=0,"",TRUNC(ED57/12))</x:f>
        <x:v/>
      </x:c>
      <x:c r="J57" s="999" t="str">
        <x:f>IF(ED57=0,"",ED57-(I57*12))</x:f>
        <x:v/>
      </x:c>
      <x:c r="K57" s="1064" t="str">
        <x:f>IF(ED57=0,"",DG57)</x:f>
        <x:v/>
      </x:c>
      <x:c r="L57" s="1045">
        <x:f>DQ57</x:f>
        <x:v>0</x:v>
      </x:c>
      <x:c r="M57" s="1047">
        <x:f>DR57</x:f>
        <x:v>0</x:v>
      </x:c>
      <x:c r="N57" s="1000" t="str">
        <x:f>IF(ES57="","",IF(AND(ES57&lt;0,ES57&gt;-12),TRUNC(ES57/12)-0.0000001,TRUNC(ES57/12)))</x:f>
        <x:v/>
      </x:c>
      <x:c r="O57" s="999" t="str">
        <x:f>IF(ES57="","",IF(AND(ES57-(N57*12)=0,ES57&lt;0),-0.000001,ES57-(N57*12)))</x:f>
        <x:v/>
      </x:c>
      <x:c r="P57" s="997" t="str">
        <x:f>IF(ES57="","",IF(OR(CW57="Q",CW57="C"),3,CZ57))</x:f>
        <x:v/>
      </x:c>
      <x:c r="Q57" s="998" t="str">
        <x:f>IF(ET57="","",IF(AND(ET57&lt;0,ET57&gt;-12),TRUNC(ET57/12)-0.0000001,TRUNC(ET57/12)))</x:f>
        <x:v/>
      </x:c>
      <x:c r="R57" s="999" t="str">
        <x:f>IF(ET57="","",IF(AND(ET57-(Q57*12)=0,ET57&lt;0),-0.000001,ET57-(Q57*12)))</x:f>
        <x:v/>
      </x:c>
      <x:c r="S57" s="1067" t="str">
        <x:f>IF(ET57="","",IF(OR(DG57="Q",DG57="C"),3,DJ57))</x:f>
        <x:v/>
      </x:c>
      <x:c r="T57" s="1046"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47">
        <x:f>IF(EV57="",0,EV57)</x:f>
        <x:v>0</x:v>
      </x:c>
      <x:c r="Y57" s="1069">
        <x:f>FG57</x:f>
        <x:v>0</x:v>
      </x:c>
      <x:c r="Z57" s="1070">
        <x:f>FL57</x:f>
        <x:v>0</x:v>
      </x:c>
      <x:c r="AA57" s="1068" t="str">
        <x:f>CONCATENATE(IF(BY57="","",CONCATENATE("[",SUBSTITUTE(BY57," ",""),"]")),IF(BX57="","",CONCATENATE("(",SUBSTITUTE(BX57," ",""),") ")))</x:f>
        <x:v/>
      </x:c>
      <x:c r="AH57" s="256" t="s">
        <x:v>1130</x:v>
      </x:c>
      <x:c r="AI57" s="444" t="b">
        <x:v>0</x:v>
      </x:c>
      <x:c r="AJ57" s="238">
        <x:f>IF(OR(ISERROR(VALUE(LEFT(C57,SEARCH(AK57,C57)-1))),AK57=""),0,VALUE(LEFT(C57,SEARCH(AK57,C57)-1)))</x:f>
        <x:v>0</x:v>
      </x:c>
      <x:c r="AK57" s="830" t="str">
        <x:f>IF(AV57="",AW57,AV57)</x:f>
        <x:v/>
      </x:c>
      <x:c r="AL57" s="830" t="str">
        <x:f>IF(AK57="","",IF(ISERROR(SEARCH("/",C57)),IF(VALUE(MID(C57,SEARCH(AK57,C57)+LEN(AK57),LEN(C57)))&gt;25,"",VALUE(MID(C57,SEARCH(AK57,C57)+LEN(AK57),LEN(C57)))),""))</x:f>
        <x:v/>
      </x:c>
      <x:c r="AM57" s="830" t="str">
        <x:f>IF(AK57="","",IF(ISERROR(SEARCH("/",C57)),IF(VALUE(MID(C57,SEARCH(AK57,C57)+LEN(AK57),LEN(C57)))&lt;26,"",VALUE(MID(C57,SEARCH(AK57,C57)+LEN(AK57),LEN(C57)))),VALUE(MID(C57,SEARCH(AK57,C57)+LEN(AK57),SEARCH("/",C57)-SEARCH(AK57,C57)-LEN(AK57)))))</x:f>
        <x:v/>
      </x:c>
      <x:c r="AN57" s="830" t="str">
        <x:f>IF(AK57="","",IF(AK57="CJ",MID(MID(C57,SEARCH("/",C57)+1,LEN(C57)),1,SEARCH("/",MID(C57,SEARCH("/",C57)+1,LEN(C57)))-1),IF(ISERROR(SEARCH("/",C57)),"",VALUE(MID(C57,SEARCH("/",C57)+1,LEN(C57))))))</x:f>
        <x:v/>
      </x:c>
      <x:c r="AO57" s="830" t="str">
        <x:f>IF(AK57="CJ",VALUE(MID(MID(C57,SEARCH("/",C57)+1,LEN(C57)),SEARCH("/",MID(C57,SEARCH("/",C57)+1,LEN(C57)))+1,LEN(MID(C57,SEARCH("/",C57)+1,LEN(C57))))),"")</x:f>
        <x:v/>
      </x:c>
      <x:c r="AP57" s="830" t="b">
        <x:f>IF(ISERROR(AJ57),FALSE,IF(OR(AJ57=0,ISERROR(AL57),ISERROR(AM57),ISERROR(AN57),ISERROR(AO57)),FALSE,IF(AL57&lt;&gt;"",IF(ISERROR(VLOOKUP(SUBSTITUTE(SUBSTITUTE(C57,"R",""),"A",""),TblJoistSize!$A:$A,1,FALSE)),FALSE,TRUE),TRUE)))</x:f>
        <x:v>0</x:v>
      </x:c>
      <x:c r="AQ57" s="1038" t="e">
        <x:f>VLOOKUP(AK57,$DF$2:$DN$9,4,FALSE)+IF(LEFT(H57,1)="R",IF(ISNUMBER(F57),F57*12,0)+IF(ISNUMBER(G57),G57,0),0)</x:f>
        <x:v>#N/A</x:v>
      </x:c>
      <x:c r="AR57" s="1038" t="b">
        <x:f>IF(IF(ISNUMBER(T57),T57*12,0)+IF(ISNUMBER(U57),U57,0)&gt;0,IF(AND((IF(ISNUMBER(T57),T57*12,0)+IF(ISNUMBER(U57),U57,0))&gt;=1,(IF(ISNUMBER(T57),T57*12,0)+IF(ISNUMBER(U57),U57,0))&lt;=(AQ57-1)+IF(H57="X",2,0)),TRUE,FALSE),FALSE)</x:f>
        <x:v>0</x:v>
      </x:c>
      <x:c r="AS57" s="1038" t="e">
        <x:f>VLOOKUP(AK57,$DF$2:$DN$9,4,FALSE)+IF(LEFT(K57,1)="R",(IF(ISNUMBER(I57),I57*12,0)+IF(ISNUMBER(J57),J57,0)),0)</x:f>
        <x:v>#N/A</x:v>
      </x:c>
      <x:c r="AT57" s="1038" t="b">
        <x:f>IF(IF(ISNUMBER(V57),V57*12,0)+IF(ISNUMBER(W57),W57,0)&gt;0,IF(AND((IF(ISNUMBER(V57),V57*12,0)+IF(ISNUMBER(W57),W57,0))&gt;=1,(IF(ISNUMBER(V57),V57*12,0)+IF(ISNUMBER(W57),W57,0))&lt;=(AS57-1)+IF(K57="X",2,0)),TRUE,FALSE),FALSE)</x:f>
        <x:v>0</x:v>
      </x:c>
      <x:c r="AU57" s="830" t="str">
        <x:f>IF(ISERROR(AJ57),IF(AK57&lt;&gt;"HDR","",AK57),IF(AND(AJ57=2.5,AK57="K"),"JS",IF(OR(AK57="KCSR",AK57="KCSA",AK57="KCS"),"KCS",IF(OR(AK57="KR",AK57="KA",AK57="K"),"K",IF(AND(AK57="LH",AL57&lt;7),"LH&lt;7",AK57)))))</x:f>
        <x:v/>
      </x:c>
      <x:c r="AV57" s="830" t="str">
        <x:f>IF(NOT(ISERROR(SEARCH("KCSR",C57))),"KCSR",IF(NOT(ISERROR(SEARCH("KCSA",C57))),"KCSA",IF(NOT(ISERROR(SEARCH("KCS",C57))),"KCS",IF(NOT(ISERROR(SEARCH("KR",C57))),"KR",IF(NOT(ISERROR(SEARCH("KA",C57))),"KA",IF(NOT(ISERROR(SEARCH("K",C57))),"K",IF(NOT(ISERROR(SEARCH("CJ",C57))),"CJ","")))))))</x:f>
        <x:v/>
      </x:c>
      <x:c r="AW57" s="830" t="str">
        <x:f>IF(NOT(ISERROR(SEARCH("HDR",C57))),"HDR",IF(NOT(ISERROR(SEARCH("JS",C57))),"JS",IF(NOT(ISERROR(SEARCH("SLH",C57))),"SLH",IF(NOT(ISERROR(SEARCH("DLH",C57))),"DLH",IF(NOT(ISERROR(SEARCH("LH",C57))),"LH","")))))</x:f>
        <x:v/>
      </x:c>
      <x:c r="AX57" s="830" t="str">
        <x:f>IF(AND(OR(ISBLANK(A57),A57=""),AA57&lt;&gt;""),AX56,IF(OR(ISBLANK(A57),A57=""),"",A57))</x:f>
        <x:v/>
      </x:c>
      <x:c r="AY57" s="1039" t="b">
        <x:f>IF($AE$1,IF(AX57=AX56,AY56,IF(AND(AX57&lt;&gt;"",OR(B57=0,B57="")),TRUE,FALSE)),FALSE)</x:f>
        <x:v>0</x:v>
      </x:c>
      <x:c r="AZ57" s="822" t="str">
        <x:f>IF(AP57,((IF(D57="",0,D57)*12+IF(E57="",0,E57))-(IF(F57="",0,F57)*12+IF(G57="",0,G57))-(IF(I57="",0,I57)*12+IF(J57="",0,J57)))&gt;AJ57*24,"")</x:f>
        <x:v/>
      </x:c>
      <x:c r="CP57" s="2323"/>
      <x:c r="CQ57" s="2324"/>
      <x:c r="CR57" s="114"/>
      <x:c r="CS57" s="115"/>
      <x:c r="CT57" s="115"/>
      <x:c r="CU57" s="115"/>
      <x:c r="CV57" s="115"/>
      <x:c r="CW57" s="118"/>
      <x:c r="CX57" s="115"/>
      <x:c r="CY57" s="115"/>
      <x:c r="CZ57" s="115"/>
      <x:c r="DA57" s="107"/>
      <x:c r="DB57" s="114"/>
      <x:c r="DC57" s="115"/>
      <x:c r="DD57" s="115"/>
      <x:c r="DE57" s="115"/>
      <x:c r="DF57" s="115"/>
      <x:c r="DG57" s="118"/>
      <x:c r="DH57" s="115"/>
      <x:c r="DI57" s="115"/>
      <x:c r="DJ57" s="115"/>
      <x:c r="DK57" s="107"/>
      <x:c r="DL57" s="116"/>
      <x:c r="DM57" s="125"/>
      <x:c r="DN57" s="109"/>
      <x:c r="DO57" s="108"/>
      <x:c r="DP57" s="109"/>
      <x:c r="DQ57" s="109"/>
      <x:c r="DR57" s="110"/>
      <x:c r="DS57" s="110"/>
      <x:c r="DT57" s="110"/>
      <x:c r="DU57" s="109"/>
      <x:c r="DV57" s="109"/>
      <x:c r="DW57" s="111"/>
      <x:c r="DX57" s="109"/>
      <x:c r="DY57" s="110"/>
      <x:c r="DZ57" s="110"/>
      <x:c r="EA57" s="109"/>
      <x:c r="EB57" s="109"/>
      <x:c r="EC57" s="111"/>
      <x:c r="ED57" s="109"/>
      <x:c r="EE57" s="109"/>
      <x:c r="EF57" s="109"/>
      <x:c r="EG57" s="109"/>
      <x:c r="EH57" s="109"/>
      <x:c r="EI57" s="109"/>
      <x:c r="EJ57" s="109"/>
      <x:c r="EK57" s="109"/>
      <x:c r="EL57" s="109"/>
      <x:c r="EM57" s="109"/>
      <x:c r="EN57" s="109"/>
      <x:c r="EO57" s="109"/>
      <x:c r="EP57" s="109"/>
      <x:c r="EQ57" s="109"/>
      <x:c r="ER57" s="109"/>
      <x:c r="ES57" s="109"/>
      <x:c r="ET57" s="109"/>
      <x:c r="EU57" s="112"/>
      <x:c r="EV57" s="113"/>
      <x:c r="EW57" s="112"/>
      <x:c r="EX57" s="112"/>
      <x:c r="EY57" s="112"/>
      <x:c r="EZ57" s="112"/>
      <x:c r="FA57" s="112"/>
      <x:c r="FB57" s="112"/>
      <x:c r="FC57" s="112"/>
      <x:c r="FD57" s="110"/>
      <x:c r="FE57" s="110"/>
      <x:c r="FF57" s="110"/>
      <x:c r="FG57" s="110"/>
      <x:c r="FH57" s="109"/>
      <x:c r="FI57" s="110"/>
      <x:c r="FJ57" s="110"/>
      <x:c r="FK57" s="110"/>
      <x:c r="FL57" s="110"/>
      <x:c r="FM57" s="109"/>
      <x:c r="FN57" s="109"/>
      <x:c r="FO57" s="134"/>
      <x:c r="FP57" s="134"/>
      <x:c r="FQ57" s="238"/>
      <x:c r="FR57" s="449"/>
      <x:c r="FS57" s="450"/>
      <x:c r="FT57" s="451"/>
      <x:c r="GA57" s="599" t="str">
        <x:f t="shared" ref="GA57" si="123">IF(GF57="","",BE57)</x:f>
        <x:v/>
      </x:c>
      <x:c r="GB57" s="619" t="str">
        <x:f t="shared" ref="GB57" si="124">IF(GF57="","",BF57)</x:f>
        <x:v/>
      </x:c>
      <x:c r="GC57" s="621" t="str">
        <x:f t="shared" ref="GC57" si="125">IF(GF57="","",IF(CV57="",0,CV57))</x:f>
        <x:v/>
      </x:c>
      <x:c r="GD57" s="622" t="str">
        <x:f t="shared" ref="GD57" si="126">IF(GF57="","",IF(DF57="",0,DF57))</x:f>
        <x:v/>
      </x:c>
      <x:c r="GE57" s="620" t="str">
        <x:f>IF(GF57="","",IF(ISBLANK(BW57),IF(Y57=Z57,0,MAX(ABS(Y57),ABS(Z57))*IF(Y57&lt;0,-1,1)),BW57))</x:f>
        <x:v/>
      </x:c>
      <x:c r="GF57" s="600" t="str">
        <x:f>IF(A57=0,"",A57)</x:f>
        <x:v/>
      </x:c>
      <x:c r="GG57" s="1130"/>
      <x:c r="GH57" s="1131"/>
      <x:c r="GI57" s="1130"/>
      <x:c r="GJ57" s="1131"/>
    </x:row>
    <x:row r="58" spans="1:192" ht="15" hidden="1" customHeight="1" x14ac:dyDescent="0.2">
      <x:c r="AA58" s="1145"/>
    </x:row>
    <x:row r="59" spans="1:192" ht="15" hidden="1" customHeight="1" x14ac:dyDescent="0.2"/>
    <x:row r="60" spans="1:192" ht="15" hidden="1" customHeight="1" x14ac:dyDescent="0.2">
      <x:c r="A60" s="892" t="s">
        <x:v>1175</x:v>
      </x:c>
    </x:row>
    <x:row r="61" spans="1:192" ht="15" hidden="1" customHeight="1" x14ac:dyDescent="0.2">
      <x:c r="A61" s="894" t="s">
        <x:v>1660</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907" t="s">
        <x:v>721</x:v>
      </x:c>
      <x:c r="EL71" s="2326" t="s">
        <x:v>524</x:v>
      </x:c>
      <x:c r="EM71" s="2327"/>
      <x:c r="EN71" s="2327"/>
      <x:c r="EO71" s="2328"/>
    </x:row>
    <x:row r="72" spans="1:145" ht="15" customHeight="1" thickBot="1" x14ac:dyDescent="0.25">
      <x:c r="EL72" s="2479" t="s">
        <x:v>535</x:v>
      </x:c>
      <x:c r="EM72" s="2482" t="s">
        <x:v>536</x:v>
      </x:c>
      <x:c r="EN72" s="2482" t="s">
        <x:v>537</x:v>
      </x:c>
      <x:c r="EO72" s="2485" t="s">
        <x:v>538</x:v>
      </x:c>
    </x:row>
    <x:row r="73" spans="1:145" ht="15" customHeight="1" thickBot="1" x14ac:dyDescent="0.25">
      <x:c r="EJ73" s="2486" t="s">
        <x:v>542</x:v>
      </x:c>
      <x:c r="EL73" s="2480"/>
      <x:c r="EM73" s="2483"/>
      <x:c r="EN73" s="2483"/>
      <x:c r="EO73" s="2387"/>
    </x:row>
    <x:row r="74" spans="1:145" ht="15" customHeight="1" thickBot="1" x14ac:dyDescent="0.25">
      <x:c r="EJ74" s="2487"/>
      <x:c r="EL74" s="2481"/>
      <x:c r="EM74" s="2484"/>
      <x:c r="EN74" s="2484"/>
      <x:c r="EO74" s="2388"/>
    </x:row>
    <x:row r="75" spans="1:145" ht="15" customHeight="1" thickTop="1" x14ac:dyDescent="0.2">
      <x:c r="EJ75" s="507">
        <x:f t="shared" ref="EJ75:EJ104" si="127">IF(AU16="","",IF(OR(AU16="K",AU16="KCS"),(BE16*12+BF16+IF(CU16="M",MAX(CV16,$CX$4),0)+IF(DE16="M",MAX(DF16,$CX$4),0))/12,IF(OR(AU16="LH",AU16="DLH"),(BE16*12+BF16+8-MAX(MAX(BH16,BI16)/2,DC16)-MAX(MAX(BT16,BU16)/2,DM16))/12,IF(OR(AU16="JS",AU16="HDR"),""))))</x:f>
        <x:v>0.66666666666666663</x:v>
      </x:c>
      <x:c r="EL75" s="445"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446" t="str">
        <x:f t="shared" ref="EM75:EM104" si="128">IF(BD16="","",IF(EL75="-","-",IF(EO75="No",0,IF(AZ16/12&lt;60,1,IF(AZ16/12&lt;100,2,EL75)))))</x:f>
        <x:v/>
      </x:c>
      <x:c r="EN75" s="447" t="str">
        <x:f>IF(BD16="","",IF(ISERROR(VLOOKUP(BD16,TblJoistSize!$A$1:$G$274,2,FALSE)),"-",VLOOKUP(BD16,TblJoistSize!$A$1:$G$274,2,FALSE)))</x:f>
        <x:v/>
      </x:c>
      <x:c r="EO75" s="448" t="str">
        <x:f t="shared" ref="EO75:EO104" si="129">IF(BD16="","",IF(EN75="-","-",IF(EN75="NM","No",IF(EN75&lt;=AZ16/12,"Yes","No"))))</x:f>
        <x:v/>
      </x:c>
    </x:row>
    <x:row r="76" spans="1:145" ht="15" customHeight="1" x14ac:dyDescent="0.2">
      <x:c r="EJ76" s="507">
        <x:f t="shared" si="127"/>
        <x:v>0.66666666666666663</x:v>
      </x:c>
      <x:c r="EL76" s="445"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446" t="str">
        <x:f t="shared" si="128"/>
        <x:v/>
      </x:c>
      <x:c r="EN76" s="447" t="str">
        <x:f>IF(BD17="","",IF(ISERROR(VLOOKUP(BD17,TblJoistSize!$A$1:$G$274,2,FALSE)),"-",VLOOKUP(BD17,TblJoistSize!$A$1:$G$274,2,FALSE)))</x:f>
        <x:v/>
      </x:c>
      <x:c r="EO76" s="448" t="str">
        <x:f t="shared" si="129"/>
        <x:v/>
      </x:c>
    </x:row>
    <x:row r="77" spans="1:145" ht="15" customHeight="1" x14ac:dyDescent="0.2">
      <x:c r="EJ77" s="507">
        <x:f t="shared" si="127"/>
        <x:v>0.66666666666666663</x:v>
      </x:c>
      <x:c r="EL77" s="445"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446" t="str">
        <x:f t="shared" si="128"/>
        <x:v/>
      </x:c>
      <x:c r="EN77" s="447" t="str">
        <x:f>IF(BD18="","",IF(ISERROR(VLOOKUP(BD18,TblJoistSize!$A$1:$G$274,2,FALSE)),"-",VLOOKUP(BD18,TblJoistSize!$A$1:$G$274,2,FALSE)))</x:f>
        <x:v/>
      </x:c>
      <x:c r="EO77" s="448" t="str">
        <x:f t="shared" si="129"/>
        <x:v/>
      </x:c>
    </x:row>
    <x:row r="78" spans="1:145" ht="15" customHeight="1" x14ac:dyDescent="0.2">
      <x:c r="EJ78" s="507">
        <x:f t="shared" si="127"/>
        <x:v>0.66666666666666663</x:v>
      </x:c>
      <x:c r="EL78" s="445"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446" t="str">
        <x:f t="shared" si="128"/>
        <x:v/>
      </x:c>
      <x:c r="EN78" s="447" t="str">
        <x:f>IF(BD19="","",IF(ISERROR(VLOOKUP(BD19,TblJoistSize!$A$1:$G$274,2,FALSE)),"-",VLOOKUP(BD19,TblJoistSize!$A$1:$G$274,2,FALSE)))</x:f>
        <x:v/>
      </x:c>
      <x:c r="EO78" s="448" t="str">
        <x:f t="shared" si="129"/>
        <x:v/>
      </x:c>
    </x:row>
    <x:row r="79" spans="1:145" ht="15" customHeight="1" x14ac:dyDescent="0.2">
      <x:c r="EJ79" s="507">
        <x:f t="shared" si="127"/>
        <x:v>0.66666666666666663</x:v>
      </x:c>
      <x:c r="EL79" s="445"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446" t="str">
        <x:f t="shared" si="128"/>
        <x:v/>
      </x:c>
      <x:c r="EN79" s="447" t="str">
        <x:f>IF(BD20="","",IF(ISERROR(VLOOKUP(BD20,TblJoistSize!$A$1:$G$274,2,FALSE)),"-",VLOOKUP(BD20,TblJoistSize!$A$1:$G$274,2,FALSE)))</x:f>
        <x:v/>
      </x:c>
      <x:c r="EO79" s="448" t="str">
        <x:f t="shared" si="129"/>
        <x:v/>
      </x:c>
    </x:row>
    <x:row r="80" spans="1:145" ht="15" customHeight="1" x14ac:dyDescent="0.2">
      <x:c r="EJ80" s="507">
        <x:f t="shared" si="127"/>
        <x:v>0.66666666666666663</x:v>
      </x:c>
      <x:c r="EL80" s="445"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446" t="str">
        <x:f t="shared" si="128"/>
        <x:v/>
      </x:c>
      <x:c r="EN80" s="447" t="str">
        <x:f>IF(BD21="","",IF(ISERROR(VLOOKUP(BD21,TblJoistSize!$A$1:$G$274,2,FALSE)),"-",VLOOKUP(BD21,TblJoistSize!$A$1:$G$274,2,FALSE)))</x:f>
        <x:v/>
      </x:c>
      <x:c r="EO80" s="448" t="str">
        <x:f t="shared" si="129"/>
        <x:v/>
      </x:c>
    </x:row>
    <x:row r="81" spans="140:145" ht="15" customHeight="1" x14ac:dyDescent="0.2">
      <x:c r="EJ81" s="507">
        <x:f t="shared" si="127"/>
        <x:v>0.66666666666666663</x:v>
      </x:c>
      <x:c r="EL81" s="445"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446" t="str">
        <x:f t="shared" si="128"/>
        <x:v/>
      </x:c>
      <x:c r="EN81" s="447" t="str">
        <x:f>IF(BD22="","",IF(ISERROR(VLOOKUP(BD22,TblJoistSize!$A$1:$G$274,2,FALSE)),"-",VLOOKUP(BD22,TblJoistSize!$A$1:$G$274,2,FALSE)))</x:f>
        <x:v/>
      </x:c>
      <x:c r="EO81" s="448" t="str">
        <x:f t="shared" si="129"/>
        <x:v/>
      </x:c>
    </x:row>
    <x:row r="82" spans="140:145" ht="15" customHeight="1" x14ac:dyDescent="0.2">
      <x:c r="EJ82" s="507">
        <x:f t="shared" si="127"/>
        <x:v>0.66666666666666663</x:v>
      </x:c>
      <x:c r="EL82" s="445"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446" t="str">
        <x:f t="shared" si="128"/>
        <x:v/>
      </x:c>
      <x:c r="EN82" s="447" t="str">
        <x:f>IF(BD23="","",IF(ISERROR(VLOOKUP(BD23,TblJoistSize!$A$1:$G$274,2,FALSE)),"-",VLOOKUP(BD23,TblJoistSize!$A$1:$G$274,2,FALSE)))</x:f>
        <x:v/>
      </x:c>
      <x:c r="EO82" s="448" t="str">
        <x:f t="shared" si="129"/>
        <x:v/>
      </x:c>
    </x:row>
    <x:row r="83" spans="140:145" ht="15" customHeight="1" x14ac:dyDescent="0.2">
      <x:c r="EJ83" s="507">
        <x:f t="shared" si="127"/>
        <x:v>0.66666666666666663</x:v>
      </x:c>
      <x:c r="EL83" s="445"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446" t="str">
        <x:f t="shared" si="128"/>
        <x:v/>
      </x:c>
      <x:c r="EN83" s="447" t="str">
        <x:f>IF(BD24="","",IF(ISERROR(VLOOKUP(BD24,TblJoistSize!$A$1:$G$274,2,FALSE)),"-",VLOOKUP(BD24,TblJoistSize!$A$1:$G$274,2,FALSE)))</x:f>
        <x:v/>
      </x:c>
      <x:c r="EO83" s="448" t="str">
        <x:f t="shared" si="129"/>
        <x:v/>
      </x:c>
    </x:row>
    <x:row r="84" spans="140:145" ht="15" customHeight="1" x14ac:dyDescent="0.2">
      <x:c r="EJ84" s="507">
        <x:f t="shared" si="127"/>
        <x:v>0.66666666666666663</x:v>
      </x:c>
      <x:c r="EL84" s="445"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446" t="str">
        <x:f t="shared" si="128"/>
        <x:v/>
      </x:c>
      <x:c r="EN84" s="447" t="str">
        <x:f>IF(BD25="","",IF(ISERROR(VLOOKUP(BD25,TblJoistSize!$A$1:$G$274,2,FALSE)),"-",VLOOKUP(BD25,TblJoistSize!$A$1:$G$274,2,FALSE)))</x:f>
        <x:v/>
      </x:c>
      <x:c r="EO84" s="448" t="str">
        <x:f t="shared" si="129"/>
        <x:v/>
      </x:c>
    </x:row>
    <x:row r="85" spans="140:145" ht="15" customHeight="1" x14ac:dyDescent="0.2">
      <x:c r="EJ85" s="507">
        <x:f t="shared" si="127"/>
        <x:v>0.66666666666666663</x:v>
      </x:c>
      <x:c r="EL85" s="445"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446" t="str">
        <x:f t="shared" si="128"/>
        <x:v/>
      </x:c>
      <x:c r="EN85" s="447" t="str">
        <x:f>IF(BD26="","",IF(ISERROR(VLOOKUP(BD26,TblJoistSize!$A$1:$G$274,2,FALSE)),"-",VLOOKUP(BD26,TblJoistSize!$A$1:$G$274,2,FALSE)))</x:f>
        <x:v/>
      </x:c>
      <x:c r="EO85" s="448" t="str">
        <x:f t="shared" si="129"/>
        <x:v/>
      </x:c>
    </x:row>
    <x:row r="86" spans="140:145" ht="15" customHeight="1" x14ac:dyDescent="0.2">
      <x:c r="EJ86" s="507">
        <x:f t="shared" si="127"/>
        <x:v>0.66666666666666663</x:v>
      </x:c>
      <x:c r="EL86" s="445"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446" t="str">
        <x:f t="shared" si="128"/>
        <x:v/>
      </x:c>
      <x:c r="EN86" s="447" t="str">
        <x:f>IF(BD27="","",IF(ISERROR(VLOOKUP(BD27,TblJoistSize!$A$1:$G$274,2,FALSE)),"-",VLOOKUP(BD27,TblJoistSize!$A$1:$G$274,2,FALSE)))</x:f>
        <x:v/>
      </x:c>
      <x:c r="EO86" s="448" t="str">
        <x:f t="shared" si="129"/>
        <x:v/>
      </x:c>
    </x:row>
    <x:row r="87" spans="140:145" ht="15" customHeight="1" x14ac:dyDescent="0.2">
      <x:c r="EJ87" s="507">
        <x:f t="shared" si="127"/>
        <x:v>0.66666666666666663</x:v>
      </x:c>
      <x:c r="EL87" s="445"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446" t="str">
        <x:f t="shared" si="128"/>
        <x:v/>
      </x:c>
      <x:c r="EN87" s="447" t="str">
        <x:f>IF(BD28="","",IF(ISERROR(VLOOKUP(BD28,TblJoistSize!$A$1:$G$274,2,FALSE)),"-",VLOOKUP(BD28,TblJoistSize!$A$1:$G$274,2,FALSE)))</x:f>
        <x:v/>
      </x:c>
      <x:c r="EO87" s="448" t="str">
        <x:f t="shared" si="129"/>
        <x:v/>
      </x:c>
    </x:row>
    <x:row r="88" spans="140:145" ht="15" customHeight="1" x14ac:dyDescent="0.2">
      <x:c r="EJ88" s="507">
        <x:f t="shared" si="127"/>
        <x:v>0.66666666666666663</x:v>
      </x:c>
      <x:c r="EL88" s="445"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446" t="str">
        <x:f t="shared" si="128"/>
        <x:v/>
      </x:c>
      <x:c r="EN88" s="447" t="str">
        <x:f>IF(BD29="","",IF(ISERROR(VLOOKUP(BD29,TblJoistSize!$A$1:$G$274,2,FALSE)),"-",VLOOKUP(BD29,TblJoistSize!$A$1:$G$274,2,FALSE)))</x:f>
        <x:v/>
      </x:c>
      <x:c r="EO88" s="448" t="str">
        <x:f t="shared" si="129"/>
        <x:v/>
      </x:c>
    </x:row>
    <x:row r="89" spans="140:145" ht="15" customHeight="1" x14ac:dyDescent="0.2">
      <x:c r="EJ89" s="507">
        <x:f t="shared" si="127"/>
        <x:v>0.66666666666666663</x:v>
      </x:c>
      <x:c r="EL89" s="445"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446" t="str">
        <x:f t="shared" si="128"/>
        <x:v/>
      </x:c>
      <x:c r="EN89" s="447" t="str">
        <x:f>IF(BD30="","",IF(ISERROR(VLOOKUP(BD30,TblJoistSize!$A$1:$G$274,2,FALSE)),"-",VLOOKUP(BD30,TblJoistSize!$A$1:$G$274,2,FALSE)))</x:f>
        <x:v/>
      </x:c>
      <x:c r="EO89" s="448" t="str">
        <x:f t="shared" si="129"/>
        <x:v/>
      </x:c>
    </x:row>
    <x:row r="90" spans="140:145" ht="15" customHeight="1" x14ac:dyDescent="0.2">
      <x:c r="EJ90" s="507">
        <x:f t="shared" si="127"/>
        <x:v>0.66666666666666663</x:v>
      </x:c>
      <x:c r="EL90" s="445"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446" t="str">
        <x:f t="shared" si="128"/>
        <x:v/>
      </x:c>
      <x:c r="EN90" s="447" t="str">
        <x:f>IF(BD31="","",IF(ISERROR(VLOOKUP(BD31,TblJoistSize!$A$1:$G$274,2,FALSE)),"-",VLOOKUP(BD31,TblJoistSize!$A$1:$G$274,2,FALSE)))</x:f>
        <x:v/>
      </x:c>
      <x:c r="EO90" s="448" t="str">
        <x:f t="shared" si="129"/>
        <x:v/>
      </x:c>
    </x:row>
    <x:row r="91" spans="140:145" ht="15" customHeight="1" x14ac:dyDescent="0.2">
      <x:c r="EJ91" s="507">
        <x:f t="shared" si="127"/>
        <x:v>0.66666666666666663</x:v>
      </x:c>
      <x:c r="EL91" s="445"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446" t="str">
        <x:f t="shared" si="128"/>
        <x:v/>
      </x:c>
      <x:c r="EN91" s="447" t="str">
        <x:f>IF(BD32="","",IF(ISERROR(VLOOKUP(BD32,TblJoistSize!$A$1:$G$274,2,FALSE)),"-",VLOOKUP(BD32,TblJoistSize!$A$1:$G$274,2,FALSE)))</x:f>
        <x:v/>
      </x:c>
      <x:c r="EO91" s="448" t="str">
        <x:f t="shared" si="129"/>
        <x:v/>
      </x:c>
    </x:row>
    <x:row r="92" spans="140:145" ht="15" customHeight="1" x14ac:dyDescent="0.2">
      <x:c r="EJ92" s="507">
        <x:f t="shared" si="127"/>
        <x:v>0.66666666666666663</x:v>
      </x:c>
      <x:c r="EL92" s="445"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446" t="str">
        <x:f t="shared" si="128"/>
        <x:v/>
      </x:c>
      <x:c r="EN92" s="447" t="str">
        <x:f>IF(BD33="","",IF(ISERROR(VLOOKUP(BD33,TblJoistSize!$A$1:$G$274,2,FALSE)),"-",VLOOKUP(BD33,TblJoistSize!$A$1:$G$274,2,FALSE)))</x:f>
        <x:v/>
      </x:c>
      <x:c r="EO92" s="448" t="str">
        <x:f t="shared" si="129"/>
        <x:v/>
      </x:c>
    </x:row>
    <x:row r="93" spans="140:145" ht="15" customHeight="1" x14ac:dyDescent="0.2">
      <x:c r="EJ93" s="507">
        <x:f t="shared" si="127"/>
        <x:v>0.66666666666666663</x:v>
      </x:c>
      <x:c r="EL93" s="445"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446" t="str">
        <x:f t="shared" si="128"/>
        <x:v/>
      </x:c>
      <x:c r="EN93" s="447" t="str">
        <x:f>IF(BD34="","",IF(ISERROR(VLOOKUP(BD34,TblJoistSize!$A$1:$G$274,2,FALSE)),"-",VLOOKUP(BD34,TblJoistSize!$A$1:$G$274,2,FALSE)))</x:f>
        <x:v/>
      </x:c>
      <x:c r="EO93" s="448" t="str">
        <x:f t="shared" si="129"/>
        <x:v/>
      </x:c>
    </x:row>
    <x:row r="94" spans="140:145" ht="15" customHeight="1" x14ac:dyDescent="0.2">
      <x:c r="EJ94" s="507">
        <x:f t="shared" si="127"/>
        <x:v>0.66666666666666663</x:v>
      </x:c>
      <x:c r="EL94" s="445"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446" t="str">
        <x:f t="shared" si="128"/>
        <x:v/>
      </x:c>
      <x:c r="EN94" s="447" t="str">
        <x:f>IF(BD35="","",IF(ISERROR(VLOOKUP(BD35,TblJoistSize!$A$1:$G$274,2,FALSE)),"-",VLOOKUP(BD35,TblJoistSize!$A$1:$G$274,2,FALSE)))</x:f>
        <x:v/>
      </x:c>
      <x:c r="EO94" s="448" t="str">
        <x:f t="shared" si="129"/>
        <x:v/>
      </x:c>
    </x:row>
    <x:row r="95" spans="140:145" ht="15" customHeight="1" x14ac:dyDescent="0.2">
      <x:c r="EJ95" s="507">
        <x:f t="shared" si="127"/>
        <x:v>0.66666666666666663</x:v>
      </x:c>
      <x:c r="EL95" s="445"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446" t="str">
        <x:f t="shared" si="128"/>
        <x:v/>
      </x:c>
      <x:c r="EN95" s="447" t="str">
        <x:f>IF(BD36="","",IF(ISERROR(VLOOKUP(BD36,TblJoistSize!$A$1:$G$274,2,FALSE)),"-",VLOOKUP(BD36,TblJoistSize!$A$1:$G$274,2,FALSE)))</x:f>
        <x:v/>
      </x:c>
      <x:c r="EO95" s="448" t="str">
        <x:f t="shared" si="129"/>
        <x:v/>
      </x:c>
    </x:row>
    <x:row r="96" spans="140:145" ht="15" customHeight="1" x14ac:dyDescent="0.2">
      <x:c r="EJ96" s="507">
        <x:f t="shared" si="127"/>
        <x:v>0.66666666666666663</x:v>
      </x:c>
      <x:c r="EL96" s="445"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446" t="str">
        <x:f t="shared" si="128"/>
        <x:v/>
      </x:c>
      <x:c r="EN96" s="447" t="str">
        <x:f>IF(BD37="","",IF(ISERROR(VLOOKUP(BD37,TblJoistSize!$A$1:$G$274,2,FALSE)),"-",VLOOKUP(BD37,TblJoistSize!$A$1:$G$274,2,FALSE)))</x:f>
        <x:v/>
      </x:c>
      <x:c r="EO96" s="448" t="str">
        <x:f t="shared" si="129"/>
        <x:v/>
      </x:c>
    </x:row>
    <x:row r="97" spans="140:145" ht="15" customHeight="1" x14ac:dyDescent="0.2">
      <x:c r="EJ97" s="507">
        <x:f t="shared" si="127"/>
        <x:v>0.66666666666666663</x:v>
      </x:c>
      <x:c r="EL97" s="445"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446" t="str">
        <x:f t="shared" si="128"/>
        <x:v/>
      </x:c>
      <x:c r="EN97" s="447" t="str">
        <x:f>IF(BD38="","",IF(ISERROR(VLOOKUP(BD38,TblJoistSize!$A$1:$G$274,2,FALSE)),"-",VLOOKUP(BD38,TblJoistSize!$A$1:$G$274,2,FALSE)))</x:f>
        <x:v/>
      </x:c>
      <x:c r="EO97" s="448" t="str">
        <x:f t="shared" si="129"/>
        <x:v/>
      </x:c>
    </x:row>
    <x:row r="98" spans="140:145" ht="15" customHeight="1" x14ac:dyDescent="0.2">
      <x:c r="EJ98" s="507">
        <x:f t="shared" si="127"/>
        <x:v>0.66666666666666663</x:v>
      </x:c>
      <x:c r="EL98" s="445"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446" t="str">
        <x:f t="shared" si="128"/>
        <x:v/>
      </x:c>
      <x:c r="EN98" s="447" t="str">
        <x:f>IF(BD39="","",IF(ISERROR(VLOOKUP(BD39,TblJoistSize!$A$1:$G$274,2,FALSE)),"-",VLOOKUP(BD39,TblJoistSize!$A$1:$G$274,2,FALSE)))</x:f>
        <x:v/>
      </x:c>
      <x:c r="EO98" s="448" t="str">
        <x:f t="shared" si="129"/>
        <x:v/>
      </x:c>
    </x:row>
    <x:row r="99" spans="140:145" ht="15" customHeight="1" x14ac:dyDescent="0.2">
      <x:c r="EJ99" s="507">
        <x:f t="shared" si="127"/>
        <x:v>0.66666666666666663</x:v>
      </x:c>
      <x:c r="EL99" s="445"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446" t="str">
        <x:f t="shared" si="128"/>
        <x:v/>
      </x:c>
      <x:c r="EN99" s="447" t="str">
        <x:f>IF(BD40="","",IF(ISERROR(VLOOKUP(BD40,TblJoistSize!$A$1:$G$274,2,FALSE)),"-",VLOOKUP(BD40,TblJoistSize!$A$1:$G$274,2,FALSE)))</x:f>
        <x:v/>
      </x:c>
      <x:c r="EO99" s="448" t="str">
        <x:f t="shared" si="129"/>
        <x:v/>
      </x:c>
    </x:row>
    <x:row r="100" spans="140:145" ht="15" customHeight="1" x14ac:dyDescent="0.2">
      <x:c r="EJ100" s="507" t="str">
        <x:f t="shared" si="127"/>
        <x:v/>
      </x:c>
      <x:c r="EL100" s="445"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446" t="str">
        <x:f t="shared" si="128"/>
        <x:v/>
      </x:c>
      <x:c r="EN100" s="447" t="str">
        <x:f>IF(BD41="","",IF(ISERROR(VLOOKUP(BD41,TblJoistSize!$A$1:$G$274,2,FALSE)),"-",VLOOKUP(BD41,TblJoistSize!$A$1:$G$274,2,FALSE)))</x:f>
        <x:v/>
      </x:c>
      <x:c r="EO100" s="448" t="str">
        <x:f t="shared" si="129"/>
        <x:v/>
      </x:c>
    </x:row>
    <x:row r="101" spans="140:145" x14ac:dyDescent="0.2">
      <x:c r="EJ101" s="507" t="str">
        <x:f t="shared" si="127"/>
        <x:v/>
      </x:c>
      <x:c r="EL101" s="445"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446" t="str">
        <x:f t="shared" si="128"/>
        <x:v/>
      </x:c>
      <x:c r="EN101" s="447" t="str">
        <x:f>IF(BD42="","",IF(ISERROR(VLOOKUP(BD42,TblJoistSize!$A$1:$G$274,2,FALSE)),"-",VLOOKUP(BD42,TblJoistSize!$A$1:$G$274,2,FALSE)))</x:f>
        <x:v/>
      </x:c>
      <x:c r="EO101" s="448" t="str">
        <x:f t="shared" si="129"/>
        <x:v/>
      </x:c>
    </x:row>
    <x:row r="102" spans="140:145" x14ac:dyDescent="0.2">
      <x:c r="EJ102" s="507" t="str">
        <x:f t="shared" si="127"/>
        <x:v/>
      </x:c>
      <x:c r="EL102" s="445"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446" t="str">
        <x:f t="shared" si="128"/>
        <x:v/>
      </x:c>
      <x:c r="EN102" s="447" t="str">
        <x:f>IF(BD43="","",IF(ISERROR(VLOOKUP(BD43,TblJoistSize!$A$1:$G$274,2,FALSE)),"-",VLOOKUP(BD43,TblJoistSize!$A$1:$G$274,2,FALSE)))</x:f>
        <x:v/>
      </x:c>
      <x:c r="EO102" s="448" t="str">
        <x:f t="shared" si="129"/>
        <x:v/>
      </x:c>
    </x:row>
    <x:row r="103" spans="140:145" x14ac:dyDescent="0.2">
      <x:c r="EJ103" s="507" t="str">
        <x:f t="shared" si="127"/>
        <x:v/>
      </x:c>
      <x:c r="EL103" s="445"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446" t="str">
        <x:f t="shared" si="128"/>
        <x:v/>
      </x:c>
      <x:c r="EN103" s="447" t="str">
        <x:f>IF(BD44="","",IF(ISERROR(VLOOKUP(BD44,TblJoistSize!$A$1:$G$274,2,FALSE)),"-",VLOOKUP(BD44,TblJoistSize!$A$1:$G$274,2,FALSE)))</x:f>
        <x:v/>
      </x:c>
      <x:c r="EO103" s="448" t="str">
        <x:f t="shared" si="129"/>
        <x:v/>
      </x:c>
    </x:row>
    <x:row r="104" spans="140:145" x14ac:dyDescent="0.2">
      <x:c r="EJ104" s="507" t="str">
        <x:f t="shared" si="127"/>
        <x:v/>
      </x:c>
      <x:c r="EL104" s="445"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446" t="str">
        <x:f t="shared" si="128"/>
        <x:v/>
      </x:c>
      <x:c r="EN104" s="447" t="str">
        <x:f>IF(BD45="","",IF(ISERROR(VLOOKUP(BD45,TblJoistSize!$A$1:$G$274,2,FALSE)),"-",VLOOKUP(BD45,TblJoistSize!$A$1:$G$274,2,FALSE)))</x:f>
        <x:v/>
      </x:c>
      <x:c r="EO104" s="448" t="str">
        <x:f t="shared" si="129"/>
        <x:v/>
      </x:c>
    </x:row>
  </x:sheetData>
  <x:sheetProtection algorithmName="SHA-512" hashValue="gYTAWRynHgOktYXVS3TkDfRBPxAEO5cOH+KU8O6mdoAj6zZi87Nw2pcztzXpxUfE5bRQ6ebDkxMpAwM/Is8uXg==" saltValue="PF/ATtbGIJTr5VdX6RXe7w==" spinCount="100000" sheet="1" objects="1" scenarios="1" selectLockedCells="1"/>
  <x:dataConsolidate link="1"/>
  <x:mergeCells count="190">
    <x:mergeCell ref="CC6:CF6"/>
    <x:mergeCell ref="M7:S7"/>
    <x:mergeCell ref="C9:O9"/>
    <x:mergeCell ref="S9:AA9"/>
    <x:mergeCell ref="C10:O10"/>
    <x:mergeCell ref="S10:W10"/>
    <x:mergeCell ref="Z10:AA10"/>
    <x:mergeCell ref="P1:S1"/>
    <x:mergeCell ref="P2:S3"/>
    <x:mergeCell ref="P4:S4"/>
    <x:mergeCell ref="A5:M5"/>
    <x:mergeCell ref="M6:T6"/>
    <x:mergeCell ref="Y6:Z6"/>
    <x:mergeCell ref="HA12:IF13"/>
    <x:mergeCell ref="AU13:AU15"/>
    <x:mergeCell ref="AV13:AW15"/>
    <x:mergeCell ref="BB13:BF13"/>
    <x:mergeCell ref="BG13:BR13"/>
    <x:mergeCell ref="BS13:CD13"/>
    <x:mergeCell ref="CE13:CE15"/>
    <x:mergeCell ref="CF13:CG14"/>
    <x:mergeCell ref="FH12:FH15"/>
    <x:mergeCell ref="FI12:FI15"/>
    <x:mergeCell ref="FJ12:FJ15"/>
    <x:mergeCell ref="FK12:FK15"/>
    <x:mergeCell ref="FL12:FL15"/>
    <x:mergeCell ref="FM12:FM15"/>
    <x:mergeCell ref="FB12:FB15"/>
    <x:mergeCell ref="FC12:FC15"/>
    <x:mergeCell ref="FD12:FD15"/>
    <x:mergeCell ref="FE12:FE15"/>
    <x:mergeCell ref="FF12:FF15"/>
    <x:mergeCell ref="FG12:FG15"/>
    <x:mergeCell ref="EV12:EV15"/>
    <x:mergeCell ref="EW12:EW15"/>
    <x:mergeCell ref="EX12:EX15"/>
    <x:mergeCell ref="EY12:EY15"/>
    <x:mergeCell ref="CU13:DD13"/>
    <x:mergeCell ref="DE13:DN13"/>
    <x:mergeCell ref="GA13:GJ13"/>
    <x:mergeCell ref="A14:A15"/>
    <x:mergeCell ref="B14:B15"/>
    <x:mergeCell ref="C14:C15"/>
    <x:mergeCell ref="D14:E15"/>
    <x:mergeCell ref="F14:H14"/>
    <x:mergeCell ref="I14:K14"/>
    <x:mergeCell ref="L14:M14"/>
    <x:mergeCell ref="FN12:FN15"/>
    <x:mergeCell ref="FQ12:FR13"/>
    <x:mergeCell ref="EZ12:EZ15"/>
    <x:mergeCell ref="FA12:FA15"/>
    <x:mergeCell ref="BB11:CB12"/>
    <x:mergeCell ref="CD11:CG12"/>
    <x:mergeCell ref="CN12:CO14"/>
    <x:mergeCell ref="CP12:CQ14"/>
    <x:mergeCell ref="CR12:CR15"/>
    <x:mergeCell ref="CS12:CS15"/>
    <x:mergeCell ref="BC14:BC15"/>
    <x:mergeCell ref="BD14:BD15"/>
    <x:mergeCell ref="BE14:BF15"/>
    <x:mergeCell ref="BG14:BG15"/>
    <x:mergeCell ref="BH14:BI15"/>
    <x:mergeCell ref="BJ14:BJ15"/>
    <x:mergeCell ref="BK14:BL15"/>
    <x:mergeCell ref="BM14:BM15"/>
    <x:mergeCell ref="BN14:BN15"/>
    <x:mergeCell ref="BO14:BO15"/>
    <x:mergeCell ref="N14:P14"/>
    <x:mergeCell ref="Q14:S14"/>
    <x:mergeCell ref="T14:X14"/>
    <x:mergeCell ref="Y14:Z14"/>
    <x:mergeCell ref="AZ14:AZ15"/>
    <x:mergeCell ref="BB14:BB15"/>
    <x:mergeCell ref="BZ14:BZ15"/>
    <x:mergeCell ref="CA14:CA15"/>
    <x:mergeCell ref="CB14:CD14"/>
    <x:mergeCell ref="CH14:CJ14"/>
    <x:mergeCell ref="CK14:CK15"/>
    <x:mergeCell ref="CL14:CM14"/>
    <x:mergeCell ref="BP14:BR14"/>
    <x:mergeCell ref="BS14:BS15"/>
    <x:mergeCell ref="BT14:BU15"/>
    <x:mergeCell ref="BV14:BV15"/>
    <x:mergeCell ref="BW14:BX15"/>
    <x:mergeCell ref="BY14:BY15"/>
    <x:mergeCell ref="DA14:DA15"/>
    <x:mergeCell ref="DB14:DB15"/>
    <x:mergeCell ref="DC14:DC15"/>
    <x:mergeCell ref="DD14:DD15"/>
    <x:mergeCell ref="DE14:DE15"/>
    <x:mergeCell ref="DF14:DF15"/>
    <x:mergeCell ref="CU14:CU15"/>
    <x:mergeCell ref="CV14:CV15"/>
    <x:mergeCell ref="CW14:CW15"/>
    <x:mergeCell ref="CX14:CX15"/>
    <x:mergeCell ref="CY14:CY15"/>
    <x:mergeCell ref="CZ14:CZ15"/>
    <x:mergeCell ref="DM14:DM15"/>
    <x:mergeCell ref="DN14:DN15"/>
    <x:mergeCell ref="DO14:DO15"/>
    <x:mergeCell ref="DP14:DP15"/>
    <x:mergeCell ref="DQ14:DQ15"/>
    <x:mergeCell ref="DR14:DR15"/>
    <x:mergeCell ref="DG14:DG15"/>
    <x:mergeCell ref="DH14:DH15"/>
    <x:mergeCell ref="DI14:DI15"/>
    <x:mergeCell ref="DJ14:DJ15"/>
    <x:mergeCell ref="DK14:DK15"/>
    <x:mergeCell ref="DL14:DL15"/>
    <x:mergeCell ref="DZ14:EA14"/>
    <x:mergeCell ref="EB14:EB15"/>
    <x:mergeCell ref="EC14:EC15"/>
    <x:mergeCell ref="ED14:ED15"/>
    <x:mergeCell ref="EE14:EE15"/>
    <x:mergeCell ref="EF14:EG14"/>
    <x:mergeCell ref="DS14:DS15"/>
    <x:mergeCell ref="DT14:DU14"/>
    <x:mergeCell ref="DV14:DV15"/>
    <x:mergeCell ref="DW14:DW15"/>
    <x:mergeCell ref="DX14:DX15"/>
    <x:mergeCell ref="DY14:DY15"/>
    <x:mergeCell ref="ES14:ES15"/>
    <x:mergeCell ref="ET14:ET15"/>
    <x:mergeCell ref="EU14:EU15"/>
    <x:mergeCell ref="FO14:FO15"/>
    <x:mergeCell ref="FP14:FP15"/>
    <x:mergeCell ref="FQ14:FQ15"/>
    <x:mergeCell ref="EH14:EI14"/>
    <x:mergeCell ref="EJ14:EK14"/>
    <x:mergeCell ref="EL14:EL15"/>
    <x:mergeCell ref="EM14:EN14"/>
    <x:mergeCell ref="EO14:EP14"/>
    <x:mergeCell ref="EQ14:ER14"/>
    <x:mergeCell ref="GI14:GJ14"/>
    <x:mergeCell ref="GK14:GK15"/>
    <x:mergeCell ref="GL14:GL15"/>
    <x:mergeCell ref="FR14:FR15"/>
    <x:mergeCell ref="FS14:FS15"/>
    <x:mergeCell ref="FT14:FT15"/>
    <x:mergeCell ref="FU14:FV14"/>
    <x:mergeCell ref="GA14:GB14"/>
    <x:mergeCell ref="GC14:GD14"/>
    <x:mergeCell ref="F15:G15"/>
    <x:mergeCell ref="I15:J15"/>
    <x:mergeCell ref="N15:O15"/>
    <x:mergeCell ref="Q15:R15"/>
    <x:mergeCell ref="T15:U15"/>
    <x:mergeCell ref="V15:W15"/>
    <x:mergeCell ref="HY14:HY15"/>
    <x:mergeCell ref="HZ14:HZ15"/>
    <x:mergeCell ref="IA14:IA15"/>
    <x:mergeCell ref="HS14:HS15"/>
    <x:mergeCell ref="HT14:HT15"/>
    <x:mergeCell ref="HU14:HU15"/>
    <x:mergeCell ref="HV14:HV15"/>
    <x:mergeCell ref="HW14:HW15"/>
    <x:mergeCell ref="HX14:HX15"/>
    <x:mergeCell ref="HM14:HM15"/>
    <x:mergeCell ref="HN14:HN15"/>
    <x:mergeCell ref="HO14:HO15"/>
    <x:mergeCell ref="HP14:HP15"/>
    <x:mergeCell ref="HQ14:HQ15"/>
    <x:mergeCell ref="HR14:HR15"/>
    <x:mergeCell ref="HG14:HG15"/>
    <x:mergeCell ref="HH14:HH15"/>
    <x:mergeCell ref="HI14:HI15"/>
    <x:mergeCell ref="CP57:CQ57"/>
    <x:mergeCell ref="EL71:EO71"/>
    <x:mergeCell ref="EL72:EL74"/>
    <x:mergeCell ref="EM72:EM74"/>
    <x:mergeCell ref="EN72:EN74"/>
    <x:mergeCell ref="EO72:EO74"/>
    <x:mergeCell ref="EJ73:EJ74"/>
    <x:mergeCell ref="IE14:IE15"/>
    <x:mergeCell ref="IF14:IF15"/>
    <x:mergeCell ref="IB14:IB15"/>
    <x:mergeCell ref="IC14:IC15"/>
    <x:mergeCell ref="ID14:ID15"/>
    <x:mergeCell ref="HJ14:HJ15"/>
    <x:mergeCell ref="HK14:HK15"/>
    <x:mergeCell ref="HL14:HL15"/>
    <x:mergeCell ref="GM14:GM15"/>
    <x:mergeCell ref="HA14:HA15"/>
    <x:mergeCell ref="HB14:HB15"/>
    <x:mergeCell ref="HC14:HC15"/>
    <x:mergeCell ref="HD14:HE15"/>
    <x:mergeCell ref="HF14:HF15"/>
    <x:mergeCell ref="GE14:GE15"/>
    <x:mergeCell ref="GF14:GF15"/>
    <x:mergeCell ref="GG14:GH14"/>
  </x:mergeCells>
  <x:conditionalFormatting sqref="EF57">
    <x:cfRule type="cellIs" dxfId="253" priority="53" stopIfTrue="1" operator="notEqual">
      <x:formula>$EG57</x:formula>
    </x:cfRule>
  </x:conditionalFormatting>
  <x:conditionalFormatting sqref="EM57">
    <x:cfRule type="cellIs" dxfId="252" priority="54" stopIfTrue="1" operator="notEqual">
      <x:formula>$EN57</x:formula>
    </x:cfRule>
  </x:conditionalFormatting>
  <x:conditionalFormatting sqref="P2:S4">
    <x:cfRule type="cellIs" dxfId="251" priority="56" stopIfTrue="1" operator="equal">
      <x:formula>""</x:formula>
    </x:cfRule>
  </x:conditionalFormatting>
  <x:conditionalFormatting sqref="EF16:EF45">
    <x:cfRule type="cellIs" dxfId="250" priority="52" stopIfTrue="1" operator="notEqual">
      <x:formula>$EG16</x:formula>
    </x:cfRule>
  </x:conditionalFormatting>
  <x:conditionalFormatting sqref="CC7">
    <x:cfRule type="expression" dxfId="249" priority="51" stopIfTrue="1">
      <x:formula>ISBLANK($CC$7)</x:formula>
    </x:cfRule>
  </x:conditionalFormatting>
  <x:conditionalFormatting sqref="CC6">
    <x:cfRule type="expression" dxfId="248" priority="50" stopIfTrue="1">
      <x:formula>ISBLANK($CC$6)</x:formula>
    </x:cfRule>
  </x:conditionalFormatting>
  <x:conditionalFormatting sqref="M7">
    <x:cfRule type="expression" dxfId="247" priority="48" stopIfTrue="1">
      <x:formula>OR(ISBLANK($M$7),$M$7="")</x:formula>
    </x:cfRule>
    <x:cfRule type="expression" dxfId="246" priority="49" stopIfTrue="1">
      <x:formula>NOT(OR(COUNTIF(masterFinishList, $M$7) &gt; 0, COUNTIF($M$7, "Other:*") &gt; 0))</x:formula>
    </x:cfRule>
  </x:conditionalFormatting>
  <x:conditionalFormatting sqref="BD16:BD45">
    <x:cfRule type="expression" dxfId="245" priority="47">
      <x:formula>AND(NOT($AY16),NOT($AP16))</x:formula>
    </x:cfRule>
  </x:conditionalFormatting>
  <x:conditionalFormatting sqref="C16:C45">
    <x:cfRule type="expression" dxfId="244" priority="45">
      <x:formula>AND(NOT($AY16),NOT($AP16))</x:formula>
    </x:cfRule>
  </x:conditionalFormatting>
  <x:conditionalFormatting sqref="X16:X45">
    <x:cfRule type="expression" dxfId="243" priority="28">
      <x:formula>$X16=0</x:formula>
    </x:cfRule>
  </x:conditionalFormatting>
  <x:conditionalFormatting sqref="CG16:CG45">
    <x:cfRule type="expression" dxfId="242" priority="55">
      <x:formula>OR(CH16&lt;&gt;"",CI16&lt;&gt;"",CJ16&lt;&gt;"",CK16&lt;&gt;"",CL16&lt;&gt;"",CM16&lt;&gt;"",CP16&lt;&gt;"",CQ16&lt;&gt;"")</x:formula>
    </x:cfRule>
  </x:conditionalFormatting>
  <x:conditionalFormatting sqref="BE16:BF45">
    <x:cfRule type="expression" dxfId="241" priority="57">
      <x:formula>AND(NOT($AY16),AND($AZ16,AND($AK16&lt;&gt;"HDR",$AK16&lt;&gt;"JS",$AJ16&gt;=8)))</x:formula>
    </x:cfRule>
  </x:conditionalFormatting>
  <x:conditionalFormatting sqref="D16:E45">
    <x:cfRule type="expression" dxfId="240" priority="46">
      <x:formula>AND(NOT($AY16),AND($AZ16,AND($AK16&lt;&gt;"HDR",$AK16&lt;&gt;"JS",$AJ16&gt;=8)))</x:formula>
    </x:cfRule>
    <x:cfRule type="expression" dxfId="239" priority="80" stopIfTrue="1">
      <x:formula xml:space="preserve"> AND($GM16 &gt;= 0.125, $GL16 &gt; 0)</x:formula>
    </x:cfRule>
  </x:conditionalFormatting>
  <x:conditionalFormatting sqref="AA12">
    <x:cfRule type="expression" dxfId="238" priority="44">
      <x:formula>OR(ISBLANK(AA12),AA12="")</x:formula>
    </x:cfRule>
  </x:conditionalFormatting>
  <x:conditionalFormatting sqref="A16:S45 X16:AA45 BB16:CD45">
    <x:cfRule type="expression" dxfId="237" priority="58">
      <x:formula>$AC16</x:formula>
    </x:cfRule>
  </x:conditionalFormatting>
  <x:conditionalFormatting sqref="BG16:BG45">
    <x:cfRule type="expression" dxfId="236" priority="29">
      <x:formula>AND(NOT($AY16),ISERROR(CU16))</x:formula>
    </x:cfRule>
    <x:cfRule type="expression" dxfId="235" priority="42">
      <x:formula>AND(NOT($AY16),OR(CP16&lt;&gt;"", CU16=""))</x:formula>
    </x:cfRule>
  </x:conditionalFormatting>
  <x:conditionalFormatting sqref="BH16:BH45">
    <x:cfRule type="expression" dxfId="234" priority="36">
      <x:formula>AND(NOT($AY16),OR($CU16="M",$CU16="C",AND($CU16="B",$DC16&gt;0)))</x:formula>
    </x:cfRule>
    <x:cfRule type="expression" dxfId="233" priority="37">
      <x:formula>AND(NOT($AY16),AND(BH16="",BI16="",OR($CU16="B",$CU16="G")))</x:formula>
    </x:cfRule>
    <x:cfRule type="expression" dxfId="232" priority="38">
      <x:formula>AND(NOT($AY16),(BH16/2)/COS(RADIANS(BM16))+CV16-DW16&lt;VLOOKUP(AU16,$DF$2:$DJ$9,5,FALSE))</x:formula>
    </x:cfRule>
  </x:conditionalFormatting>
  <x:conditionalFormatting sqref="BI16:BI45">
    <x:cfRule type="expression" dxfId="231" priority="39">
      <x:formula>AND(NOT($AY16),OR($CU16="M",$CU16="C",AND($CU16="B",$DC16&gt;0)))</x:formula>
    </x:cfRule>
    <x:cfRule type="expression" dxfId="230" priority="40">
      <x:formula>AND(NOT($AY16),AND(BH16="",BI16="",OR($CU16="B",$CU16="G")))</x:formula>
    </x:cfRule>
    <x:cfRule type="expression" dxfId="229" priority="41">
      <x:formula>AND(NOT($AY16),(BI16/2)/COS(RADIANS(BM16))+CV16-DW16&lt;VLOOKUP(AU16,$DF$2:$DJ$9,5,FALSE))</x:formula>
    </x:cfRule>
  </x:conditionalFormatting>
  <x:conditionalFormatting sqref="BK16:BK45">
    <x:cfRule type="expression" dxfId="228" priority="30">
      <x:formula>AND(NOT($AY16),OR($CU16="M",$CU16="C",AND($CU16="B",$DA16&lt;&gt;"")))</x:formula>
    </x:cfRule>
    <x:cfRule type="expression" dxfId="227" priority="31">
      <x:formula>AND(NOT($AY16),AND(BJ16="X",BK16="",BL16=""))</x:formula>
    </x:cfRule>
    <x:cfRule type="expression" dxfId="226" priority="32">
      <x:formula>AND(NOT($AY16),EZ16="ERR")</x:formula>
    </x:cfRule>
  </x:conditionalFormatting>
  <x:conditionalFormatting sqref="BL16:BL45">
    <x:cfRule type="expression" dxfId="225" priority="33">
      <x:formula>AND(NOT($AY16),OR($CU16="M",$CU16="C",AND($CU16="B",$DA16&lt;&gt;"")))</x:formula>
    </x:cfRule>
    <x:cfRule type="expression" dxfId="224" priority="34">
      <x:formula>AND(NOT($AY16),AND(BJ16="X",BK16="",BL16=""))</x:formula>
    </x:cfRule>
    <x:cfRule type="expression" dxfId="223" priority="35">
      <x:formula>AND(NOT($AY16),EZ16="ERR")</x:formula>
    </x:cfRule>
  </x:conditionalFormatting>
  <x:conditionalFormatting sqref="A16:B45 BB16:BC45">
    <x:cfRule type="expression" dxfId="222" priority="43">
      <x:formula>AND(NOT($AE$1),$B16=0,$AD$1="M")</x:formula>
    </x:cfRule>
  </x:conditionalFormatting>
  <x:conditionalFormatting sqref="AA16:AA45">
    <x:cfRule type="expression" dxfId="221" priority="27">
      <x:formula>AND(NOT($AY16),LEN(AA16)&gt;31)</x:formula>
    </x:cfRule>
  </x:conditionalFormatting>
  <x:conditionalFormatting sqref="GA16:GB45">
    <x:cfRule type="expression" dxfId="220" priority="26" stopIfTrue="1">
      <x:formula>$GM16&gt;=0.125</x:formula>
    </x:cfRule>
  </x:conditionalFormatting>
  <x:conditionalFormatting sqref="BO16:BO45">
    <x:cfRule type="expression" dxfId="219" priority="21">
      <x:formula>AND(BO16="X",CY16="")</x:formula>
    </x:cfRule>
    <x:cfRule type="expression" dxfId="218" priority="22">
      <x:formula>AND(BO16="",CY16&lt;&gt;"")</x:formula>
    </x:cfRule>
  </x:conditionalFormatting>
  <x:conditionalFormatting sqref="CA16:CA45">
    <x:cfRule type="expression" dxfId="217" priority="23">
      <x:formula>AND(CA16="X",DI16="")</x:formula>
    </x:cfRule>
    <x:cfRule type="expression" dxfId="216" priority="24">
      <x:formula>AND(CA16="",DI16&lt;&gt;"")</x:formula>
    </x:cfRule>
  </x:conditionalFormatting>
  <x:conditionalFormatting sqref="CE16:CG45">
    <x:cfRule type="expression" dxfId="215" priority="25">
      <x:formula>$AC16</x:formula>
    </x:cfRule>
  </x:conditionalFormatting>
  <x:conditionalFormatting sqref="EM16:EM45">
    <x:cfRule type="cellIs" dxfId="214" priority="20" stopIfTrue="1" operator="notEqual">
      <x:formula>$EN16</x:formula>
    </x:cfRule>
  </x:conditionalFormatting>
  <x:conditionalFormatting sqref="U16:U45">
    <x:cfRule type="expression" dxfId="213" priority="16">
      <x:formula>AND(NOT($AY16),NOT(AR16),$P16&lt;&gt;3)</x:formula>
    </x:cfRule>
  </x:conditionalFormatting>
  <x:conditionalFormatting sqref="W16:W45">
    <x:cfRule type="expression" dxfId="212" priority="18">
      <x:formula>AND(NOT($AY16),NOT(AT16),$S16&lt;&gt;3)</x:formula>
    </x:cfRule>
  </x:conditionalFormatting>
  <x:conditionalFormatting sqref="T16:T45">
    <x:cfRule type="expression" dxfId="211" priority="15">
      <x:formula>AND(NOT($AY16),NOT(AR16),$P16&lt;&gt;3)</x:formula>
    </x:cfRule>
  </x:conditionalFormatting>
  <x:conditionalFormatting sqref="V16:V45">
    <x:cfRule type="expression" dxfId="210" priority="17">
      <x:formula>AND(NOT($AY16),NOT(AT16),$S16&lt;&gt;3)</x:formula>
    </x:cfRule>
  </x:conditionalFormatting>
  <x:conditionalFormatting sqref="T16:W45">
    <x:cfRule type="expression" dxfId="209" priority="19">
      <x:formula>$AC16</x:formula>
    </x:cfRule>
  </x:conditionalFormatting>
  <x:conditionalFormatting sqref="C57">
    <x:cfRule type="expression" dxfId="208" priority="12">
      <x:formula>AND(NOT($AY57),NOT($AP57))</x:formula>
    </x:cfRule>
  </x:conditionalFormatting>
  <x:conditionalFormatting sqref="X57">
    <x:cfRule type="expression" dxfId="207" priority="10">
      <x:formula>$X57=0</x:formula>
    </x:cfRule>
  </x:conditionalFormatting>
  <x:conditionalFormatting sqref="D57:E57">
    <x:cfRule type="expression" dxfId="206" priority="13">
      <x:formula>AND(NOT($AY57),AND($AZ57,AND($AK57&lt;&gt;"HDR",$AK57&lt;&gt;"JS",$AJ57&gt;=8)))</x:formula>
    </x:cfRule>
  </x:conditionalFormatting>
  <x:conditionalFormatting sqref="A57:S57 X57:AA57">
    <x:cfRule type="expression" dxfId="205" priority="14">
      <x:formula>$AC57</x:formula>
    </x:cfRule>
  </x:conditionalFormatting>
  <x:conditionalFormatting sqref="A57:B57">
    <x:cfRule type="expression" dxfId="204" priority="11">
      <x:formula>AND(NOT($AE$1),$B57=0,$AD$1="M")</x:formula>
    </x:cfRule>
  </x:conditionalFormatting>
  <x:conditionalFormatting sqref="AA57">
    <x:cfRule type="expression" dxfId="203" priority="9">
      <x:formula>AND(NOT($AY57),LEN(AA57)&gt;31)</x:formula>
    </x:cfRule>
  </x:conditionalFormatting>
  <x:conditionalFormatting sqref="U57">
    <x:cfRule type="expression" dxfId="202" priority="5">
      <x:formula>AND(NOT($AY57),NOT(AR57),$P57&lt;&gt;3)</x:formula>
    </x:cfRule>
  </x:conditionalFormatting>
  <x:conditionalFormatting sqref="W57">
    <x:cfRule type="expression" dxfId="201" priority="7">
      <x:formula>AND(NOT($AY57),NOT(AT57),$S57&lt;&gt;3)</x:formula>
    </x:cfRule>
  </x:conditionalFormatting>
  <x:conditionalFormatting sqref="T57">
    <x:cfRule type="expression" dxfId="200" priority="4">
      <x:formula>AND(NOT($AY57),NOT(AR57),$P57&lt;&gt;3)</x:formula>
    </x:cfRule>
  </x:conditionalFormatting>
  <x:conditionalFormatting sqref="V57">
    <x:cfRule type="expression" dxfId="199" priority="6">
      <x:formula>AND(NOT($AY57),NOT(AT57),$S57&lt;&gt;3)</x:formula>
    </x:cfRule>
  </x:conditionalFormatting>
  <x:conditionalFormatting sqref="T57:W57">
    <x:cfRule type="expression" dxfId="198" priority="8">
      <x:formula>$AC57</x:formula>
    </x:cfRule>
  </x:conditionalFormatting>
  <x:conditionalFormatting sqref="BQ16:BQ45">
    <x:cfRule type="expression" dxfId="197" priority="3">
      <x:formula>CP16&lt;&gt;""</x:formula>
    </x:cfRule>
  </x:conditionalFormatting>
  <x:conditionalFormatting sqref="CC16:CC45">
    <x:cfRule type="expression" dxfId="196" priority="2">
      <x:formula>CQ16&lt;&gt;""</x:formula>
    </x:cfRule>
  </x:conditionalFormatting>
  <x:conditionalFormatting sqref="BS16:BS45">
    <x:cfRule type="expression" dxfId="195" priority="59">
      <x:formula>AND(NOT($AY16),ISERROR(DE16))</x:formula>
    </x:cfRule>
    <x:cfRule type="expression" dxfId="194" priority="60">
      <x:formula>AND(NOT($AY16),OR(DE16="", CQ16&lt;&gt;""))</x:formula>
    </x:cfRule>
  </x:conditionalFormatting>
  <x:conditionalFormatting sqref="BW16:BW45">
    <x:cfRule type="expression" dxfId="193" priority="61">
      <x:formula>AND(NOT($AY16),OR($DE16="M",$DE16="C",AND($DE16="B",$DK16&lt;&gt;"")))</x:formula>
    </x:cfRule>
    <x:cfRule type="expression" dxfId="192" priority="62">
      <x:formula>AND(NOT($AY16),AND(BV16="X",BW16="",BX16=""))</x:formula>
    </x:cfRule>
    <x:cfRule type="expression" dxfId="191" priority="63">
      <x:formula>AND(NOT($AY16),FC16="ERR")</x:formula>
    </x:cfRule>
  </x:conditionalFormatting>
  <x:conditionalFormatting sqref="BX16:BX45">
    <x:cfRule type="expression" dxfId="190" priority="64">
      <x:formula>AND(NOT($AY16),OR($DE16="M",$DE16="C",AND($DE16="B",$DK16&lt;&gt;"")))</x:formula>
    </x:cfRule>
    <x:cfRule type="expression" dxfId="189" priority="65">
      <x:formula>AND(NOT($AY16),AND(BV16="X",BW16="",BX16=""))</x:formula>
    </x:cfRule>
    <x:cfRule type="expression" dxfId="188" priority="66">
      <x:formula>AND(NOT($AY16),FC16="ERR")</x:formula>
    </x:cfRule>
  </x:conditionalFormatting>
  <x:conditionalFormatting sqref="BT16:BT45">
    <x:cfRule type="expression" dxfId="187" priority="67">
      <x:formula>AND(NOT($AY16),OR($DE16="M",$DE16="C",AND($DE16="B",$DM16&gt;0)))</x:formula>
    </x:cfRule>
    <x:cfRule type="expression" dxfId="186" priority="68">
      <x:formula>AND(NOT($AY16),AND(BT16="",BU16="",OR($DE16="B",$DE16="G")))</x:formula>
    </x:cfRule>
    <x:cfRule type="expression" dxfId="185" priority="69">
      <x:formula>AND(NOT($AY16),(BT16/2)/COS(RADIANS(BY16))+DF16-EC16&lt;VLOOKUP(AU16,$DF$2:$DJ$9,5,FALSE))</x:formula>
    </x:cfRule>
  </x:conditionalFormatting>
  <x:conditionalFormatting sqref="BU16:BU45">
    <x:cfRule type="expression" dxfId="184" priority="70">
      <x:formula>AND(NOT($AY16),OR($DE16="M",$DE16="C",AND($DE16="B",$DM16&gt;0)))</x:formula>
    </x:cfRule>
    <x:cfRule type="expression" dxfId="183" priority="71">
      <x:formula>AND(NOT($AY16),AND(BT16="",BU16="",OR($DE16="B",$DE16="G")))</x:formula>
    </x:cfRule>
    <x:cfRule type="expression" dxfId="182" priority="72">
      <x:formula>AND(NOT($AY16),(BU16/2)/COS(RADIANS(BY16))+DF16-EC16&lt;VLOOKUP(AU16,$DF$2:$DJ$9,5,FALSE))</x:formula>
    </x:cfRule>
  </x:conditionalFormatting>
  <x:conditionalFormatting sqref="BZ16:BZ45 BN16:BN45">
    <x:cfRule type="expression" dxfId="181" priority="73">
      <x:formula>AND(NOT($AY16),AND(ISBLANK(BN16),AND(NOT(ISBLANK(BM16)),$CE16&lt;&gt;0)))</x:formula>
    </x:cfRule>
  </x:conditionalFormatting>
  <x:conditionalFormatting sqref="BJ16:BJ45">
    <x:cfRule type="expression" dxfId="180" priority="74">
      <x:formula>AND(NOT($AY16),OR($CU16="C",AND($CU16="M",$DA16&gt;0)))</x:formula>
    </x:cfRule>
    <x:cfRule type="expression" dxfId="179" priority="75">
      <x:formula>AND(NOT($AY16),OR(NOT(IF(AND(OR(MID($BB16,1,1)="T",($BE16+$BF16/12)/IF(ABS($CE16)&gt;$DQ$1,COS($DO16),1)&gt;=40),OR($CU16="B",$CU16="G")),"X","")="X"),$EZ16="ERR"))</x:formula>
    </x:cfRule>
    <x:cfRule type="expression" dxfId="178" priority="76">
      <x:formula>AND(NOT($AY16),$BJ16&lt;&gt;"X",$BJ16&lt;&gt;IF(AND(OR(MID(BB16,1,1)="T",($BE16+$BF16/12)/IF(ABS($CE16)&gt;$DQ$1,COS($DO16),1)&gt;=40),OR($CU16="B",$CU16="G")),"X",""))</x:formula>
    </x:cfRule>
  </x:conditionalFormatting>
  <x:conditionalFormatting sqref="BV16:BV45">
    <x:cfRule type="expression" dxfId="177" priority="77">
      <x:formula>AND(NOT($AY16),OR($DE16="C",AND($DE16="M",$DK16&gt;0)))</x:formula>
    </x:cfRule>
    <x:cfRule type="expression" dxfId="176" priority="78">
      <x:formula>AND(NOT($AY16),OR(NOT(IF(AND(OR(MID($BB16,1,1)="T",($BE16+$BF16/12)/IF(ABS($CE16)&gt;$DQ$1,COS($DO16),1)&gt;=40),OR($DE16="B",$DE16="G")),"X","")="X"),$FC16="ERR"))</x:formula>
    </x:cfRule>
    <x:cfRule type="expression" dxfId="175" priority="79">
      <x:formula>AND(NOT($AY16),$BV16&lt;&gt;"X",$BV16&lt;&gt;IF(AND(OR(MID(BB16,1,1)="T",($BE16+$BF16/12)/IF(ABS($CE16)&gt;$DQ$1,COS($DO16),1)&gt;=40),OR($DE16="B",$DE16="G")),"X",""))</x:formula>
    </x:cfRule>
  </x:conditionalFormatting>
  <x:conditionalFormatting sqref="GA57:GB57">
    <x:cfRule type="expression" dxfId="174" priority="1" stopIfTrue="1">
      <x:formula>$GM57&gt;=0.125</x:formula>
    </x:cfRule>
  </x:conditionalFormatting>
  <x:dataValidations count="14">
    <x:dataValidation type="whole" operator="greaterThan" allowBlank="1" showInputMessage="1" showErrorMessage="1" errorTitle="Quantity Error" error="Value must be an integer greater than -1000." sqref="B16:B45 BC16:BC45" xr:uid="{7C6877FA-A94B-4A8E-A0BB-4CA47B7A277A}">
      <x:formula1>-1001</x:formula1>
    </x:dataValidation>
    <x:dataValidation type="decimal" operator="greaterThan" allowBlank="1" showInputMessage="1" showErrorMessage="1" errorTitle="Input Error" error="Positive Numeric Values Only!" sqref="BR16:BR45 CD16:CD45" xr:uid="{80D0EC2A-6261-4A00-BAC5-5AE11B2BF88D}">
      <x:formula1>0</x:formula1>
    </x:dataValidation>
    <x:dataValidation type="decimal" allowBlank="1" showInputMessage="1" showErrorMessage="1" errorTitle="Input Error" error="Numbers from 0&quot; to 11 7/8&quot; only!" sqref="GB16:GB45 GB57" xr:uid="{47EF62B9-5B09-4122-9ED4-B29A39D5C8B3}">
      <x:formula1>0</x:formula1>
      <x:formula2>11.875</x:formula2>
    </x:dataValidation>
    <x:dataValidation type="whole" operator="greaterThanOrEqual" allowBlank="1" showInputMessage="1" showErrorMessage="1" errorTitle="Input Error" error="Positive Integers Only!" sqref="GA16:GA45 GA57" xr:uid="{7150A036-FF79-4443-BDC6-AF08F9CC2A91}">
      <x:formula1>0</x:formula1>
    </x:dataValidation>
    <x:dataValidation type="decimal" allowBlank="1" showInputMessage="1" showErrorMessage="1" errorTitle="Input Error" error="Numeric Values Only!" sqref="GC16:GD45 GC57:GD57 BP16:BP45 CB16:CB45" xr:uid="{AC6B72CB-FA09-4E61-9F9A-8B3958459F35}">
      <x:formula1>-1200</x:formula1>
      <x:formula2>1200</x:formula2>
    </x:dataValidation>
    <x:dataValidation type="decimal" operator="lessThanOrEqual" allowBlank="1" showInputMessage="1" errorTitle="BL Over-Ride Error!" error="Base Length can't be past Joist Overall Length!  See section for Maximum Over-Ride Dimension." sqref="BQ16:BQ45" xr:uid="{AB91BA6E-3324-4710-9B18-E8028B58E555}">
      <x:formula1>$CV16</x:formula1>
    </x:dataValidation>
    <x:dataValidation type="decimal" operator="lessThanOrEqual" allowBlank="1" showInputMessage="1" errorTitle="BL Over-Ride Error!" error="Base Length can't be past Joist Overall Length!  See section for Maximum Over-Ride Dimension." sqref="CC16:CC45" xr:uid="{DAA6A508-2216-45A0-AADE-5DD5C4D68F1D}">
      <x:formula1>$DF16</x:formula1>
    </x:dataValidation>
    <x:dataValidation type="whole" operator="greaterThanOrEqual" allowBlank="1" showInputMessage="1" showErrorMessage="1" sqref="B57" xr:uid="{8F8423AD-7905-49FD-A6DF-E3B620FEFD80}">
      <x:formula1>0</x:formula1>
    </x:dataValidation>
    <x:dataValidation type="decimal" operator="greaterThan" allowBlank="1" showInputMessage="1" showErrorMessage="1" errorTitle="Dimensional Error" error="Only positive numeric values can be entered here." sqref="L16:M45 L57:M57" xr:uid="{55D5CD46-DBF8-46F8-AD81-53F3B6635A5A}">
      <x:formula1>0</x:formula1>
    </x:dataValidation>
    <x:dataValidation type="decimal" operator="notEqual" allowBlank="1" showInputMessage="1" showErrorMessage="1" errorTitle="input Error" error="Enter + or - Numbers Only._x000a_Do NOT use &quot;&lt;&quot; or &quot;&gt;&quot;." sqref="Y16:Z45 Y57:Z57" xr:uid="{A5E68821-6EB2-4130-8A7E-2613EE36C7C4}">
      <x:formula1>0</x:formula1>
    </x:dataValidation>
    <x:dataValidation type="decimal" operator="greaterThanOrEqual" allowBlank="1" showInputMessage="1" showErrorMessage="1" errorTitle="Dimensional Error" error="&quot;Inches&quot; must be a number." sqref="BH16:BI45 BK16:BL45 BT16:BU45 BW16:BX45" xr:uid="{89CCC684-F6D6-4B9A-9C5A-CB943FE37AA7}">
      <x:formula1>0</x:formula1>
    </x:dataValidation>
    <x:dataValidation type="decimal" allowBlank="1" showInputMessage="1" showErrorMessage="1" errorTitle="Dimensional Error" error="&quot;Inches&quot; must be a number from 0 to 11.875." sqref="BF16:BF45 G16:G45 J16:J45 W16:W45 U16:U45 E16:E45 G57 J57 W57 U57 E57" xr:uid="{3E19420B-90B6-402C-8BC1-A567D8C9FCB4}">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r:uid="{5FC6A332-2151-4D82-95E2-00A0D8270DAB}">
      <x:formula1>0</x:formula1>
    </x:dataValidation>
    <x:dataValidation type="list" allowBlank="1" showInputMessage="1" sqref="CC6:CF6 M7:S7" xr:uid="{35BEFB33-A548-4369-9184-B8E7FB279433}">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drawing r:id="rId2"/>
  <x:legacyDrawing r:id="rId3"/>
</x:worksheet>
</file>

<file path=xl/worksheets/sheet35.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482C0E93-5717-4077-875D-8BDB174D6B2F}" mc:Ignorable="x14ac xr xr2 xr3">
  <x:sheetPr codeName="Sheet34">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3.7109375" style="245" customWidth="1"/>
    <x:col min="29" max="29" width="5.7109375" style="245" hidden="1" customWidth="1"/>
    <x:col min="30" max="30" width="3.7109375" style="245" hidden="1" customWidth="1"/>
    <x:col min="31" max="31" width="6.7109375" style="245" hidden="1" customWidth="1"/>
    <x:col min="32" max="34" width="3.7109375" style="245" hidden="1" customWidth="1"/>
    <x:col min="35" max="35" width="3.7109375" style="378" hidden="1" customWidth="1"/>
    <x:col min="36" max="43" width="3.7109375" style="245" hidden="1" customWidth="1"/>
    <x:col min="44" max="44" width="6.7109375" style="245" hidden="1" customWidth="1"/>
    <x:col min="45" max="45" width="3.7109375" style="245" hidden="1" customWidth="1"/>
    <x:col min="46" max="46" width="6.7109375" style="245" hidden="1" customWidth="1"/>
    <x:col min="47" max="49" width="4.7109375" style="245" hidden="1" customWidth="1"/>
    <x:col min="50" max="51" width="5.7109375" style="245" hidden="1" customWidth="1"/>
    <x:col min="52" max="52" width="10.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4.7109375" style="245" customWidth="1"/>
    <x:col min="180" max="180" width="6.7109375" style="245" hidden="1" customWidth="1"/>
    <x:col min="181" max="181" width="8.7109375" style="245" hidden="1" customWidth="1"/>
    <x:col min="182" max="182" width="4.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4.7109375" style="245" customWidth="1"/>
    <x:col min="197" max="206" width="8.7109375" style="245" hidden="1" customWidth="1"/>
    <x:col min="207" max="207" width="8.7109375" style="245" customWidth="1"/>
    <x:col min="208" max="208" width="8.7109375" style="245" hidden="1" customWidth="1"/>
    <x:col min="209" max="211" width="6.7109375" style="245" hidden="1" customWidth="1"/>
    <x:col min="212" max="212" width="6.7109375" style="247" hidden="1" customWidth="1"/>
    <x:col min="213" max="213" width="6.7109375" style="381" hidden="1" customWidth="1"/>
    <x:col min="214" max="236" width="6.7109375" style="245" hidden="1" customWidth="1"/>
    <x:col min="237" max="237" width="4.7109375" style="245" hidden="1" customWidth="1"/>
    <x:col min="238" max="240" width="6.7109375" style="245" hidden="1" customWidth="1"/>
    <x:col min="241" max="241" width="8.7109375" style="245" customWidth="1"/>
    <x:col min="242" max="16384" width="4.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291"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463</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0">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t="s">
        <x:v>523</x:v>
      </x:c>
      <x:c r="CW3" s="573" t="s">
        <x:v>171</x:v>
      </x:c>
      <x:c r="CX3" s="574" t="s">
        <x:v>462</x:v>
      </x:c>
      <x:c r="CY3" s="575" t="s">
        <x:v>463</x:v>
      </x:c>
      <x:c r="CZ3" s="574" t="s">
        <x:v>464</x:v>
      </x:c>
      <x:c r="DA3" s="574" t="s">
        <x:v>465</x:v>
      </x:c>
      <x:c r="DB3" s="574" t="s">
        <x:v>466</x:v>
      </x:c>
      <x:c r="DC3" s="576" t="s">
        <x:v>681</x:v>
      </x:c>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6">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244"/>
      <x:c r="CJ4" s="203"/>
      <x:c r="CK4" s="374"/>
      <x:c r="CL4" s="374"/>
      <x:c r="CM4" s="374"/>
      <x:c r="CN4" s="374"/>
      <x:c r="CO4" s="374"/>
      <x:c r="CP4" s="244"/>
      <x:c r="CQ4" s="244"/>
      <x:c r="CR4" s="374"/>
      <x:c r="CS4" s="374"/>
      <x:c r="CU4" s="577" t="s">
        <x:v>73</x:v>
      </x:c>
      <x:c r="CV4" s="1660">
        <x:f>'Job Info.'!$N$7</x:f>
        <x:v>1</x:v>
      </x:c>
      <x:c r="CW4" s="1661">
        <x:f>'Job Info.'!$H$7</x:f>
        <x:v>2.5</x:v>
      </x:c>
      <x:c r="CX4" s="1662">
        <x:f>'Job Info.'!$J$7</x:f>
        <x:v>4</x:v>
      </x:c>
      <x:c r="CY4" s="1662">
        <x:f>'Job Info.'!$I$7</x:f>
        <x:v>2.5</x:v>
      </x:c>
      <x:c r="CZ4" s="1662">
        <x:f>'Job Info.'!$K$7</x:f>
        <x:v>3.5</x:v>
      </x:c>
      <x:c r="DA4" s="1663">
        <x:f>'Job Info.'!$M$7</x:f>
        <x:v>0.5625</x:v>
      </x:c>
      <x:c r="DB4" s="1662">
        <x:f>'Job Info.'!$L$7</x:f>
        <x:v>1.5</x:v>
      </x:c>
      <x:c r="DC4" s="1664">
        <x:f>'Job Info.'!$O$7</x:f>
        <x:v>2.5</x:v>
      </x:c>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6">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t="s">
        <x:v>74</x:v>
      </x:c>
      <x:c r="CV5" s="1665">
        <x:f>'Job Info.'!$N$8</x:f>
        <x:v>1</x:v>
      </x:c>
      <x:c r="CW5" s="1666">
        <x:f>'Job Info.'!$H$8</x:f>
        <x:v>2.5</x:v>
      </x:c>
      <x:c r="CX5" s="1666">
        <x:f>'Job Info.'!$J$8</x:f>
        <x:v>4</x:v>
      </x:c>
      <x:c r="CY5" s="1666">
        <x:f>'Job Info.'!$I$8</x:f>
        <x:v>2.5</x:v>
      </x:c>
      <x:c r="CZ5" s="1666">
        <x:f>'Job Info.'!$K$8</x:f>
        <x:v>3.5</x:v>
      </x:c>
      <x:c r="DA5" s="1667">
        <x:f>'Job Info.'!$M$8</x:f>
        <x:v>0.5625</x:v>
      </x:c>
      <x:c r="DB5" s="1666">
        <x:f>'Job Info.'!$L$8</x:f>
        <x:v>1.5</x:v>
      </x:c>
      <x:c r="DC5" s="1668">
        <x:f>'Job Info.'!$O$8</x:f>
        <x:v>2.5</x:v>
      </x:c>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6">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376"/>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393" t="s">
        <x:v>678</x:v>
      </x:c>
      <x:c r="CC6" s="2406"/>
      <x:c r="CD6" s="1924"/>
      <x:c r="CE6" s="1924"/>
      <x:c r="CF6" s="1924"/>
      <x:c r="CG6" s="244"/>
      <x:c r="CH6" s="244"/>
      <x:c r="CI6" s="244"/>
      <x:c r="CJ6" s="544"/>
      <x:c r="CK6" s="544"/>
      <x:c r="CL6" s="544"/>
      <x:c r="CM6" s="544"/>
      <x:c r="CN6" s="544"/>
      <x:c r="CO6" s="544"/>
      <x:c r="CP6" s="244"/>
      <x:c r="CQ6" s="244"/>
      <x:c r="CR6" s="374"/>
      <x:c r="CS6" s="244"/>
      <x:c r="CU6" s="579" t="s">
        <x:v>415</x:v>
      </x:c>
      <x:c r="CV6" s="1669">
        <x:f>'Job Info.'!$N$8</x:f>
        <x:v>1</x:v>
      </x:c>
      <x:c r="CW6" s="1670">
        <x:f>'Job Info.'!$H$8</x:f>
        <x:v>2.5</x:v>
      </x:c>
      <x:c r="CX6" s="1670">
        <x:f>'Job Info.'!$J$8</x:f>
        <x:v>4</x:v>
      </x:c>
      <x:c r="CY6" s="1670">
        <x:f>'Job Info.'!$I$8</x:f>
        <x:v>2.5</x:v>
      </x:c>
      <x:c r="CZ6" s="1670">
        <x:f>'Job Info.'!$K$8</x:f>
        <x:v>3.5</x:v>
      </x:c>
      <x:c r="DA6" s="1671">
        <x:f>'Job Info.'!$M$8</x:f>
        <x:v>0.5625</x:v>
      </x:c>
      <x:c r="DB6" s="1670">
        <x:f>'Job Info.'!$L$8</x:f>
        <x:v>1.5</x:v>
      </x:c>
      <x:c r="DC6" s="1672">
        <x:f>'Job Info.'!$O$15</x:f>
        <x:v>5</x:v>
      </x:c>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6">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627"/>
      <x:c r="EY6" s="251"/>
      <x:c r="EZ6" s="251"/>
      <x:c r="FA6" s="251"/>
      <x:c r="FB6" s="246"/>
      <x:c r="FC6" s="246"/>
      <x:c r="FD6" s="246"/>
      <x:c r="FE6" s="246"/>
      <x:c r="FF6" s="246"/>
      <x:c r="FG6" s="246"/>
      <x:c r="FH6" s="246"/>
      <x:c r="FI6" s="246"/>
      <x:c r="GA6" s="374"/>
      <x:c r="GB6" s="374"/>
      <x:c r="GC6" s="374"/>
      <x:c r="GD6" s="374"/>
      <x:c r="GE6" s="374"/>
      <x:c r="GF6" s="374"/>
      <x:c r="GG6" s="374"/>
      <x:c r="GH6" s="374"/>
      <x:c r="GI6" s="374"/>
      <x:c r="GJ6" s="374"/>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17 of 19</x:v>
      </x:c>
      <x:c r="Z7" s="658"/>
      <x:c r="AA7" s="374"/>
      <x:c r="AC7" s="1083">
        <x:v>17</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393" t="s">
        <x:v>657</x:v>
      </x:c>
      <x:c r="CC7" s="777"/>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114</x:v>
      </x:c>
      <x:c r="DG7" s="1654">
        <x:f>'Job Info.'!$N12/2</x:f>
        <x:v>1</x:v>
      </x:c>
      <x:c r="DH7" s="1656">
        <x:f>'Job Info.'!$H12</x:f>
        <x:v>5</x:v>
      </x:c>
      <x:c r="DI7" s="1656">
        <x:f>'Job Info.'!$J12</x:f>
        <x:v>6</x:v>
      </x:c>
      <x:c r="DJ7" s="1656">
        <x:f>'Job Info.'!$I12</x:f>
        <x:v>4</x:v>
      </x:c>
      <x:c r="DK7" s="1656">
        <x:f>'Job Info.'!$K12</x:f>
        <x:v>4</x:v>
      </x:c>
      <x:c r="DL7" s="1657">
        <x:f>'Job Info.'!$M12</x:f>
        <x:v>0.8125</x:v>
      </x:c>
      <x:c r="DM7" s="1656">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2.8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415</x:v>
      </x:c>
      <x:c r="DG8" s="1654">
        <x:f>'Job Info.'!$N13/2</x:f>
        <x:v>1</x:v>
      </x:c>
      <x:c r="DH8" s="1656">
        <x:f>'Job Info.'!$H13</x:f>
        <x:v>5</x:v>
      </x:c>
      <x:c r="DI8" s="1656">
        <x:f>'Job Info.'!$J13</x:f>
        <x:v>6</x:v>
      </x:c>
      <x:c r="DJ8" s="1656">
        <x:f>'Job Info.'!$I13</x:f>
        <x:v>4</x:v>
      </x:c>
      <x:c r="DK8" s="1656">
        <x:f>'Job Info.'!$K13</x:f>
        <x:v>4</x:v>
      </x:c>
      <x:c r="DL8" s="1657">
        <x:f>'Job Info.'!$M13</x:f>
        <x:v>0.8125</x:v>
      </x:c>
      <x:c r="DM8" s="1656">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399"/>
      <x:c r="BA9" s="246"/>
      <x:c r="BB9" s="400"/>
      <x:c r="BC9" s="244"/>
      <x:c r="BD9" s="244"/>
      <x:c r="BE9" s="949">
        <x:v>4.5</x:v>
      </x:c>
      <x:c r="BF9" s="949">
        <x:v>5.5</x:v>
      </x:c>
      <x:c r="BG9" s="950">
        <x:v>5</x:v>
      </x:c>
      <x:c r="BH9" s="950">
        <x:v>5</x:v>
      </x:c>
      <x:c r="BI9" s="950">
        <x:v>5</x:v>
      </x:c>
      <x:c r="BJ9" s="950">
        <x:v>3</x:v>
      </x:c>
      <x:c r="BK9" s="950">
        <x:v>5</x:v>
      </x:c>
      <x:c r="BL9" s="950">
        <x:v>5</x:v>
      </x:c>
      <x:c r="BM9" s="950">
        <x:v>5</x:v>
      </x:c>
      <x:c r="BN9" s="950">
        <x:v>6</x:v>
      </x:c>
      <x:c r="BO9" s="950">
        <x:v>5</x:v>
      </x:c>
      <x:c r="BP9" s="950">
        <x:v>5</x:v>
      </x:c>
      <x:c r="BQ9" s="950">
        <x:v>5</x:v>
      </x:c>
      <x:c r="BR9" s="950">
        <x:v>3</x:v>
      </x:c>
      <x:c r="BS9" s="950">
        <x:v>5</x:v>
      </x:c>
      <x:c r="BT9" s="950">
        <x:v>5</x:v>
      </x:c>
      <x:c r="BU9" s="950">
        <x:v>5</x:v>
      </x:c>
      <x:c r="BV9" s="950">
        <x:v>6</x:v>
      </x:c>
      <x:c r="BW9" s="951"/>
      <x:c r="BX9" s="949">
        <x:v>24</x:v>
      </x:c>
      <x:c r="BY9" s="949">
        <x:v>24</x:v>
      </x:c>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416</x:v>
      </x:c>
      <x:c r="DG9" s="1673">
        <x:f>'Job Info.'!$N14/2</x:f>
        <x:v>1</x:v>
      </x:c>
      <x:c r="DH9" s="1674">
        <x:f>'Job Info.'!$H14</x:f>
        <x:v>5</x:v>
      </x:c>
      <x:c r="DI9" s="1674">
        <x:f>'Job Info.'!$J14</x:f>
        <x:v>6</x:v>
      </x:c>
      <x:c r="DJ9" s="1674">
        <x:f>'Job Info.'!$I14</x:f>
        <x:v>4</x:v>
      </x:c>
      <x:c r="DK9" s="1674">
        <x:f>'Job Info.'!$K14</x:f>
        <x:v>4</x:v>
      </x:c>
      <x:c r="DL9" s="1675">
        <x:f>'Job Info.'!$M14</x:f>
        <x:v>0.8125</x:v>
      </x:c>
      <x:c r="DM9" s="1674">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thickBot="1" x14ac:dyDescent="0.25">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399"/>
      <x:c r="BA10" s="246"/>
      <x:c r="BB10" s="1622">
        <x:f>J_A!BB17</x:f>
        <x:v>6</x:v>
      </x:c>
      <x:c r="BC10" s="1622">
        <x:f>J_A!BC17</x:f>
        <x:v>4</x:v>
      </x:c>
      <x:c r="BD10" s="1622">
        <x:f>J_A!BD17</x:f>
        <x:v>13</x:v>
      </x:c>
      <x:c r="BE10" s="1622">
        <x:f>J_A!BE17</x:f>
        <x:v>4</x:v>
      </x:c>
      <x:c r="BF10" s="1622">
        <x:f>J_A!BF17</x:f>
        <x:v>5</x:v>
      </x:c>
      <x:c r="BG10" s="1623">
        <x:f>J_A!BG17</x:f>
        <x:v>3</x:v>
      </x:c>
      <x:c r="BH10" s="1623">
        <x:f>J_A!BH17</x:f>
        <x:v>4.57</x:v>
      </x:c>
      <x:c r="BI10" s="1623">
        <x:f>J_A!BI17</x:f>
        <x:v>4.57</x:v>
      </x:c>
      <x:c r="BJ10" s="1623">
        <x:f>J_A!BJ17</x:f>
        <x:v>2.71</x:v>
      </x:c>
      <x:c r="BK10" s="1623">
        <x:f>J_A!BK17</x:f>
        <x:v>4.57</x:v>
      </x:c>
      <x:c r="BL10" s="1623">
        <x:f>J_A!BL17</x:f>
        <x:v>4.57</x:v>
      </x:c>
      <x:c r="BM10" s="1623">
        <x:f>J_A!BM17</x:f>
        <x:v>4</x:v>
      </x:c>
      <x:c r="BN10" s="1623">
        <x:f>J_A!BN17</x:f>
        <x:v>5</x:v>
      </x:c>
      <x:c r="BO10" s="1623">
        <x:f>J_A!BO17</x:f>
        <x:v>2.71</x:v>
      </x:c>
      <x:c r="BP10" s="1623">
        <x:f>J_A!BP17</x:f>
        <x:v>5.29</x:v>
      </x:c>
      <x:c r="BQ10" s="1623">
        <x:f>J_A!BQ17</x:f>
        <x:v>5.29</x:v>
      </x:c>
      <x:c r="BR10" s="1623">
        <x:f>J_A!BR17</x:f>
        <x:v>4</x:v>
      </x:c>
      <x:c r="BS10" s="1623">
        <x:f>J_A!BS17</x:f>
        <x:v>3</x:v>
      </x:c>
      <x:c r="BT10" s="1623">
        <x:f>J_A!BT17</x:f>
        <x:v>4.57</x:v>
      </x:c>
      <x:c r="BU10" s="1623">
        <x:f>J_A!BU17</x:f>
        <x:v>4.57</x:v>
      </x:c>
      <x:c r="BV10" s="1623">
        <x:f>J_A!BV17</x:f>
        <x:v>2.71</x:v>
      </x:c>
      <x:c r="BW10" s="1622">
        <x:f>J_A!BW17</x:f>
        <x:v>4.57</x:v>
      </x:c>
      <x:c r="BX10" s="1622">
        <x:f>J_A!BX17</x:f>
        <x:v>4.57</x:v>
      </x:c>
      <x:c r="BY10" s="1622">
        <x:f>J_A!BY17</x:f>
        <x:v>4</x:v>
      </x:c>
      <x:c r="BZ10" s="1622">
        <x:f>J_A!BZ17</x:f>
        <x:v>5</x:v>
      </x:c>
      <x:c r="CA10" s="1622">
        <x:f>J_A!CA17</x:f>
        <x:v>2.71</x:v>
      </x:c>
      <x:c r="CB10" s="1623">
        <x:f>J_A!CB17</x:f>
        <x:v>5.29</x:v>
      </x:c>
      <x:c r="CC10" s="1622">
        <x:f>J_A!CC17</x:f>
        <x:v>5.29</x:v>
      </x:c>
      <x:c r="CD10" s="1622">
        <x:f>J_A!CD17</x:f>
        <x:v>4</x:v>
      </x:c>
      <x:c r="CE10" s="1622">
        <x:f>J_A!CE17</x:f>
        <x:v>5</x:v>
      </x:c>
      <x:c r="CF10" s="1622">
        <x:f>J_A!CF17</x:f>
        <x:v>17.14</x:v>
      </x:c>
      <x:c r="CG10" s="1623">
        <x:f>J_A!CG17</x:f>
        <x:v>17.14</x:v>
      </x:c>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12.6" customHeight="1" thickTop="1" thickBot="1" x14ac:dyDescent="0.25">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359" t="s">
        <x:v>592</x:v>
      </x:c>
      <x:c r="BC11" s="2360"/>
      <x:c r="BD11" s="2360"/>
      <x:c r="BE11" s="2360"/>
      <x:c r="BF11" s="2360"/>
      <x:c r="BG11" s="2360"/>
      <x:c r="BH11" s="2360"/>
      <x:c r="BI11" s="2360"/>
      <x:c r="BJ11" s="2360"/>
      <x:c r="BK11" s="2360"/>
      <x:c r="BL11" s="2360"/>
      <x:c r="BM11" s="2360"/>
      <x:c r="BN11" s="2360"/>
      <x:c r="BO11" s="2360"/>
      <x:c r="BP11" s="2360"/>
      <x:c r="BQ11" s="2360"/>
      <x:c r="BR11" s="2360"/>
      <x:c r="BS11" s="2360"/>
      <x:c r="BT11" s="2360"/>
      <x:c r="BU11" s="2360"/>
      <x:c r="BV11" s="2360"/>
      <x:c r="BW11" s="2360"/>
      <x:c r="BX11" s="2360"/>
      <x:c r="BY11" s="2360"/>
      <x:c r="BZ11" s="2360"/>
      <x:c r="CA11" s="2360"/>
      <x:c r="CB11" s="2360"/>
      <x:c r="CC11" s="1557"/>
      <x:c r="CD11" s="2363"/>
      <x:c r="CE11" s="2363"/>
      <x:c r="CF11" s="2363"/>
      <x:c r="CG11" s="236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c r="HA11" s="255">
        <x:v>1</x:v>
      </x:c>
      <x:c r="HB11" s="255">
        <x:f>HA11+1</x:f>
        <x:v>2</x:v>
      </x:c>
      <x:c r="HC11" s="255">
        <x:f t="shared" ref="HC11:IF11" si="0">HB11+1</x:f>
        <x:v>3</x:v>
      </x:c>
      <x:c r="HD11" s="255">
        <x:f t="shared" si="0"/>
        <x:v>4</x:v>
      </x:c>
      <x:c r="HE11" s="255">
        <x:f t="shared" si="0"/>
        <x:v>5</x:v>
      </x:c>
      <x:c r="HF11" s="255">
        <x:f t="shared" si="0"/>
        <x:v>6</x:v>
      </x:c>
      <x:c r="HG11" s="255">
        <x:f t="shared" si="0"/>
        <x:v>7</x:v>
      </x:c>
      <x:c r="HH11" s="255">
        <x:f t="shared" si="0"/>
        <x:v>8</x:v>
      </x:c>
      <x:c r="HI11" s="255">
        <x:f t="shared" si="0"/>
        <x:v>9</x:v>
      </x:c>
      <x:c r="HJ11" s="255">
        <x:f t="shared" si="0"/>
        <x:v>10</x:v>
      </x:c>
      <x:c r="HK11" s="255">
        <x:f t="shared" si="0"/>
        <x:v>11</x:v>
      </x:c>
      <x:c r="HL11" s="255">
        <x:f t="shared" si="0"/>
        <x:v>12</x:v>
      </x:c>
      <x:c r="HM11" s="255">
        <x:f t="shared" si="0"/>
        <x:v>13</x:v>
      </x:c>
      <x:c r="HN11" s="255">
        <x:f t="shared" si="0"/>
        <x:v>14</x:v>
      </x:c>
      <x:c r="HO11" s="255">
        <x:f t="shared" si="0"/>
        <x:v>15</x:v>
      </x:c>
      <x:c r="HP11" s="255">
        <x:f t="shared" si="0"/>
        <x:v>16</x:v>
      </x:c>
      <x:c r="HQ11" s="255">
        <x:f t="shared" si="0"/>
        <x:v>17</x:v>
      </x:c>
      <x:c r="HR11" s="255">
        <x:f t="shared" si="0"/>
        <x:v>18</x:v>
      </x:c>
      <x:c r="HS11" s="255">
        <x:f t="shared" si="0"/>
        <x:v>19</x:v>
      </x:c>
      <x:c r="HT11" s="255">
        <x:f t="shared" si="0"/>
        <x:v>20</x:v>
      </x:c>
      <x:c r="HU11" s="255">
        <x:f t="shared" si="0"/>
        <x:v>21</x:v>
      </x:c>
      <x:c r="HV11" s="255">
        <x:f t="shared" si="0"/>
        <x:v>22</x:v>
      </x:c>
      <x:c r="HW11" s="255">
        <x:f t="shared" si="0"/>
        <x:v>23</x:v>
      </x:c>
      <x:c r="HX11" s="255">
        <x:f t="shared" si="0"/>
        <x:v>24</x:v>
      </x:c>
      <x:c r="HY11" s="255">
        <x:f t="shared" si="0"/>
        <x:v>25</x:v>
      </x:c>
      <x:c r="HZ11" s="255">
        <x:f t="shared" si="0"/>
        <x:v>26</x:v>
      </x:c>
      <x:c r="IA11" s="255">
        <x:f t="shared" si="0"/>
        <x:v>27</x:v>
      </x:c>
      <x:c r="IB11" s="255">
        <x:f t="shared" si="0"/>
        <x:v>28</x:v>
      </x:c>
      <x:c r="IC11" s="255">
        <x:f t="shared" si="0"/>
        <x:v>29</x:v>
      </x:c>
      <x:c r="ID11" s="255">
        <x:f t="shared" si="0"/>
        <x:v>30</x:v>
      </x:c>
      <x:c r="IE11" s="255">
        <x:f t="shared" si="0"/>
        <x:v>31</x:v>
      </x:c>
      <x:c r="IF11" s="255">
        <x:f t="shared" si="0"/>
        <x:v>32</x:v>
      </x:c>
    </x:row>
    <x:row r="12" spans="1:241" ht="12.6" customHeight="1" thickBot="1" x14ac:dyDescent="0.25">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IF(ISBLANK(CC7),"",CC7)</x:f>
        <x:v/>
      </x:c>
      <x:c r="AB12" s="405" t="str">
        <x:f>AA12</x:f>
        <x:v/>
      </x:c>
      <x:c r="BA12" s="246"/>
      <x:c r="BB12" s="2361"/>
      <x:c r="BC12" s="2362"/>
      <x:c r="BD12" s="2362"/>
      <x:c r="BE12" s="2362"/>
      <x:c r="BF12" s="2362"/>
      <x:c r="BG12" s="2362"/>
      <x:c r="BH12" s="2362"/>
      <x:c r="BI12" s="2362"/>
      <x:c r="BJ12" s="2362"/>
      <x:c r="BK12" s="2362"/>
      <x:c r="BL12" s="2362"/>
      <x:c r="BM12" s="2362"/>
      <x:c r="BN12" s="2362"/>
      <x:c r="BO12" s="2362"/>
      <x:c r="BP12" s="2362"/>
      <x:c r="BQ12" s="2362"/>
      <x:c r="BR12" s="2362"/>
      <x:c r="BS12" s="2362"/>
      <x:c r="BT12" s="2362"/>
      <x:c r="BU12" s="2362"/>
      <x:c r="BV12" s="2362"/>
      <x:c r="BW12" s="2362"/>
      <x:c r="BX12" s="2362"/>
      <x:c r="BY12" s="2362"/>
      <x:c r="BZ12" s="2362"/>
      <x:c r="CA12" s="2362"/>
      <x:c r="CB12" s="2362"/>
      <x:c r="CC12" s="1556"/>
      <x:c r="CD12" s="2365"/>
      <x:c r="CE12" s="2366"/>
      <x:c r="CF12" s="2366"/>
      <x:c r="CG12" s="2367"/>
      <x:c r="CH12" s="244"/>
      <x:c r="CI12" s="244"/>
      <x:c r="CJ12" s="244"/>
      <x:c r="CK12" s="244"/>
      <x:c r="CL12" s="244"/>
      <x:c r="CM12" s="933"/>
      <x:c r="CN12" s="2432" t="s">
        <x:v>679</x:v>
      </x:c>
      <x:c r="CO12" s="2433"/>
      <x:c r="CP12" s="2104" t="s">
        <x:v>615</x:v>
      </x:c>
      <x:c r="CQ12" s="2427"/>
      <x:c r="CR12" s="2394" t="s">
        <x:v>482</x:v>
      </x:c>
      <x:c r="CS12" s="2386" t="s">
        <x:v>483</x:v>
      </x:c>
      <x:c r="CU12" s="246"/>
      <x:c r="CV12" s="246"/>
      <x:c r="CW12" s="246"/>
      <x:c r="CX12" s="246"/>
      <x:c r="CY12" s="246"/>
      <x:c r="CZ12" s="246"/>
      <x:c r="DA12" s="246"/>
      <x:c r="DB12" s="246"/>
      <x:c r="DC12" s="246"/>
      <x:c r="DD12" s="246"/>
      <x:c r="DE12" s="246"/>
      <x:c r="DF12" s="246"/>
      <x:c r="DG12" s="246"/>
      <x:c r="DH12" s="246"/>
      <x:c r="DI12" s="246"/>
      <x:c r="DJ12" s="246"/>
      <x:c r="DK12" s="246"/>
      <x:c r="DL12" s="246"/>
      <x:c r="DM12" s="246"/>
      <x:c r="DN12" s="246"/>
      <x:c r="DO12" s="251"/>
      <x:c r="DQ12" s="418"/>
      <x:c r="DR12" s="246"/>
      <x:c r="DS12" s="246"/>
      <x:c r="DT12" s="246"/>
      <x:c r="DU12" s="246"/>
      <x:c r="DV12" s="246"/>
      <x:c r="DW12" s="404"/>
      <x:c r="DX12" s="404"/>
      <x:c r="DY12" s="404"/>
      <x:c r="DZ12" s="404"/>
      <x:c r="EA12" s="246"/>
      <x:c r="EB12" s="251"/>
      <x:c r="EC12" s="246"/>
      <x:c r="ED12" s="246"/>
      <x:c r="EE12" s="246"/>
      <x:c r="EF12" s="246"/>
      <x:c r="EG12" s="246"/>
      <x:c r="EH12" s="246"/>
      <x:c r="EI12" s="246"/>
      <x:c r="EJ12" s="246"/>
      <x:c r="EK12" s="246"/>
      <x:c r="EL12" s="246"/>
      <x:c r="EM12" s="246"/>
      <x:c r="EN12" s="246"/>
      <x:c r="EO12" s="246"/>
      <x:c r="EP12" s="246"/>
      <x:c r="EQ12" s="246"/>
      <x:c r="ER12" s="246"/>
      <x:c r="ES12" s="246"/>
      <x:c r="ET12" s="246"/>
      <x:c r="EU12" s="246"/>
      <x:c r="EV12" s="2348" t="s">
        <x:v>581</x:v>
      </x:c>
      <x:c r="EW12" s="2346" t="s">
        <x:v>472</x:v>
      </x:c>
      <x:c r="EX12" s="2346" t="s">
        <x:v>525</x:v>
      </x:c>
      <x:c r="EY12" s="2346" t="s">
        <x:v>526</x:v>
      </x:c>
      <x:c r="EZ12" s="2346" t="s">
        <x:v>527</x:v>
      </x:c>
      <x:c r="FA12" s="2346" t="s">
        <x:v>528</x:v>
      </x:c>
      <x:c r="FB12" s="2346" t="s">
        <x:v>529</x:v>
      </x:c>
      <x:c r="FC12" s="2346" t="s">
        <x:v>530</x:v>
      </x:c>
      <x:c r="FD12" s="2346" t="s">
        <x:v>531</x:v>
      </x:c>
      <x:c r="FE12" s="2346" t="s">
        <x:v>473</x:v>
      </x:c>
      <x:c r="FF12" s="2346" t="s">
        <x:v>532</x:v>
      </x:c>
      <x:c r="FG12" s="2346" t="s">
        <x:v>583</x:v>
      </x:c>
      <x:c r="FH12" s="2346" t="s">
        <x:v>474</x:v>
      </x:c>
      <x:c r="FI12" s="2346" t="s">
        <x:v>533</x:v>
      </x:c>
      <x:c r="FJ12" s="2346" t="s">
        <x:v>475</x:v>
      </x:c>
      <x:c r="FK12" s="2346" t="s">
        <x:v>534</x:v>
      </x:c>
      <x:c r="FL12" s="2346" t="s">
        <x:v>584</x:v>
      </x:c>
      <x:c r="FM12" s="2346" t="s">
        <x:v>476</x:v>
      </x:c>
      <x:c r="FN12" s="2346" t="s">
        <x:v>477</x:v>
      </x:c>
      <x:c r="FQ12" s="2319" t="s">
        <x:v>656</x:v>
      </x:c>
      <x:c r="FR12" s="2320"/>
      <x:c r="GA12" s="374"/>
      <x:c r="GB12" s="374"/>
      <x:c r="GC12" s="374"/>
      <x:c r="GD12" s="374"/>
      <x:c r="GE12" s="374"/>
      <x:c r="GF12" s="374"/>
      <x:c r="GG12" s="374"/>
      <x:c r="GH12" s="374"/>
      <x:c r="GI12" s="374"/>
      <x:c r="GJ12" s="374"/>
      <x:c r="HA12" s="2454" t="s">
        <x:v>621</x:v>
      </x:c>
      <x:c r="HB12" s="2455"/>
      <x:c r="HC12" s="2455"/>
      <x:c r="HD12" s="2455"/>
      <x:c r="HE12" s="2455"/>
      <x:c r="HF12" s="2455"/>
      <x:c r="HG12" s="2455"/>
      <x:c r="HH12" s="2455"/>
      <x:c r="HI12" s="2455"/>
      <x:c r="HJ12" s="2455"/>
      <x:c r="HK12" s="2455"/>
      <x:c r="HL12" s="2455"/>
      <x:c r="HM12" s="2455"/>
      <x:c r="HN12" s="2455"/>
      <x:c r="HO12" s="2455"/>
      <x:c r="HP12" s="2455"/>
      <x:c r="HQ12" s="2455"/>
      <x:c r="HR12" s="2455"/>
      <x:c r="HS12" s="2455"/>
      <x:c r="HT12" s="2455"/>
      <x:c r="HU12" s="2455"/>
      <x:c r="HV12" s="2456"/>
      <x:c r="HW12" s="2456"/>
      <x:c r="HX12" s="2456"/>
      <x:c r="HY12" s="2457"/>
      <x:c r="HZ12" s="2457"/>
      <x:c r="IA12" s="2457"/>
      <x:c r="IB12" s="2457"/>
      <x:c r="IC12" s="2457"/>
      <x:c r="ID12" s="2457"/>
      <x:c r="IE12" s="2457"/>
      <x:c r="IF12" s="2458"/>
    </x:row>
    <x:row r="13" spans="1:241" ht="12.2" customHeight="1" thickTop="1" thickBot="1" x14ac:dyDescent="0.25">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AU13" s="2466" t="s">
        <x:v>450</x:v>
      </x:c>
      <x:c r="AV13" s="2319" t="s">
        <x:v>451</x:v>
      </x:c>
      <x:c r="AW13" s="2320"/>
      <x:c r="AX13" s="465"/>
      <x:c r="BA13" s="246"/>
      <x:c r="BB13" s="2477"/>
      <x:c r="BC13" s="2478"/>
      <x:c r="BD13" s="2478"/>
      <x:c r="BE13" s="2478"/>
      <x:c r="BF13" s="1950"/>
      <x:c r="BG13" s="2414" t="s">
        <x:v>469</x:v>
      </x:c>
      <x:c r="BH13" s="2415"/>
      <x:c r="BI13" s="2415"/>
      <x:c r="BJ13" s="2415"/>
      <x:c r="BK13" s="2415"/>
      <x:c r="BL13" s="2416"/>
      <x:c r="BM13" s="2417"/>
      <x:c r="BN13" s="2417"/>
      <x:c r="BO13" s="2418"/>
      <x:c r="BP13" s="2418"/>
      <x:c r="BQ13" s="2418"/>
      <x:c r="BR13" s="2419"/>
      <x:c r="BS13" s="2414" t="s">
        <x:v>470</x:v>
      </x:c>
      <x:c r="BT13" s="2416"/>
      <x:c r="BU13" s="2416"/>
      <x:c r="BV13" s="2416"/>
      <x:c r="BW13" s="2416"/>
      <x:c r="BX13" s="2416"/>
      <x:c r="BY13" s="2417"/>
      <x:c r="BZ13" s="2417"/>
      <x:c r="CA13" s="2418"/>
      <x:c r="CB13" s="2418"/>
      <x:c r="CC13" s="2418"/>
      <x:c r="CD13" s="2419"/>
      <x:c r="CE13" s="2468" t="s">
        <x:v>804</x:v>
      </x:c>
      <x:c r="CF13" s="2447"/>
      <x:c r="CG13" s="2448"/>
      <x:c r="CH13" s="244"/>
      <x:c r="CI13" s="244"/>
      <x:c r="CJ13" s="244"/>
      <x:c r="CK13" s="244"/>
      <x:c r="CL13" s="934"/>
      <x:c r="CM13" s="935"/>
      <x:c r="CN13" s="2434"/>
      <x:c r="CO13" s="2435"/>
      <x:c r="CP13" s="2428"/>
      <x:c r="CQ13" s="2429"/>
      <x:c r="CR13" s="2395"/>
      <x:c r="CS13" s="2387"/>
      <x:c r="CU13" s="2397" t="s">
        <x:v>471</x:v>
      </x:c>
      <x:c r="CV13" s="2398"/>
      <x:c r="CW13" s="2398"/>
      <x:c r="CX13" s="2398"/>
      <x:c r="CY13" s="2398"/>
      <x:c r="CZ13" s="2398"/>
      <x:c r="DA13" s="2398"/>
      <x:c r="DB13" s="2398"/>
      <x:c r="DC13" s="2398"/>
      <x:c r="DD13" s="2399"/>
      <x:c r="DE13" s="2397" t="s">
        <x:v>470</x:v>
      </x:c>
      <x:c r="DF13" s="2398"/>
      <x:c r="DG13" s="2398"/>
      <x:c r="DH13" s="2398"/>
      <x:c r="DI13" s="2398"/>
      <x:c r="DJ13" s="2398"/>
      <x:c r="DK13" s="2398"/>
      <x:c r="DL13" s="2398"/>
      <x:c r="DM13" s="2398"/>
      <x:c r="DN13" s="2399"/>
      <x:c r="DQ13" s="424"/>
      <x:c r="DR13" s="246"/>
      <x:c r="DS13" s="419"/>
      <x:c r="DT13" s="419"/>
      <x:c r="DU13" s="419"/>
      <x:c r="DV13" s="419"/>
      <x:c r="DW13" s="246"/>
      <x:c r="DX13" s="246"/>
      <x:c r="DY13" s="246"/>
      <x:c r="DZ13" s="246"/>
      <x:c r="EA13" s="246"/>
      <x:c r="EB13" s="246"/>
      <x:c r="EC13" s="246"/>
      <x:c r="ED13" s="416"/>
      <x:c r="EE13" s="424"/>
      <x:c r="EF13" s="424"/>
      <x:c r="EG13" s="424"/>
      <x:c r="EH13" s="424"/>
      <x:c r="EI13" s="424"/>
      <x:c r="EJ13" s="424"/>
      <x:c r="EK13" s="424"/>
      <x:c r="EL13" s="424"/>
      <x:c r="EM13" s="424"/>
      <x:c r="EN13" s="424"/>
      <x:c r="EO13" s="424"/>
      <x:c r="EP13" s="424"/>
      <x:c r="EQ13" s="424"/>
      <x:c r="ER13" s="424"/>
      <x:c r="ES13" s="424"/>
      <x:c r="ET13" s="424"/>
      <x:c r="EU13" s="425"/>
      <x:c r="EV13" s="2349"/>
      <x:c r="EW13" s="2307"/>
      <x:c r="EX13" s="2347"/>
      <x:c r="EY13" s="2347"/>
      <x:c r="EZ13" s="2422"/>
      <x:c r="FA13" s="2347"/>
      <x:c r="FB13" s="2347"/>
      <x:c r="FC13" s="2347"/>
      <x:c r="FD13" s="2423"/>
      <x:c r="FE13" s="2423"/>
      <x:c r="FF13" s="2423"/>
      <x:c r="FG13" s="2423"/>
      <x:c r="FH13" s="2423"/>
      <x:c r="FI13" s="2423"/>
      <x:c r="FJ13" s="2423"/>
      <x:c r="FK13" s="2423"/>
      <x:c r="FL13" s="2423"/>
      <x:c r="FM13" s="2423"/>
      <x:c r="FN13" s="2423"/>
      <x:c r="FQ13" s="2321"/>
      <x:c r="FR13" s="2322"/>
      <x:c r="GA13" s="2318" t="s">
        <x:v>1140</x:v>
      </x:c>
      <x:c r="GB13" s="2318"/>
      <x:c r="GC13" s="2318"/>
      <x:c r="GD13" s="2318"/>
      <x:c r="GE13" s="2318"/>
      <x:c r="GF13" s="2318"/>
      <x:c r="GG13" s="1935"/>
      <x:c r="GH13" s="1935"/>
      <x:c r="GI13" s="1935"/>
      <x:c r="GJ13" s="1935"/>
      <x:c r="HA13" s="2459"/>
      <x:c r="HB13" s="2460"/>
      <x:c r="HC13" s="2460"/>
      <x:c r="HD13" s="2460"/>
      <x:c r="HE13" s="2460"/>
      <x:c r="HF13" s="2460"/>
      <x:c r="HG13" s="2460"/>
      <x:c r="HH13" s="2460"/>
      <x:c r="HI13" s="2460"/>
      <x:c r="HJ13" s="2460"/>
      <x:c r="HK13" s="2460"/>
      <x:c r="HL13" s="2460"/>
      <x:c r="HM13" s="2460"/>
      <x:c r="HN13" s="2460"/>
      <x:c r="HO13" s="2460"/>
      <x:c r="HP13" s="2460"/>
      <x:c r="HQ13" s="2460"/>
      <x:c r="HR13" s="2460"/>
      <x:c r="HS13" s="2460"/>
      <x:c r="HT13" s="2460"/>
      <x:c r="HU13" s="2460"/>
      <x:c r="HV13" s="2461"/>
      <x:c r="HW13" s="2461"/>
      <x:c r="HX13" s="2461"/>
      <x:c r="HY13" s="2462"/>
      <x:c r="HZ13" s="2462"/>
      <x:c r="IA13" s="2462"/>
      <x:c r="IB13" s="2462"/>
      <x:c r="IC13" s="2462"/>
      <x:c r="ID13" s="2462"/>
      <x:c r="IE13" s="2462"/>
      <x:c r="IF13" s="2463"/>
    </x:row>
    <x:row r="14" spans="1:241" ht="12.6" customHeight="1" thickTop="1" thickBot="1" x14ac:dyDescent="0.25">
      <x:c r="A14" s="2410" t="s">
        <x:v>40</x:v>
      </x:c>
      <x:c r="B14" s="2384" t="s">
        <x:v>28</x:v>
      </x:c>
      <x:c r="C14" s="2384" t="s">
        <x:v>24</x:v>
      </x:c>
      <x:c r="D14" s="2384" t="s">
        <x:v>25</x:v>
      </x:c>
      <x:c r="E14" s="2464"/>
      <x:c r="F14" s="2076" t="s">
        <x:v>9</x:v>
      </x:c>
      <x:c r="G14" s="2077"/>
      <x:c r="H14" s="2077"/>
      <x:c r="I14" s="2077" t="s">
        <x:v>10</x:v>
      </x:c>
      <x:c r="J14" s="2077"/>
      <x:c r="K14" s="2078"/>
      <x:c r="L14" s="2076" t="s">
        <x:v>11</x:v>
      </x:c>
      <x:c r="M14" s="2078"/>
      <x:c r="N14" s="1969" t="s">
        <x:v>12</x:v>
      </x:c>
      <x:c r="O14" s="2077"/>
      <x:c r="P14" s="2077"/>
      <x:c r="Q14" s="2077" t="s">
        <x:v>13</x:v>
      </x:c>
      <x:c r="R14" s="2077"/>
      <x:c r="S14" s="1967"/>
      <x:c r="T14" s="2076" t="s">
        <x:v>14</x:v>
      </x:c>
      <x:c r="U14" s="2077"/>
      <x:c r="V14" s="2077"/>
      <x:c r="W14" s="2077"/>
      <x:c r="X14" s="2078"/>
      <x:c r="Y14" s="2071" t="s">
        <x:v>111</x:v>
      </x:c>
      <x:c r="Z14" s="2072"/>
      <x:c r="AA14" s="1059" t="s">
        <x:v>15</x:v>
      </x:c>
      <x:c r="AB14" s="1411"/>
      <x:c r="AD14" s="426"/>
      <x:c r="AE14" s="426"/>
      <x:c r="AF14" s="426"/>
      <x:c r="AG14" s="426"/>
      <x:c r="AH14" s="426"/>
      <x:c r="AI14" s="426"/>
      <x:c r="AJ14" s="426"/>
      <x:c r="AK14" s="426"/>
      <x:c r="AL14" s="426"/>
      <x:c r="AM14" s="426"/>
      <x:c r="AN14" s="426"/>
      <x:c r="AO14" s="426"/>
      <x:c r="AP14" s="426"/>
      <x:c r="AQ14" s="426"/>
      <x:c r="AR14" s="426"/>
      <x:c r="AS14" s="426"/>
      <x:c r="AT14" s="426"/>
      <x:c r="AU14" s="1897"/>
      <x:c r="AV14" s="2321"/>
      <x:c r="AW14" s="2322"/>
      <x:c r="AX14" s="502"/>
      <x:c r="AY14" s="426"/>
      <x:c r="AZ14" s="2337" t="s">
        <x:v>1059</x:v>
      </x:c>
      <x:c r="BA14" s="246"/>
      <x:c r="BB14" s="2420" t="s">
        <x:v>539</x:v>
      </x:c>
      <x:c r="BC14" s="2400" t="s">
        <x:v>130</x:v>
      </x:c>
      <x:c r="BD14" s="2401" t="s">
        <x:v>540</x:v>
      </x:c>
      <x:c r="BE14" s="2402" t="s">
        <x:v>1290</x:v>
      </x:c>
      <x:c r="BF14" s="2403"/>
      <x:c r="BG14" s="2226" t="s">
        <x:v>1282</x:v>
      </x:c>
      <x:c r="BH14" s="2401" t="s">
        <x:v>803</x:v>
      </x:c>
      <x:c r="BI14" s="2229"/>
      <x:c r="BJ14" s="2368" t="s">
        <x:v>541</x:v>
      </x:c>
      <x:c r="BK14" s="2401" t="s">
        <x:v>1072</x:v>
      </x:c>
      <x:c r="BL14" s="2229"/>
      <x:c r="BM14" s="2400" t="s">
        <x:v>488</x:v>
      </x:c>
      <x:c r="BN14" s="2488" t="s">
        <x:v>793</x:v>
      </x:c>
      <x:c r="BO14" s="2475" t="s">
        <x:v>1275</x:v>
      </x:c>
      <x:c r="BP14" s="1937" t="s">
        <x:v>1276</x:v>
      </x:c>
      <x:c r="BQ14" s="1938"/>
      <x:c r="BR14" s="1939"/>
      <x:c r="BS14" s="2226" t="s">
        <x:v>1282</x:v>
      </x:c>
      <x:c r="BT14" s="2401" t="s">
        <x:v>803</x:v>
      </x:c>
      <x:c r="BU14" s="2229"/>
      <x:c r="BV14" s="2368" t="s">
        <x:v>541</x:v>
      </x:c>
      <x:c r="BW14" s="2401" t="s">
        <x:v>1072</x:v>
      </x:c>
      <x:c r="BX14" s="2229"/>
      <x:c r="BY14" s="2400" t="s">
        <x:v>488</x:v>
      </x:c>
      <x:c r="BZ14" s="2473" t="s">
        <x:v>793</x:v>
      </x:c>
      <x:c r="CA14" s="2475" t="s">
        <x:v>1275</x:v>
      </x:c>
      <x:c r="CB14" s="1937" t="s">
        <x:v>1276</x:v>
      </x:c>
      <x:c r="CC14" s="1938"/>
      <x:c r="CD14" s="1939"/>
      <x:c r="CE14" s="2469"/>
      <x:c r="CF14" s="2449"/>
      <x:c r="CG14" s="2448"/>
      <x:c r="CH14" s="2389" t="s">
        <x:v>588</x:v>
      </x:c>
      <x:c r="CI14" s="2390"/>
      <x:c r="CJ14" s="2390"/>
      <x:c r="CK14" s="2389" t="s">
        <x:v>589</x:v>
      </x:c>
      <x:c r="CL14" s="2436" t="s">
        <x:v>786</x:v>
      </x:c>
      <x:c r="CM14" s="2436"/>
      <x:c r="CN14" s="2434"/>
      <x:c r="CO14" s="2435"/>
      <x:c r="CP14" s="2430"/>
      <x:c r="CQ14" s="2431"/>
      <x:c r="CR14" s="2395"/>
      <x:c r="CS14" s="2387"/>
      <x:c r="CT14" s="426"/>
      <x:c r="CU14" s="2342" t="s">
        <x:v>498</x:v>
      </x:c>
      <x:c r="CV14" s="2302" t="s">
        <x:v>499</x:v>
      </x:c>
      <x:c r="CW14" s="2302" t="s">
        <x:v>500</x:v>
      </x:c>
      <x:c r="CX14" s="2302" t="s">
        <x:v>501</x:v>
      </x:c>
      <x:c r="CY14" s="2302" t="s">
        <x:v>560</x:v>
      </x:c>
      <x:c r="CZ14" s="2302" t="s">
        <x:v>578</x:v>
      </x:c>
      <x:c r="DA14" s="2302" t="s">
        <x:v>502</x:v>
      </x:c>
      <x:c r="DB14" s="2302" t="s">
        <x:v>579</x:v>
      </x:c>
      <x:c r="DC14" s="2302" t="s">
        <x:v>503</x:v>
      </x:c>
      <x:c r="DD14" s="2302" t="s">
        <x:v>504</x:v>
      </x:c>
      <x:c r="DE14" s="2342" t="s">
        <x:v>498</x:v>
      </x:c>
      <x:c r="DF14" s="2302" t="s">
        <x:v>499</x:v>
      </x:c>
      <x:c r="DG14" s="2302" t="s">
        <x:v>505</x:v>
      </x:c>
      <x:c r="DH14" s="2302" t="s">
        <x:v>501</x:v>
      </x:c>
      <x:c r="DI14" s="2302" t="s">
        <x:v>560</x:v>
      </x:c>
      <x:c r="DJ14" s="2302" t="s">
        <x:v>578</x:v>
      </x:c>
      <x:c r="DK14" s="2302" t="s">
        <x:v>502</x:v>
      </x:c>
      <x:c r="DL14" s="2302" t="s">
        <x:v>579</x:v>
      </x:c>
      <x:c r="DM14" s="2302" t="s">
        <x:v>503</x:v>
      </x:c>
      <x:c r="DN14" s="2344" t="s">
        <x:v>504</x:v>
      </x:c>
      <x:c r="DO14" s="2339" t="s">
        <x:v>491</x:v>
      </x:c>
      <x:c r="DP14" s="2437" t="s">
        <x:v>506</x:v>
      </x:c>
      <x:c r="DQ14" s="2333" t="s">
        <x:v>507</x:v>
      </x:c>
      <x:c r="DR14" s="2304" t="s">
        <x:v>508</x:v>
      </x:c>
      <x:c r="DS14" s="2306" t="s">
        <x:v>543</x:v>
      </x:c>
      <x:c r="DT14" s="2331" t="s">
        <x:v>509</x:v>
      </x:c>
      <x:c r="DU14" s="2332"/>
      <x:c r="DV14" s="2308" t="s">
        <x:v>1103</x:v>
      </x:c>
      <x:c r="DW14" s="2335" t="s">
        <x:v>1104</x:v>
      </x:c>
      <x:c r="DX14" s="2337" t="s">
        <x:v>514</x:v>
      </x:c>
      <x:c r="DY14" s="2306" t="s">
        <x:v>544</x:v>
      </x:c>
      <x:c r="DZ14" s="2331" t="s">
        <x:v>511</x:v>
      </x:c>
      <x:c r="EA14" s="2332"/>
      <x:c r="EB14" s="2335" t="s">
        <x:v>1105</x:v>
      </x:c>
      <x:c r="EC14" s="2335" t="s">
        <x:v>1106</x:v>
      </x:c>
      <x:c r="ED14" s="2337" t="s">
        <x:v>516</x:v>
      </x:c>
      <x:c r="EE14" s="2333" t="s">
        <x:v>545</x:v>
      </x:c>
      <x:c r="EF14" s="2351" t="s">
        <x:v>546</x:v>
      </x:c>
      <x:c r="EG14" s="2352"/>
      <x:c r="EH14" s="2351" t="s">
        <x:v>547</x:v>
      </x:c>
      <x:c r="EI14" s="2353"/>
      <x:c r="EJ14" s="2304" t="s">
        <x:v>548</x:v>
      </x:c>
      <x:c r="EK14" s="2341"/>
      <x:c r="EL14" s="2333" t="s">
        <x:v>568</x:v>
      </x:c>
      <x:c r="EM14" s="2351" t="s">
        <x:v>549</x:v>
      </x:c>
      <x:c r="EN14" s="2352"/>
      <x:c r="EO14" s="2351" t="s">
        <x:v>550</x:v>
      </x:c>
      <x:c r="EP14" s="2353"/>
      <x:c r="EQ14" s="2304" t="s">
        <x:v>551</x:v>
      </x:c>
      <x:c r="ER14" s="2341"/>
      <x:c r="ES14" s="2333" t="s">
        <x:v>12</x:v>
      </x:c>
      <x:c r="ET14" s="2333" t="s">
        <x:v>13</x:v>
      </x:c>
      <x:c r="EU14" s="2304" t="s">
        <x:v>582</x:v>
      </x:c>
      <x:c r="EV14" s="2349"/>
      <x:c r="EW14" s="2307"/>
      <x:c r="EX14" s="2347"/>
      <x:c r="EY14" s="2347"/>
      <x:c r="EZ14" s="2422"/>
      <x:c r="FA14" s="2347"/>
      <x:c r="FB14" s="2347"/>
      <x:c r="FC14" s="2347"/>
      <x:c r="FD14" s="2423"/>
      <x:c r="FE14" s="2423"/>
      <x:c r="FF14" s="2423"/>
      <x:c r="FG14" s="2423"/>
      <x:c r="FH14" s="2423"/>
      <x:c r="FI14" s="2423"/>
      <x:c r="FJ14" s="2423"/>
      <x:c r="FK14" s="2423"/>
      <x:c r="FL14" s="2423"/>
      <x:c r="FM14" s="2423"/>
      <x:c r="FN14" s="2423"/>
      <x:c r="FO14" s="2333" t="s">
        <x:v>590</x:v>
      </x:c>
      <x:c r="FP14" s="2333" t="s">
        <x:v>591</x:v>
      </x:c>
      <x:c r="FQ14" s="2439" t="s">
        <x:v>654</x:v>
      </x:c>
      <x:c r="FR14" s="2442" t="s">
        <x:v>655</x:v>
      </x:c>
      <x:c r="FS14" s="2437" t="s">
        <x:v>682</x:v>
      </x:c>
      <x:c r="FT14" s="2450" t="s">
        <x:v>683</x:v>
      </x:c>
      <x:c r="FU14" s="2159" t="s">
        <x:v>787</x:v>
      </x:c>
      <x:c r="FV14" s="2160"/>
      <x:c r="FW14" s="426"/>
      <x:c r="FX14" s="426"/>
      <x:c r="FY14" s="426"/>
      <x:c r="FZ14" s="426"/>
      <x:c r="GA14" s="2118" t="s">
        <x:v>708</x:v>
      </x:c>
      <x:c r="GB14" s="2119"/>
      <x:c r="GC14" s="2118" t="s">
        <x:v>558</x:v>
      </x:c>
      <x:c r="GD14" s="2119"/>
      <x:c r="GE14" s="2120" t="s">
        <x:v>711</x:v>
      </x:c>
      <x:c r="GF14" s="2122" t="s">
        <x:v>40</x:v>
      </x:c>
      <x:c r="GG14" s="2316" t="s">
        <x:v>1142</x:v>
      </x:c>
      <x:c r="GH14" s="2317"/>
      <x:c r="GI14" s="2316" t="s">
        <x:v>1141</x:v>
      </x:c>
      <x:c r="GJ14" s="2317"/>
      <x:c r="GK14" s="2123" t="s">
        <x:v>712</x:v>
      </x:c>
      <x:c r="GL14" s="2123" t="s">
        <x:v>713</x:v>
      </x:c>
      <x:c r="GM14" s="2123" t="s">
        <x:v>714</x:v>
      </x:c>
      <x:c r="HA14" s="2440" t="s">
        <x:v>539</x:v>
      </x:c>
      <x:c r="HB14" s="2314" t="s">
        <x:v>130</x:v>
      </x:c>
      <x:c r="HC14" s="2314" t="s">
        <x:v>540</x:v>
      </x:c>
      <x:c r="HD14" s="2424" t="str">
        <x:f>IF($HA$1,"Joist ""BayLength""","Overall Length")</x:f>
        <x:v>Overall Length</x:v>
      </x:c>
      <x:c r="HE14" s="2314"/>
      <x:c r="HF14" s="2312" t="str">
        <x:f>IF($HA$1,"Left Sect. #","TCXL Feet")</x:f>
        <x:v>TCXL Feet</x:v>
      </x:c>
      <x:c r="HG14" s="2312" t="str">
        <x:f>IF($HA$1,"L Min Sup Width","TCXL Inch")</x:f>
        <x:v>TCXL Inch</x:v>
      </x:c>
      <x:c r="HH14" s="2312" t="str">
        <x:f>IF($HA$1,"L Max Sup Width","TCXL Type")</x:f>
        <x:v>TCXL Type</x:v>
      </x:c>
      <x:c r="HI14" s="2312" t="str">
        <x:f>IF($HA$1,"Left Bolt ""X""","TCXR Feet")</x:f>
        <x:v>TCXR Feet</x:v>
      </x:c>
      <x:c r="HJ14" s="2312" t="str">
        <x:f>IF($HA$1,"L Min Flg Ga","TCXR Inch")</x:f>
        <x:v>TCXR Inch</x:v>
      </x:c>
      <x:c r="HK14" s="2312" t="str">
        <x:f>IF($HA$1,"L Max Flg Ga","TCXR Type")</x:f>
        <x:v>TCXR Type</x:v>
      </x:c>
      <x:c r="HL14" s="2312" t="str">
        <x:f>IF($HA$1,"Left Skew","BDL")</x:f>
        <x:v>BDL</x:v>
      </x:c>
      <x:c r="HM14" s="2312" t="str">
        <x:f>IF($HA$1,"Left Brg Slp","BDR")</x:f>
        <x:v>BDR</x:v>
      </x:c>
      <x:c r="HN14" s="2312" t="str">
        <x:f>IF($HA$1,"Right Sect. #","BCXL Feet")</x:f>
        <x:v>BCXL Feet</x:v>
      </x:c>
      <x:c r="HO14" s="2312" t="str">
        <x:f>IF($HA$1,"R Min Sup Width","BCXL Inch")</x:f>
        <x:v>BCXL Inch</x:v>
      </x:c>
      <x:c r="HP14" s="2312" t="str">
        <x:f>IF($HA$1,"R Max Sup Width","BCXL Type")</x:f>
        <x:v>BCXL Type</x:v>
      </x:c>
      <x:c r="HQ14" s="2312" t="str">
        <x:f>IF($HA$1,"Right Bolt ""X""","BCXR Feet")</x:f>
        <x:v>BCXR Feet</x:v>
      </x:c>
      <x:c r="HR14" s="2312" t="str">
        <x:f>IF($HA$1,"R Min Flg Ga","BCXR Inch")</x:f>
        <x:v>BCXR Inch</x:v>
      </x:c>
      <x:c r="HS14" s="2312" t="str">
        <x:f>IF($HA$1,"R Max Flg Ga","BCXR Type")</x:f>
        <x:v>BCXR Type</x:v>
      </x:c>
      <x:c r="HT14" s="2312" t="str">
        <x:f>IF($HA$1,"Right Skew","HL Feet")</x:f>
        <x:v>HL Feet</x:v>
      </x:c>
      <x:c r="HU14" s="2312" t="str">
        <x:f>IF($HA$1,"Right Brg Slp","HL Inch")</x:f>
        <x:v>HL Inch</x:v>
      </x:c>
      <x:c r="HV14" s="2312" t="str">
        <x:f>IF($HA$1,"TC Slope","HR Feet")</x:f>
        <x:v>HR Feet</x:v>
      </x:c>
      <x:c r="HW14" s="2312" t="str">
        <x:f>IF($HA$1,"Load Notes","HR Inch")</x:f>
        <x:v>HR Inch</x:v>
      </x:c>
      <x:c r="HX14" s="2312" t="str">
        <x:f>IF($HA$1,"Spcl Notes","Slot Ga")</x:f>
        <x:v>Slot Ga</x:v>
      </x:c>
      <x:c r="HY14" s="2312" t="str">
        <x:f>IF($HA$1,"TC L Override","L Seat Slp")</x:f>
        <x:v>L Seat Slp</x:v>
      </x:c>
      <x:c r="HZ14" s="2312" t="str">
        <x:f>IF($HA$1,"TCR Override","R Seat Slp")</x:f>
        <x:v>R Seat Slp</x:v>
      </x:c>
      <x:c r="IA14" s="2312" t="str">
        <x:f>IF($HA$1,"L-BL Override","Sp Notes")</x:f>
        <x:v>Sp Notes</x:v>
      </x:c>
      <x:c r="IB14" s="2312" t="str">
        <x:f>IF($HA$1,"R-BL Override","Ld Notes")</x:f>
        <x:v>Ld Notes</x:v>
      </x:c>
      <x:c r="IC14" s="2312" t="str">
        <x:f>IF($HA$1,"BCXL ""X""","-")</x:f>
        <x:v>-</x:v>
      </x:c>
      <x:c r="ID14" s="2312" t="str">
        <x:f>IF($HA$1,"BCXR ""X""","-")</x:f>
        <x:v>-</x:v>
      </x:c>
      <x:c r="IE14" s="2312" t="str">
        <x:f>IF($HA$1,"BDL Override","-")</x:f>
        <x:v>-</x:v>
      </x:c>
      <x:c r="IF14" s="2452" t="str">
        <x:f>IF($HA$1,"BDR Override","-")</x:f>
        <x:v>-</x:v>
      </x:c>
    </x:row>
    <x:row r="15" spans="1:241" ht="12.6" customHeight="1" thickTop="1" thickBot="1" x14ac:dyDescent="0.25">
      <x:c r="A15" s="2411"/>
      <x:c r="B15" s="2385"/>
      <x:c r="C15" s="2385"/>
      <x:c r="D15" s="2385"/>
      <x:c r="E15" s="2465"/>
      <x:c r="F15" s="1980" t="s">
        <x:v>16</x:v>
      </x:c>
      <x:c r="G15" s="2070"/>
      <x:c r="H15" s="1102" t="s">
        <x:v>732</x:v>
      </x:c>
      <x:c r="I15" s="2070" t="s">
        <x:v>16</x:v>
      </x:c>
      <x:c r="J15" s="2070"/>
      <x:c r="K15" s="461" t="s">
        <x:v>732</x:v>
      </x:c>
      <x:c r="L15" s="1106" t="s">
        <x:v>18</x:v>
      </x:c>
      <x:c r="M15" s="461" t="s">
        <x:v>19</x:v>
      </x:c>
      <x:c r="N15" s="1977" t="s">
        <x:v>16</x:v>
      </x:c>
      <x:c r="O15" s="2070"/>
      <x:c r="P15" s="1102" t="s">
        <x:v>732</x:v>
      </x:c>
      <x:c r="Q15" s="2070" t="s">
        <x:v>16</x:v>
      </x:c>
      <x:c r="R15" s="2070"/>
      <x:c r="S15" s="1065" t="s">
        <x:v>732</x:v>
      </x:c>
      <x:c r="T15" s="1980" t="s">
        <x:v>80</x:v>
      </x:c>
      <x:c r="U15" s="2070"/>
      <x:c r="V15" s="2070" t="s">
        <x:v>81</x:v>
      </x:c>
      <x:c r="W15" s="2070"/>
      <x:c r="X15" s="461" t="s">
        <x:v>27</x:v>
      </x:c>
      <x:c r="Y15" s="1106" t="s">
        <x:v>112</x:v>
      </x:c>
      <x:c r="Z15" s="461" t="s">
        <x:v>113</x:v>
      </x:c>
      <x:c r="AA15" s="1060" t="s">
        <x:v>57</x:v>
      </x:c>
      <x:c r="AB15" s="1412"/>
      <x:c r="AC15" s="963" t="s">
        <x:v>1101</x:v>
      </x:c>
      <x:c r="AD15" s="427" t="s">
        <x:v>73</x:v>
      </x:c>
      <x:c r="AE15" s="428" t="s">
        <x:v>74</x:v>
      </x:c>
      <x:c r="AF15" s="428" t="s">
        <x:v>75</x:v>
      </x:c>
      <x:c r="AG15" s="428" t="s">
        <x:v>76</x:v>
      </x:c>
      <x:c r="AH15" s="429" t="s">
        <x:v>114</x:v>
      </x:c>
      <x:c r="AI15" s="430" t="s">
        <x:v>170</x:v>
      </x:c>
      <x:c r="AJ15" s="372" t="s">
        <x:v>171</x:v>
      </x:c>
      <x:c r="AK15" s="372" t="s">
        <x:v>172</x:v>
      </x:c>
      <x:c r="AL15" s="372" t="s">
        <x:v>173</x:v>
      </x:c>
      <x:c r="AM15" s="372" t="s">
        <x:v>147</x:v>
      </x:c>
      <x:c r="AN15" s="372" t="s">
        <x:v>748</x:v>
      </x:c>
      <x:c r="AO15" s="372" t="s">
        <x:v>749</x:v>
      </x:c>
      <x:c r="AP15" s="372" t="s">
        <x:v>179</x:v>
      </x:c>
      <x:c r="AQ15" s="372" t="s">
        <x:v>176</x:v>
      </x:c>
      <x:c r="AR15" s="372" t="s">
        <x:v>174</x:v>
      </x:c>
      <x:c r="AS15" s="372" t="s">
        <x:v>177</x:v>
      </x:c>
      <x:c r="AT15" s="372" t="s">
        <x:v>178</x:v>
      </x:c>
      <x:c r="AU15" s="1898"/>
      <x:c r="AV15" s="2392"/>
      <x:c r="AW15" s="2393"/>
      <x:c r="AX15" s="503" t="s">
        <x:v>632</x:v>
      </x:c>
      <x:c r="AY15" s="503" t="s">
        <x:v>133</x:v>
      </x:c>
      <x:c r="AZ15" s="2467"/>
      <x:c r="BA15" s="246"/>
      <x:c r="BB15" s="2128"/>
      <x:c r="BC15" s="2057"/>
      <x:c r="BD15" s="2130"/>
      <x:c r="BE15" s="2404"/>
      <x:c r="BF15" s="2405"/>
      <x:c r="BG15" s="2227"/>
      <x:c r="BH15" s="2471"/>
      <x:c r="BI15" s="2472"/>
      <x:c r="BJ15" s="2369"/>
      <x:c r="BK15" s="2471"/>
      <x:c r="BL15" s="2472"/>
      <x:c r="BM15" s="2057"/>
      <x:c r="BN15" s="2489"/>
      <x:c r="BO15" s="2476"/>
      <x:c r="BP15" s="1546" t="s">
        <x:v>1277</x:v>
      </x:c>
      <x:c r="BQ15" s="1547" t="s">
        <x:v>1278</x:v>
      </x:c>
      <x:c r="BR15" s="1548" t="s">
        <x:v>501</x:v>
      </x:c>
      <x:c r="BS15" s="2227"/>
      <x:c r="BT15" s="2471"/>
      <x:c r="BU15" s="2472"/>
      <x:c r="BV15" s="2369"/>
      <x:c r="BW15" s="2471"/>
      <x:c r="BX15" s="2472"/>
      <x:c r="BY15" s="2057"/>
      <x:c r="BZ15" s="2474"/>
      <x:c r="CA15" s="2476"/>
      <x:c r="CB15" s="1546" t="s">
        <x:v>1277</x:v>
      </x:c>
      <x:c r="CC15" s="1547" t="s">
        <x:v>1278</x:v>
      </x:c>
      <x:c r="CD15" s="1548" t="s">
        <x:v>501</x:v>
      </x:c>
      <x:c r="CE15" s="2470"/>
      <x:c r="CF15" s="1554" t="s">
        <x:v>418</x:v>
      </x:c>
      <x:c r="CG15" s="1549" t="s">
        <x:v>553</x:v>
      </x:c>
      <x:c r="CH15" s="498" t="s">
        <x:v>585</x:v>
      </x:c>
      <x:c r="CI15" s="433" t="s">
        <x:v>586</x:v>
      </x:c>
      <x:c r="CJ15" s="434" t="s">
        <x:v>587</x:v>
      </x:c>
      <x:c r="CK15" s="2391"/>
      <x:c r="CL15" s="499" t="s">
        <x:v>606</x:v>
      </x:c>
      <x:c r="CM15" s="500" t="s">
        <x:v>607</x:v>
      </x:c>
      <x:c r="CN15" s="932" t="s">
        <x:v>606</x:v>
      </x:c>
      <x:c r="CO15" s="435" t="s">
        <x:v>607</x:v>
      </x:c>
      <x:c r="CP15" s="436" t="s">
        <x:v>520</x:v>
      </x:c>
      <x:c r="CQ15" s="437" t="s">
        <x:v>169</x:v>
      </x:c>
      <x:c r="CR15" s="2396"/>
      <x:c r="CS15" s="2388"/>
      <x:c r="CT15" s="426"/>
      <x:c r="CU15" s="2343"/>
      <x:c r="CV15" s="2325"/>
      <x:c r="CW15" s="2325"/>
      <x:c r="CX15" s="2303"/>
      <x:c r="CY15" s="2303"/>
      <x:c r="CZ15" s="2303"/>
      <x:c r="DA15" s="2303"/>
      <x:c r="DB15" s="2303"/>
      <x:c r="DC15" s="2303"/>
      <x:c r="DD15" s="2303"/>
      <x:c r="DE15" s="2343"/>
      <x:c r="DF15" s="2325"/>
      <x:c r="DG15" s="2325"/>
      <x:c r="DH15" s="2303"/>
      <x:c r="DI15" s="2303"/>
      <x:c r="DJ15" s="2303"/>
      <x:c r="DK15" s="2303"/>
      <x:c r="DL15" s="2303"/>
      <x:c r="DM15" s="2303"/>
      <x:c r="DN15" s="2345"/>
      <x:c r="DO15" s="2340"/>
      <x:c r="DP15" s="2451"/>
      <x:c r="DQ15" s="2334"/>
      <x:c r="DR15" s="2305"/>
      <x:c r="DS15" s="2307"/>
      <x:c r="DT15" s="438" t="s">
        <x:v>554</x:v>
      </x:c>
      <x:c r="DU15" s="438" t="s">
        <x:v>555</x:v>
      </x:c>
      <x:c r="DV15" s="2309"/>
      <x:c r="DW15" s="2336"/>
      <x:c r="DX15" s="2338"/>
      <x:c r="DY15" s="2307"/>
      <x:c r="DZ15" s="438" t="s">
        <x:v>554</x:v>
      </x:c>
      <x:c r="EA15" s="438" t="s">
        <x:v>555</x:v>
      </x:c>
      <x:c r="EB15" s="2336"/>
      <x:c r="EC15" s="2336"/>
      <x:c r="ED15" s="2338"/>
      <x:c r="EE15" s="2354"/>
      <x:c r="EF15" s="439" t="s">
        <x:v>521</x:v>
      </x:c>
      <x:c r="EG15" s="440" t="s">
        <x:v>522</x:v>
      </x:c>
      <x:c r="EH15" s="439" t="s">
        <x:v>521</x:v>
      </x:c>
      <x:c r="EI15" s="440" t="s">
        <x:v>522</x:v>
      </x:c>
      <x:c r="EJ15" s="439" t="s">
        <x:v>521</x:v>
      </x:c>
      <x:c r="EK15" s="440" t="s">
        <x:v>522</x:v>
      </x:c>
      <x:c r="EL15" s="2354"/>
      <x:c r="EM15" s="439" t="s">
        <x:v>521</x:v>
      </x:c>
      <x:c r="EN15" s="440" t="s">
        <x:v>522</x:v>
      </x:c>
      <x:c r="EO15" s="439" t="s">
        <x:v>521</x:v>
      </x:c>
      <x:c r="EP15" s="440" t="s">
        <x:v>522</x:v>
      </x:c>
      <x:c r="EQ15" s="439" t="s">
        <x:v>521</x:v>
      </x:c>
      <x:c r="ER15" s="440" t="s">
        <x:v>522</x:v>
      </x:c>
      <x:c r="ES15" s="2357"/>
      <x:c r="ET15" s="2357"/>
      <x:c r="EU15" s="2358"/>
      <x:c r="EV15" s="2350"/>
      <x:c r="EW15" s="2307"/>
      <x:c r="EX15" s="2347"/>
      <x:c r="EY15" s="2347"/>
      <x:c r="EZ15" s="2422"/>
      <x:c r="FA15" s="2347"/>
      <x:c r="FB15" s="2347"/>
      <x:c r="FC15" s="2347"/>
      <x:c r="FD15" s="2423"/>
      <x:c r="FE15" s="2423"/>
      <x:c r="FF15" s="2423"/>
      <x:c r="FG15" s="2423"/>
      <x:c r="FH15" s="2423"/>
      <x:c r="FI15" s="2423"/>
      <x:c r="FJ15" s="2423"/>
      <x:c r="FK15" s="2423"/>
      <x:c r="FL15" s="2423"/>
      <x:c r="FM15" s="2423"/>
      <x:c r="FN15" s="2423"/>
      <x:c r="FO15" s="2357"/>
      <x:c r="FP15" s="2357"/>
      <x:c r="FQ15" s="2357"/>
      <x:c r="FR15" s="2443"/>
      <x:c r="FS15" s="2438"/>
      <x:c r="FT15" s="2443"/>
      <x:c r="FU15" s="508" t="s">
        <x:v>606</x:v>
      </x:c>
      <x:c r="FV15" s="509" t="s">
        <x:v>607</x:v>
      </x:c>
      <x:c r="FW15" s="426"/>
      <x:c r="FX15" s="426"/>
      <x:c r="FY15" s="426"/>
      <x:c r="FZ15" s="426"/>
      <x:c r="GA15" s="1035" t="s">
        <x:v>1112</x:v>
      </x:c>
      <x:c r="GB15" s="1036" t="s">
        <x:v>710</x:v>
      </x:c>
      <x:c r="GC15" s="1031" t="s">
        <x:v>606</x:v>
      </x:c>
      <x:c r="GD15" s="1032" t="s">
        <x:v>607</x:v>
      </x:c>
      <x:c r="GE15" s="2121"/>
      <x:c r="GF15" s="2121"/>
      <x:c r="GG15" s="1033" t="s">
        <x:v>1112</x:v>
      </x:c>
      <x:c r="GH15" s="1034" t="s">
        <x:v>710</x:v>
      </x:c>
      <x:c r="GI15" s="1033" t="s">
        <x:v>1112</x:v>
      </x:c>
      <x:c r="GJ15" s="1034" t="s">
        <x:v>710</x:v>
      </x:c>
      <x:c r="GK15" s="2124"/>
      <x:c r="GL15" s="2124"/>
      <x:c r="GM15" s="2124"/>
      <x:c r="HA15" s="2441"/>
      <x:c r="HB15" s="2315"/>
      <x:c r="HC15" s="2315"/>
      <x:c r="HD15" s="2315"/>
      <x:c r="HE15" s="2315"/>
      <x:c r="HF15" s="2313"/>
      <x:c r="HG15" s="2313"/>
      <x:c r="HH15" s="2313"/>
      <x:c r="HI15" s="2313"/>
      <x:c r="HJ15" s="2313"/>
      <x:c r="HK15" s="2313"/>
      <x:c r="HL15" s="2313"/>
      <x:c r="HM15" s="2313"/>
      <x:c r="HN15" s="2313"/>
      <x:c r="HO15" s="2313"/>
      <x:c r="HP15" s="2313"/>
      <x:c r="HQ15" s="2313"/>
      <x:c r="HR15" s="2313"/>
      <x:c r="HS15" s="2313"/>
      <x:c r="HT15" s="2313"/>
      <x:c r="HU15" s="2313"/>
      <x:c r="HV15" s="2313"/>
      <x:c r="HW15" s="2313"/>
      <x:c r="HX15" s="2313"/>
      <x:c r="HY15" s="2313"/>
      <x:c r="HZ15" s="2313"/>
      <x:c r="IA15" s="2313"/>
      <x:c r="IB15" s="2313"/>
      <x:c r="IC15" s="2313"/>
      <x:c r="ID15" s="2313"/>
      <x:c r="IE15" s="2313"/>
      <x:c r="IF15" s="2453"/>
    </x:row>
    <x:row r="16" spans="1:241" ht="12.6" customHeight="1" thickTop="1" x14ac:dyDescent="0.25">
      <x:c r="A16" s="2764" t="s">
        <x:v>1472</x:v>
      </x:c>
      <x:c r="B16" s="2765">
        <x:v>2</x:v>
      </x:c>
      <x:c r="C16" s="2766" t="s">
        <x:v>1592</x:v>
      </x:c>
      <x:c r="D16" s="2767">
        <x:v>39</x:v>
      </x:c>
      <x:c r="E16" s="2768">
        <x:v>11.5</x:v>
      </x:c>
      <x:c r="F16" s="2776" t="str">
        <x:f t="shared" ref="F16:F44" si="1">IF(DX16=0,"",TRUNC(DX16/12))</x:f>
        <x:v/>
      </x:c>
      <x:c r="G16" s="2771" t="str">
        <x:f t="shared" ref="G16:G44" si="2">IF(DX16=0,"",DX16-(F16*12))</x:f>
        <x:v/>
      </x:c>
      <x:c r="H16" s="2842" t="str">
        <x:f t="shared" ref="H16:H44" si="3">IF(DX16=0,"",CW16)</x:f>
        <x:v/>
      </x:c>
      <x:c r="I16" s="2767" t="str">
        <x:f t="shared" ref="I16:I44" si="4">IF(ED16=0,"",TRUNC(ED16/12))</x:f>
        <x:v/>
      </x:c>
      <x:c r="J16" s="2771" t="str">
        <x:f t="shared" ref="J16:J44" si="5">IF(ED16=0,"",ED16-(I16*12))</x:f>
        <x:v/>
      </x:c>
      <x:c r="K16" s="2855" t="str">
        <x:f t="shared" ref="K16:K44" si="6">IF(ED16=0,"",DG16)</x:f>
        <x:v/>
      </x:c>
      <x:c r="L16" s="2774">
        <x:v>5</x:v>
      </x:c>
      <x:c r="M16" s="2775">
        <x:v>5</x:v>
      </x:c>
      <x:c r="N16" s="2770" t="str">
        <x:f t="shared" ref="N16:N45" si="7">IF(ES16="","",IF(AND(ES16&lt;0,ES16&gt;-12),TRUNC(ES16/12)-0.0000001,TRUNC(ES16/12)))</x:f>
        <x:v/>
      </x:c>
      <x:c r="O16" s="2771" t="str">
        <x:f t="shared" ref="O16:O45" si="8">IF(ES16="","",IF(AND(ES16-(N16*12)=0,ES16&lt;0),-0.000001,ES16-(N16*12)))</x:f>
        <x:v/>
      </x:c>
      <x:c r="P16" s="2772" t="str">
        <x:f t="shared" ref="P16:P45" si="9">IF(ES16="","",IF(OR(CW16="Q",CW16="C"),3,CZ16))</x:f>
        <x:v/>
      </x:c>
      <x:c r="Q16" s="2767" t="str">
        <x:f t="shared" ref="Q16:Q45" si="10">IF(ET16="","",IF(AND(ET16&lt;0,ET16&gt;-12),TRUNC(ET16/12)-0.0000001,TRUNC(ET16/12)))</x:f>
        <x:v/>
      </x:c>
      <x:c r="R16" s="2771" t="str">
        <x:f t="shared" ref="R16:R45" si="11">IF(ET16="","",IF(AND(ET16-(Q16*12)=0,ET16&lt;0),-0.000001,ET16-(Q16*12)))</x:f>
        <x:v/>
      </x:c>
      <x:c r="S16" s="2773" t="str">
        <x:f t="shared" ref="S16:S45" si="12">IF(ET16="","",IF(OR(DG16="Q",DG16="C"),3,DJ16))</x:f>
        <x:v/>
      </x:c>
      <x:c r="T16" s="2776">
        <x:v>0</x:v>
      </x:c>
      <x:c r="U16" s="2771">
        <x:v>2.25</x:v>
      </x:c>
      <x:c r="V16" s="2767">
        <x:v>0</x:v>
      </x:c>
      <x:c r="W16" s="2771">
        <x:v>2.25</x:v>
      </x:c>
      <x:c r="X16" s="2775">
        <x:v>4</x:v>
      </x:c>
      <x:c r="Y16" s="2844" t="str">
        <x:f t="shared" ref="Y16:Y44" si="13">FG16</x:f>
        <x:v/>
      </x:c>
      <x:c r="Z16" s="2845" t="str">
        <x:f t="shared" ref="Z16:Z44" si="14">FL16</x:f>
        <x:v/>
      </x:c>
      <x:c r="AA16" s="2846" t="s">
        <x:v>1676</x:v>
      </x:c>
      <x:c r="AB16" s="1413"/>
      <x:c r="AC16" s="964" t="b">
        <x:v>0</x:v>
      </x:c>
      <x:c r="AD16" s="441">
        <x:f t="shared" ref="AD16:AD45" si="15">IF($C16="",0,IF(SUM(AE16:AG16)&gt;0,0,IF(ISERROR(SEARCH("K",$C16,1))=TRUE,0,$B16)))</x:f>
        <x:v>0</x:v>
      </x:c>
      <x:c r="AE16" s="442">
        <x:f t="shared" ref="AE16:AE45" si="16">IF(ISERROR(SEARCH("LH",$C16,1))=TRUE,0,$B16)</x:f>
        <x:v>2</x:v>
      </x:c>
      <x:c r="AF16" s="442">
        <x:f t="shared" ref="AF16:AF45" si="17">IF(ISERROR(SEARCH("JS",$C16))=TRUE,IF(ISERROR(SEARCH("2.5K",$C16))=TRUE,0,$B16),$B16)</x:f>
        <x:v>0</x:v>
      </x:c>
      <x:c r="AG16" s="442">
        <x:f t="shared" ref="AG16:AG45" si="18">IF(ISERROR(SEARCH("HDR",$C16,1))=TRUE,0,$B16)</x:f>
        <x:v>0</x:v>
      </x:c>
      <x:c r="AH16" s="443">
        <x:f t="shared" ref="AH16:AH45" si="19">IF(ISERROR(SEARCH("CJ",$C16,1))=TRUE,0,$B16)</x:f>
        <x:v>0</x:v>
      </x:c>
      <x:c r="AI16" s="444" t="b">
        <x:v>0</x:v>
      </x:c>
      <x:c r="AJ16" s="238">
        <x:f t="shared" ref="AJ16:AJ45" si="20">IF(OR(ISERROR(VALUE(LEFT(C16,SEARCH(AK16,C16)-1))),AK16=""),0,VALUE(LEFT(C16,SEARCH(AK16,C16)-1)))</x:f>
        <x:v>32</x:v>
      </x:c>
      <x:c r="AK16" s="830" t="str">
        <x:f t="shared" ref="AK16:AK45" si="21">IF(AV16="",AW16,AV16)</x:f>
        <x:v>LH</x:v>
      </x:c>
      <x:c r="AL16" s="945" t="str">
        <x:f t="shared" ref="AL16:AL45" si="22">IF(AK16="","",IF(ISERROR(SEARCH("/",C16)),IF(VALUE(MID(C16,SEARCH(AK16,C16)+LEN(AK16),LEN(C16)))&gt;25,"",VALUE(MID(C16,SEARCH(AK16,C16)+LEN(AK16),LEN(C16)))),""))</x:f>
        <x:v/>
      </x:c>
      <x:c r="AM16" s="830">
        <x:f t="shared" ref="AM16:AM45" si="23">IF(AK16="","",IF(ISERROR(SEARCH("/",C16)),IF(VALUE(MID(C16,SEARCH(AK16,C16)+LEN(AK16),LEN(C16)))&lt;26,"",VALUE(MID(C16,SEARCH(AK16,C16)+LEN(AK16),LEN(C16)))),VALUE(MID(C16,SEARCH(AK16,C16)+LEN(AK16),SEARCH("/",C16)-SEARCH(AK16,C16)-LEN(AK16)))))</x:f>
        <x:v>305</x:v>
      </x:c>
      <x:c r="AN16" s="830">
        <x:f t="shared" ref="AN16:AN45" si="24">IF(AK16="","",IF(AK16="CJ",MID(MID(C16,SEARCH("/",C16)+1,LEN(C16)),1,SEARCH("/",MID(C16,SEARCH("/",C16)+1,LEN(C16)))-1),IF(ISERROR(SEARCH("/",C16)),"",VALUE(MID(C16,SEARCH("/",C16)+1,LEN(C16))))))</x:f>
        <x:v>180</x:v>
      </x:c>
      <x:c r="AO16" s="830" t="str">
        <x:f t="shared" ref="AO16:AO45" si="25">IF(AK16="CJ",VALUE(MID(MID(C16,SEARCH("/",C16)+1,LEN(C16)),SEARCH("/",MID(C16,SEARCH("/",C16)+1,LEN(C16)))+1,LEN(MID(C16,SEARCH("/",C16)+1,LEN(C16))))),"")</x:f>
        <x:v/>
      </x:c>
      <x:c r="AP16" s="830" t="b">
        <x:f>IF(ISERROR(AJ16),FALSE,IF(OR(AJ16=0,ISERROR(AL16),ISERROR(AM16),ISERROR(AN16),ISERROR(AO16)),FALSE,IF(AL16&lt;&gt;"",IF(ISERROR(VLOOKUP(SUBSTITUTE(SUBSTITUTE(C16,"R",""),"A",""),TblJoistSize!$A:$A,1,FALSE)),FALSE,TRUE),TRUE)))</x:f>
        <x:v>1</x:v>
      </x:c>
      <x:c r="AQ16" s="1038">
        <x:f t="shared" ref="AQ16:AQ45" si="26">VLOOKUP(AK16,$DF$2:$DN$9,4,FALSE)+IF(LEFT(H16,1)="R",IF(ISNUMBER(F16),F16*12,0)+IF(ISNUMBER(G16),G16,0),0)</x:f>
        <x:v>6</x:v>
      </x:c>
      <x:c r="AR16" s="945" t="b">
        <x:f t="shared" ref="AR16:AR45" si="27">IF(IF(ISNUMBER(T16),T16*12,0)+IF(ISNUMBER(U16),U16,0)&gt;0,IF(AND(IF(ISNUMBER(T16),T16*12,0)+IF(ISNUMBER(U16),U16,0)&gt;=VLOOKUP(AU16,$DF$2:$DN$9,8,FALSE)/2+$DQ$2,IF(ISNUMBER(T16),T16*12,0)+IF(ISNUMBER(U16),U16,0)&lt;=(AQ16-(VLOOKUP(AU16,$DF$2:$DN$9,8,FALSE)/2+$DQ$2))+IF(H16="X",2,0)),TRUE,FALSE),FALSE)</x:f>
        <x:v>1</x:v>
      </x:c>
      <x:c r="AS16" s="1038">
        <x:f t="shared" ref="AS16:AS45" si="28">VLOOKUP(AK16,$DF$2:$DN$9,4,FALSE)+IF(LEFT(K16,1)="R",(IF(ISNUMBER(I16),I16*12,0)+IF(ISNUMBER(J16),J16,0)),0)</x:f>
        <x:v>6</x:v>
      </x:c>
      <x:c r="AT16" s="945" t="b">
        <x:f t="shared" ref="AT16:AT45" si="29">IF(IF(ISNUMBER(V16),V16*12,0)+IF(ISNUMBER(W16),W16,0)&gt;0,IF(AND((IF(ISNUMBER(V16),V16*12,0)+IF(ISNUMBER(W16),W16,0))&gt;=VLOOKUP(AU16,$DF$2:$DN$9,8,FALSE)/2+$DQ$2,(IF(ISNUMBER(V16),V16*12,0)+IF(ISNUMBER(W16),W16,0))&lt;=(AS16-(VLOOKUP(AU16,$DF$2:$DN$9,8,FALSE)/2+$DQ$2))+IF(K16="X",2,0)),TRUE,FALSE),FALSE)</x:f>
        <x:v>1</x:v>
      </x:c>
      <x:c r="AU16" s="946" t="str">
        <x: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830" t="str">
        <x:f t="shared" ref="AV16:AV45" si="31">IF(NOT(ISERROR(SEARCH("KCSR",C16))),"KCSR",IF(NOT(ISERROR(SEARCH("KCSA",C16))),"KCSA",IF(NOT(ISERROR(SEARCH("KCS",C16))),"KCS",IF(NOT(ISERROR(SEARCH("KR",C16))),"KR",IF(NOT(ISERROR(SEARCH("KA",C16))),"KA",IF(NOT(ISERROR(SEARCH("K",C16))),"K",IF(NOT(ISERROR(SEARCH("CJ",C16))),"CJ","")))))))</x:f>
        <x:v/>
      </x:c>
      <x:c r="AW16" s="830" t="str">
        <x:f t="shared" ref="AW16:AW45" si="32">IF(NOT(ISERROR(SEARCH("HDR",C16))),"HDR",IF(NOT(ISERROR(SEARCH("JS",C16))),"JS",IF(NOT(ISERROR(SEARCH("SLH",C16))),"SLH",IF(NOT(ISERROR(SEARCH("DLH",C16))),"DLH",IF(NOT(ISERROR(SEARCH("LH",C16))),"LH","")))))</x:f>
        <x:v>LH</x:v>
      </x:c>
      <x:c r="AX16" s="830" t="str">
        <x:f>IF(OR(ISBLANK(A16),A16=""),"",A16)</x:f>
        <x:v>J42</x:v>
      </x:c>
      <x:c r="AY16" s="1039" t="b">
        <x:f t="shared" ref="AY16:AY45" si="33">IF($AE$1,IF(AX16=AX15,AY15,IF(AND(AX16&lt;&gt;"",OR(B16=0,B16="")),TRUE,FALSE)),FALSE)</x:f>
        <x:v>0</x:v>
      </x:c>
      <x:c r="AZ16" s="856" t="b">
        <x:f t="shared" ref="AZ16:AZ45" si="34">IF(AND(NOT(ISERROR(AJ16)),AJ16&gt;0),((IF(D16="",0,D16)*12+IF(E16="",0,E16))-(IF(F16="",0,F16)*12+IF(G16="",0,G16))-(IF(I16="",0,I16)*12+IF(J16="",0,J16)))&gt;AJ16*24,"")</x:f>
        <x:v>0</x:v>
      </x:c>
      <x:c r="BA16" s="549"/>
      <x:c r="BB16" s="672"/>
      <x:c r="BC16" s="1684"/>
      <x:c r="BD16" s="733"/>
      <x:c r="BE16" s="734"/>
      <x:c r="BF16" s="735"/>
      <x:c r="BG16" s="672"/>
      <x:c r="BH16" s="982"/>
      <x:c r="BI16" s="983"/>
      <x:c r="BJ16" s="1625"/>
      <x:c r="BK16" s="713"/>
      <x:c r="BL16" s="714"/>
      <x:c r="BM16" s="715"/>
      <x:c r="BN16" s="716"/>
      <x:c r="BO16" s="664" t="str">
        <x:f>IF(ISERROR(CU16),"",IF(CU16="","",IF(VLOOKUP(BG16,SectInfo!$B:$N,10,FALSE)="","","X")))</x:f>
        <x:v/>
      </x:c>
      <x:c r="BP16" s="732"/>
      <x:c r="BQ16" s="1550" t="str">
        <x:f t="shared" ref="BQ16:BQ45" si="35">IF(ISERROR(CU16),"",IF(CW16="","",IF(CW16="C",CV16,IF(CW16="Q",2,""))))</x:f>
        <x:v/>
      </x:c>
      <x:c r="BR16" s="909"/>
      <x:c r="BS16" s="672"/>
      <x:c r="BT16" s="713"/>
      <x:c r="BU16" s="714"/>
      <x:c r="BV16" s="1625"/>
      <x:c r="BW16" s="713"/>
      <x:c r="BX16" s="714"/>
      <x:c r="BY16" s="715"/>
      <x:c r="BZ16" s="716"/>
      <x:c r="CA16" s="671" t="str">
        <x:f>IF(ISERROR(DE16),"",IF(DE16="","",IF(VLOOKUP(BS16,SectInfo!$B:$N,10,FALSE)="","","X")))</x:f>
        <x:v/>
      </x:c>
      <x:c r="CB16" s="732"/>
      <x:c r="CC16" s="1550" t="str">
        <x:f t="shared" ref="CC16:CC45" si="36">IF(ISERROR(DE16),"",IF(DG16="","",IF(DG16="C",DF16,IF(DG16="Q",2,""))))</x:f>
        <x:v/>
      </x:c>
      <x:c r="CD16" s="909"/>
      <x:c r="CE16" s="729"/>
      <x:c r="CF16" s="730"/>
      <x:c r="CG16" s="731"/>
      <x:c r="CH16" s="583" t="str">
        <x:f t="shared" ref="CH16:CH45" si="37">IF(EJ16=EK16,IF(EK16="ERR","ERR",""),CONCATENATE(IF(BM16&lt;0,"NS ","FS "),IF(EK16="ERR","Slot Only",CONCATENATE("Slot @ ",EJ16))))</x:f>
        <x:v/>
      </x:c>
      <x:c r="CI16" s="584" t="str">
        <x:f t="shared" ref="CI16:CI45" si="38">IF(EQ16=ER16,IF(ER16="ERR","ERR",""),CONCATENATE(IF(BY16&lt;0,"FS ","NS "),IF(ER16="ERR","Slot Only",CONCATENATE("Slot @ ",EQ16))))</x:f>
        <x:v/>
      </x:c>
      <x:c r="CJ16" s="585" t="str">
        <x:f t="shared" ref="CJ16:CJ45" si="39">IF(EV16="","",IF(AND(DB16&lt;&gt;EV16,OR(NOT(ISBLANK(BJ16)),CU16="C")),CONCATENATE("LE slots @ ",DB16," Ga."),IF(AND(DL16&lt;&gt;EV16,OR(NOT(ISBLANK(BV16)),DE16="C")),CONCATENATE("RE slots @ ",DL16," Ga."),"")))</x:f>
        <x:v/>
      </x:c>
      <x:c r="CK16" s="586" t="str">
        <x:f t="shared" ref="CK16:CK45" si="40">IF(AND(CP16&lt;&gt;"",BM16&lt;&gt;"",CQ16&lt;&gt;"",BY16&lt;&gt;""),"BE",IF(AND(CP16&lt;&gt;"",BM16&lt;&gt;""),"LE",IF(AND(CQ16&lt;&gt;"",BY16&lt;&gt;""),"RE","")))</x:f>
        <x:v/>
      </x:c>
      <x:c r="CL16" s="587" t="str">
        <x:f t="shared" ref="CL16:CL45" si="41">IF(BQ16="","",IF(CEILING(DV16,0.125)&lt;=DW16+VLOOKUP(AU16,$DF$2:$DI$9,4,FALSE),"",CEILING(DV16,0.125)))</x:f>
        <x:v/>
      </x:c>
      <x:c r="CM16" s="588" t="str">
        <x:f t="shared" ref="CM16:CM45" si="42">IF(CC16="","",IF(CEILING(EB16,0.125)&lt;=EC16+VLOOKUP(AU16,$DF$2:$DI$9,4,FALSE),"",CEILING(EB16,0.125)))</x:f>
        <x:v/>
      </x:c>
      <x:c r="CN16" s="589" t="str">
        <x:f t="shared" ref="CN16:CN45" si="43">IF(AND(CE16&lt;&gt;0,BM16&lt;&gt;0),CE16*COS(RADIANS(90-BM16))/(1/COS(RADIANS(90-BM16)))*-1,"")</x:f>
        <x:v/>
      </x:c>
      <x:c r="CO16" s="590" t="str">
        <x:f t="shared" ref="CO16:CO45" si="44">IF(AND(CE16&lt;&gt;0,BY16&lt;&gt;0),CE16*COS(RADIANS(90-BY16))/(1/COS(RADIANS(90-BY16))),"")</x:f>
        <x:v/>
      </x:c>
      <x:c r="CP16" s="613" t="str">
        <x:f t="shared" ref="CP16:CP45" si="45">IF(BG16="","",IF(AU16="JS","",IF(VLOOKUP(AU16,$DF$2:$DN$9,5,FALSE)&gt;FO16,IF(FO16&gt;=0.0625,CEILING(FO16-0.0625,0.125),FO16),"")))</x:f>
        <x:v/>
      </x:c>
      <x:c r="CQ16" s="614" t="str">
        <x:f t="shared" ref="CQ16:CQ45" si="46">IF(BS16="","",IF(AU16="JS","",IF(VLOOKUP(AU16,$DF$2:$DN$9,5,FALSE)&gt;FP16,IF(FP16&gt;=0.0625,CEILING(FP16-0.0625,0.125),FP16),"")))</x:f>
        <x:v/>
      </x:c>
      <x:c r="CR16" s="748">
        <x:f t="shared" ref="CR16:CR45" si="47">IF(AU16="","",IF(ABS(FF16)&lt;ABS($CX$2),VLOOKUP(AU16,$DF$2:$DN$9,3,FALSE),CEILING(VLOOKUP(AU16,$DF$2:$DN$9,3,FALSE)/COS(FE16)+0.375+IF(CU16="M",IF(FE16&gt;0,(DV16-DW16)/12,0),IF(FE16&gt;0,0,(DV16-CV16)/12))*ABS(FF16),0.125)))</x:f>
        <x:v>5</x:v>
      </x:c>
      <x:c r="CS16" s="749">
        <x:f t="shared" ref="CS16:CS45" si="48">IF(AU16="","",IF(ABS(FK16)&lt;ABS($CX$2),VLOOKUP(AU16,$DF$2:$DN$9,3,FALSE),CEILING(VLOOKUP(AU16,$DF$2:$DN$9,3,FALSE)/COS(FJ16)+0.375+IF(DE16="M",IF(FJ16&lt;0,(EB16-EC16)/12,0),IF(FJ16&lt;0,0,(EB16-DF16)/12))*ABS(FK16),0.125)))</x:f>
        <x:v>5</x:v>
      </x:c>
      <x:c r="CU16" s="857" t="str">
        <x:f>IF(BG16="","",VLOOKUP(BG16,SectInfo!$B:$N,12,FALSE))</x:f>
        <x:v/>
      </x:c>
      <x:c r="CV16" s="858" t="str">
        <x:f>IF(BG16="","",IF(ISBLANK(BP16),VLOOKUP(BG16,SectInfo!$B:$N,13,FALSE),BP16))</x:f>
        <x:v/>
      </x:c>
      <x:c r="CW16" s="858" t="str">
        <x:f>IF(BG16="","",IF(VLOOKUP(BG16,SectInfo!$B:$N,5,FALSE)="","R",UPPER(VLOOKUP(BG16,SectInfo!$B:$N,5,FALSE))))</x:f>
        <x:v/>
      </x:c>
      <x:c r="CX16" s="858" t="str">
        <x:f>IF(BG16="","",IF(ISBLANK(BR16),VLOOKUP(BG16,SectInfo!$B:$N,6,FALSE),BR16))</x:f>
        <x:v/>
      </x:c>
      <x:c r="CY16" s="1288" t="str">
        <x:f>IF(BG16="","",IF(VLOOKUP(BG16,SectInfo!$B:$N,10,FALSE)="","",(IF(BO16="X",VLOOKUP(BG16,SectInfo!$B:$N,10,FALSE),VALUE(BO16))*-1)))</x:f>
        <x:v/>
      </x:c>
      <x:c r="CZ16" s="1126" t="str">
        <x:f>IF(BG16="","",IF(VLOOKUP(BG16,SectInfo!$B:$N,11,FALSE)="","2",(VLOOKUP(BG16,SectInfo!$B:$N,11,FALSE))))</x:f>
        <x:v/>
      </x:c>
      <x:c r="DA16" s="858" t="str">
        <x:f>IF(BG16="","",IF(VLOOKUP(BG16,SectInfo!$B:$N,7,FALSE)="","",(VLOOKUP(BG16,SectInfo!$B:$N,7,FALSE)*-1)))</x:f>
        <x:v/>
      </x:c>
      <x:c r="DB16" s="858" t="str">
        <x:f>IF(BG16="","",IF(VLOOKUP(BG16,SectInfo!$B:$N,8,FALSE)="",VLOOKUP(AU16,$DF$2:$DN$9,6,FALSE),(VLOOKUP(BG16,SectInfo!$B:$N,8,FALSE))))</x:f>
        <x:v/>
      </x:c>
      <x:c r="DC16" s="858" t="str">
        <x:f>IF(BG16="","",VLOOKUP(BG16,SectInfo!$B:$N,9,FALSE))</x:f>
        <x:v/>
      </x:c>
      <x:c r="DD16" s="859">
        <x:f t="shared" ref="DD16:DD45" si="49">BN16*-1</x:f>
        <x:v>0</x:v>
      </x:c>
      <x:c r="DE16" s="857" t="str">
        <x:f>IF(BS16="","",VLOOKUP(BS16,SectInfo!$B:$N,12,FALSE))</x:f>
        <x:v/>
      </x:c>
      <x:c r="DF16" s="858" t="str">
        <x:f>IF(BS16="","",IF(ISBLANK(CB16),VLOOKUP(BS16,SectInfo!$B:$N,13,FALSE),CB16))</x:f>
        <x:v/>
      </x:c>
      <x:c r="DG16" s="858" t="str">
        <x:f>IF(BS16="","",IF(VLOOKUP(BS16,SectInfo!$B:$N,5,FALSE)="","R",UPPER(VLOOKUP(BS16,SectInfo!$B:$N,5,FALSE))))</x:f>
        <x:v/>
      </x:c>
      <x:c r="DH16" s="858" t="str">
        <x:f>IF(BS16="","",IF(ISBLANK(CD16),VLOOKUP(BS16,SectInfo!$B:$N,6,FALSE),CD16))</x:f>
        <x:v/>
      </x:c>
      <x:c r="DI16" s="1288" t="str">
        <x:f>IF(BS16="","",IF(VLOOKUP(BS16,SectInfo!$B:$N,10,FALSE)="","",(IF(CA16="X",VLOOKUP(BS16,SectInfo!$B:$N,10,FALSE),VALUE(CA16))*-1)))</x:f>
        <x:v/>
      </x:c>
      <x:c r="DJ16" s="1126" t="str">
        <x:f>IF(BS16="","",IF(VLOOKUP(BS16,SectInfo!$B:$N,11,FALSE)="","2",(VLOOKUP(BS16,SectInfo!$B:$N,11,FALSE))))</x:f>
        <x:v/>
      </x:c>
      <x:c r="DK16" s="858" t="str">
        <x:f>IF(BS16="","",IF(VLOOKUP(BS16,SectInfo!$B:$N,7,FALSE)="","",(VLOOKUP(BS16,SectInfo!$B:$N,7,FALSE)*-1)))</x:f>
        <x:v/>
      </x:c>
      <x:c r="DL16" s="858" t="str">
        <x:f>IF(BS16="","",IF(VLOOKUP(BS16,SectInfo!$B:$N,8,FALSE)="",VLOOKUP(AU16,$DF$2:$DN$9,6,FALSE),(VLOOKUP(BS16,SectInfo!$B:$N,8,FALSE))))</x:f>
        <x:v/>
      </x:c>
      <x:c r="DM16" s="858" t="str">
        <x:f>IF(BS16="","",VLOOKUP(BS16,SectInfo!$B:$N,9,FALSE))</x:f>
        <x:v/>
      </x:c>
      <x:c r="DN16" s="859">
        <x:f t="shared" ref="DN16:DN45" si="50">BZ16*-1</x:f>
        <x:v>0</x:v>
      </x:c>
      <x:c r="DO16" s="860">
        <x:f t="shared" ref="DO16:DO45" si="51">IF(CE16="",0,ATAN(CE16/12))</x:f>
        <x:v>0</x:v>
      </x:c>
      <x:c r="DP16" s="861" t="str">
        <x:f t="shared" ref="DP16:DP45" si="52">IF(OR(CV16="",BE16="",DF16=""),"",CEILING(IF(AND(BE16="",BF16=""),"",((BE16*12+BF16)+CV16+DF16)/COS(FN16))-0.0625,0.125))</x:f>
        <x:v/>
      </x:c>
      <x:c r="DQ16" s="861" t="str">
        <x:f t="shared" ref="DQ16:DQ45" si="53">IF(AU16="","",IF(ABS(FF16)&lt;ABS($CX$2),CX16,IF(FF16=0,CX16,CEILING((CX16+((DW16-CV16)/12)*FF16)-0.0625,0.125))))</x:f>
        <x:v/>
      </x:c>
      <x:c r="DR16" s="861" t="str">
        <x:f t="shared" ref="DR16:DR45" si="54">IF(AU16="","",IF(ABS(FK16)&lt;ABS($CX$2),DH16,IF(FK16=0,DH16,CEILING((DH16+((EC16-DF16)/12)*FK16)-0.0625,0.125))))</x:f>
        <x:v/>
      </x:c>
      <x:c r="DS16" s="862">
        <x:f t="shared" ref="DS16:DS45" si="55">IF(BM16="",0,RADIANS(ABS(BM16)))</x:f>
        <x:v>0</x:v>
      </x:c>
      <x:c r="DT16" s="821">
        <x:f t="shared" ref="DT16:DT45" si="56">MIN(IF(BH16&gt;0,BH16/2,MAX(BI16/2,DC16)),IF(BI16&gt;0,BI16/2,MAX(BH16/2,DC16)),IF(DC16&gt;0,DC16,MAX(BI16/2,BH16/2)))/IF(OR(CU16="C",AND(CU16="M",$DD$1="N")),1,COS(DS16))</x:f>
        <x:v>0</x:v>
      </x:c>
      <x:c r="DU16" s="821" t="str">
        <x:f t="shared" ref="DU16:DU45" si="57">IF(CV16="","",IF(DC16&gt;=0,MAX(BH16/2,BI16/2,DC16),DC16)/IF(OR(CU16="C",AND(CU16="M",$DD$1="N")),1,COS(DS16)))</x:f>
        <x:v/>
      </x:c>
      <x:c r="DV16" s="861" t="str">
        <x:f t="shared" ref="DV16:DV45" si="58">IF(CV16="","",(CV16+DU16+(VLOOKUP(IF(AU16="HDR","K",AU16),$DF$2:$DN$9,2,FALSE))*TAN(DS16))/COS(FD16)-FH16)</x:f>
        <x:v/>
      </x:c>
      <x:c r="DW16" s="872" t="str">
        <x:f t="shared" ref="DW16:DW45" si="59">IF(CV16="","",MAX(0,IF(NOT(BQ16=""),CV16-BQ16,DV16-VLOOKUP(IF(AU16="HDR","K",AU16),$DF$2:$DN$9,4,FALSE))))</x:f>
        <x:v/>
      </x:c>
      <x:c r="DX16" s="1129">
        <x:f t="shared" ref="DX16:DX45" si="60">IF(CV16="",0,IF(DW16/COS(FN16-FD16)&lt;0.0625,0,CEILING(DW16/COS(FN16-FD16)-0.03125,0.125)))</x:f>
        <x:v>0</x:v>
      </x:c>
      <x:c r="DY16" s="861">
        <x:f t="shared" ref="DY16:DY45" si="61">RADIANS(ABS(BY16))</x:f>
        <x:v>0</x:v>
      </x:c>
      <x:c r="DZ16" s="821">
        <x:f t="shared" ref="DZ16:DZ45" si="62">MIN(IF(BT16&gt;0,BT16/2,MAX(BU16/2,DM16)),IF(BU16&gt;0,BU16/2,MAX(BT16/2,DM16)),IF(DM16&gt;0,DM16,MAX(BU16/2,BT16/2)))/IF(OR(DE16="C",AND(DE16="M",$DD$1="N")),1,COS(DY16))</x:f>
        <x:v>0</x:v>
      </x:c>
      <x:c r="EA16" s="821" t="str">
        <x:f t="shared" ref="EA16:EA45" si="63">IF(DF16="","",IF(DM16&gt;=0,MAX(BT16/2,BU16/2,DM16),DM16)/IF(OR(DE16="C",AND(DE16="M",$DD$1="N")),1,COS(DY16)))</x:f>
        <x:v/>
      </x:c>
      <x:c r="EB16" s="861" t="str">
        <x:f t="shared" ref="EB16:EB45" si="64">IF(DF16="","",(DF16+EA16+(VLOOKUP(IF(AU16="HDR","K",AU16),$DF$2:$DN$9,2,FALSE))*TAN(DY16))/COS(FI16)-FM16)</x:f>
        <x:v/>
      </x:c>
      <x:c r="EC16" s="872" t="str">
        <x:f t="shared" ref="EC16:EC45" si="65">IF(DF16="","",MAX(0,IF(NOT(CC16=""),DF16-CC16,EB16-VLOOKUP(IF(AU16="HDR","K",AU16),$DF$2:$DN$9,4,FALSE))))</x:f>
        <x:v/>
      </x:c>
      <x:c r="ED16" s="1129">
        <x:f t="shared" ref="ED16:ED45" si="66">IF(DF16="",0,IF(EC16/COS(FN16+FI16)&lt;0.0625,0,CEILING(EC16/COS(FN16+FI16)-0.03125,0.125)))</x:f>
        <x:v>0</x:v>
      </x:c>
      <x:c r="EE16" s="1339" t="str">
        <x:f t="shared" ref="EE16:EE45" si="67">IF(AND(EZ16="",DA16=""),"",IF(EZ16="ERR","ERR",IF(CU16="C",DA16,IF(BJ16="","",IF(DA16="",(EZ16/2)*-1,DA16)))))</x:f>
        <x:v/>
      </x:c>
      <x:c r="EF16" s="1339" t="str">
        <x:f t="shared" ref="EF16:EF45" si="68">IF(EE16="ERR","ERR",IF(EE16="","",IF(DB16*TAN(DS16)&lt;=(VLOOKUP(AU16,$DF$2:$DN$9,8,FALSE)-(VLOOKUP(AU16,$DF$2:$DN$9,7,FALSE)-0.0625)),CV16-(EE16-FH16)/IF(OR(CU16="C",AND(CU16="M",$DD$1="N")),1,COS(DS16))-IF(MID(CW16,1,1)="R",0,DW16),(ABS(EE16-FH16)/IF(OR(CU16="C",AND(CU16="M",$DD$1="N")),1,COS(DS16))+CV16)-((DB16/2)*TAN(DS16))-IF(MID(CW16,1,1)="R",0,DW16))))</x:f>
        <x:v/>
      </x:c>
      <x:c r="EG16" s="1339" t="str">
        <x:f t="shared" ref="EG16:EG45" si="69">IF(EE16="ERR","ERR",IF(EE16="","",IF(DB16*TAN(DS16)&lt;=(VLOOKUP(AU16,$DF$2:$DN$9,8,FALSE)-(VLOOKUP(AU16,$DF$2:$DN$9,7,FALSE)-0.0625)),CV16-(EE16-FH16)/IF(OR(CU16="C",AND(CU16="M",$DD$1="N")),1,COS(DS16))-IF(MID(CW16,1,1)="R",0,DW16),(ABS(EE16-FH16)/IF(OR(CU16="C",AND(CU16="M",$DD$1="N")),1,COS(DS16))+CV16)+((DB16/2)*TAN(DS16))-IF(MID(CW16,1,1)="R",0,DW16))))</x:f>
        <x:v/>
      </x:c>
      <x:c r="EH16" s="856" t="str">
        <x: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x:f>
        <x:v>ERR</x:v>
      </x:c>
      <x:c r="EI16" s="856" t="str">
        <x: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x:f>
        <x:v>ERR</x:v>
      </x:c>
      <x:c r="EJ16" s="822" t="str">
        <x:f t="shared" ref="EJ16:EK45" si="72">IF(ISERROR(EF16),"ERR",IF(EF16="","",IF(EH16="ERR","ERR",CEILING(EH16-0.0625,0.125))))</x:f>
        <x:v/>
      </x:c>
      <x:c r="EK16" s="822" t="str">
        <x:f t="shared" si="72"/>
        <x:v/>
      </x:c>
      <x:c r="EL16" s="1293" t="str">
        <x:f t="shared" ref="EL16:EL45" si="73">IF(AND(FC16="",DK16=""),"",IF(FC16="ERR","ERR",IF(DE16="C",DK16,IF(BV16="","",IF(DK16="",(FC16/2)*-1,DK16)))))</x:f>
        <x:v/>
      </x:c>
      <x:c r="EM16" s="822" t="str">
        <x:f t="shared" ref="EM16:EM45" si="74">IF(EL16="ERR","ERR",IF(EL16="","",IF(DL16*TAN(DY16)&lt;=(VLOOKUP(AU16,$DF$2:$DN$9,8,FALSE)-(VLOOKUP(AU16,$DF$2:$DN$9,7,FALSE)-0.0625)),DF16-(EL16-FM16)/IF(OR(DE16="C",AND(DE16="M",$DD$1="N")),1,COS(DY16))-IF(MID(DG16,1,1)="R",0,EC16),(ABS(EL16-FM16)/IF(OR(DE16="C",AND(DE16="M",$DD$1="N")),1,COS(DY16))+DF16)-((DL16/2)*TAN(DY16))-IF(MID(DG16,1,1)="R",0,EC16))))</x:f>
        <x:v/>
      </x:c>
      <x:c r="EN16" s="822" t="str">
        <x:f t="shared" ref="EN16:EN45" si="75">IF(EL16="ERR","ERR",IF(EL16="","",IF(DL16*TAN(DY16)&lt;=(VLOOKUP(AU16,$DF$2:$DN$9,8,FALSE)-(VLOOKUP(AU16,$DF$2:$DN$9,7,FALSE)-0.0625)),DF16-(EL16-FM16)/IF(OR(DE16="C",AND(DE16="M",$DD$1="N")),1,COS(DY16))-IF(MID(DG16,1,1)="R",0,EC16),(ABS(EL16-FM16)/IF(OR(DE16="C",AND(DE16="M",$DD$1="N")),1,COS(DY16))+DF16)+((DL16/2)*TAN(DY16))-IF(MID(DG16,1,1)="R",0,EC16))))</x:f>
        <x:v/>
      </x:c>
      <x:c r="EO16" s="856" t="str">
        <x: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x:f>
        <x:v>ERR</x:v>
      </x:c>
      <x:c r="EP16" s="856" t="str">
        <x: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x:f>
        <x:v>ERR</x:v>
      </x:c>
      <x:c r="EQ16" s="1339" t="str">
        <x:f t="shared" ref="EQ16:ER45" si="78">IF(ISERROR(EM16),"ERR",IF(EM16="","",IF(EO16="ERR","ERR",CEILING(EO16-0.0625,0.125))))</x:f>
        <x:v/>
      </x:c>
      <x:c r="ER16" s="861" t="str">
        <x:f t="shared" si="78"/>
        <x:v/>
      </x:c>
      <x:c r="ES16" s="822" t="str">
        <x:f t="shared" ref="ES16:ES45" si="79">IF(OR(CY16="",AU16="JS",AU16="HDR",BO16=""),"",IF((CV16-CY16)/COS(DO16)-FS16&lt;=-0.0625,CEILING((CV16-CY16)/COS(DO16)-FS16+0.0625,-0.125),IF((CV16-CY16)/COS(DO16)-FS16&gt;=0.0625,CEILING((CV16-CY16)/COS(DO16)-FS16-0.0625,0.125),0)))</x:f>
        <x:v/>
      </x:c>
      <x:c r="ET16" s="822" t="str">
        <x:f t="shared" ref="ET16:ET45" si="80">IF(OR(DI16="",AU16="JS",AU16="HDR",CA16=""),"",IF((DF16-DI16)/COS(DO16)-FT16&lt;=-0.0625,CEILING((DF16-DI16)/COS(DO16)-FT16+0.0625,-0.125),IF((DF16-DI16)/COS(DO16)-FT16&gt;=0.0625,CEILING((DF16-DI16)/COS(DO16)-FT16-0.0625,0.125),0)))</x:f>
        <x:v/>
      </x:c>
      <x:c r="EU16" s="863">
        <x:f t="shared" ref="EU16:EU45" si="81">IF(AU16="","",VLOOKUP(AU16,$DF$2:$DN$9,6,FALSE))</x:f>
        <x:v>4</x:v>
      </x:c>
      <x:c r="EV16" s="824" t="str">
        <x:f t="shared" ref="EV16:EV45" si="82">IF(AND(EK16="",ER16=""),"",IF(EK16="",DL16,IF(EQ16="",DB16,IF(DB16&lt;&gt;DL16,EU16,DB16))))</x:f>
        <x:v/>
      </x:c>
      <x:c r="EW16" s="863"/>
      <x:c r="EX16" s="863" t="str">
        <x:f>IF(AND(CU16="G", ISBLANK(BK16), ISBLANK(BL16)),VLOOKUP(MIN(BH16:BI16),TblJoistSize!$M$3:$N$10,2),IF(OR(CU16="B",CU16="G"),MIN(BK16:BL16),""))</x:f>
        <x:v/>
      </x:c>
      <x:c r="EY16" s="863" t="str">
        <x:f>IF(AND(CU16="G", ISBLANK(BK16), ISBLANK(BL16)),VLOOKUP(MAX(BH16:BI16),TblJoistSize!$M$3:$N$10,2),IF(OR(CU16="B",CU16="G"),MAX(BK16:BL16),""))</x:f>
        <x:v/>
      </x:c>
      <x:c r="EZ16" s="863" t="str">
        <x:f t="shared" ref="EZ16:EZ45" si="83">IF(BJ16="X",IF(OR(CU16="M",CU16="C"),"",IF((EY16-EX16)/2&lt;=(VLOOKUP(AU16,$DF$2:$DN$9,8,FALSE)-(VLOOKUP(AU16,$DF$2:$DN$9,7,FALSE)-0.0625)),(EX16+EY16)/2,"ERR")),"")</x:f>
        <x:v/>
      </x:c>
      <x:c r="FA16" s="863" t="str">
        <x:f>IF(AND(DE16="G", ISBLANK(BW16), ISBLANK(BX16)),VLOOKUP(MIN(BT16:BU16),TblJoistSize!$M$3:$N$10,2),IF(OR(DE16="B", DE16="G"),MIN(BW16:BX16),""))</x:f>
        <x:v/>
      </x:c>
      <x:c r="FB16" s="863" t="str">
        <x:f>IF(AND(DE16="G", ISBLANK(BW16), ISBLANK(BX16)),VLOOKUP(MAX(BT16:BU16),TblJoistSize!$M$3:$N$10,2),IF(OR(DE16="B", DE16="G"),MAX(BW16:BX16),""))</x:f>
        <x:v/>
      </x:c>
      <x:c r="FC16" s="863" t="str">
        <x:f t="shared" ref="FC16:FC45" si="84">IF(BV16="X",IF(OR(DE16="M",DE16="C"),"",IF((FB16-FA16)/2&lt;=(VLOOKUP(AU16,$DF$2:$DN$9,8,FALSE)-(VLOOKUP(AU16,$DF$2:$DN$9,7,FALSE)-0.0625)),(FA16+FB16)/2,"ERR")),"")</x:f>
        <x:v/>
      </x:c>
      <x:c r="FD16" s="862">
        <x:f>IF(DD16="",0,ATAN(DD16/12))</x:f>
        <x:v>0</x:v>
      </x:c>
      <x:c r="FE16" s="862">
        <x:f t="shared" ref="FE16:FE45" si="85">DO16-FD16</x:f>
        <x:v>0</x:v>
      </x:c>
      <x:c r="FF16" s="862">
        <x:f t="shared" ref="FF16:FF45" si="86">TAN(FE16)*12</x:f>
        <x:v>0</x:v>
      </x:c>
      <x:c r="FG16" s="862" t="str">
        <x:f t="shared" ref="FG16:FG45" si="87">IF(FF16=0,"",IF(ABS(FF16)&lt;$CX$2,IF(AND(ABS(MIN(DV16,FQ16)/12*FF16)&gt;$DD$2,FF16&gt;0),IF(FF16&gt;0,CEILING(FF16-0.0625,0.125),CEILING(FF16+0.0625,-0.125)),""),IF(FF16&gt;0,CEILING(FF16-0.0625,0.125),CEILING(FF16+0.0625,-0.125))))</x:f>
        <x:v/>
      </x:c>
      <x:c r="FH16" s="861" t="str">
        <x:f t="shared" ref="FH16:FH45" si="88">IF(CX16="","",CX16*TAN(FD16))</x:f>
        <x:v/>
      </x:c>
      <x:c r="FI16" s="862">
        <x:f>IF(DN16="",0,ATAN(DN16/12))</x:f>
        <x:v>0</x:v>
      </x:c>
      <x:c r="FJ16" s="862">
        <x:f t="shared" ref="FJ16:FJ45" si="89">DO16+FI16</x:f>
        <x:v>0</x:v>
      </x:c>
      <x:c r="FK16" s="862">
        <x:f t="shared" ref="FK16:FK45" si="90">TAN(FJ16)*-12</x:f>
        <x:v>0</x:v>
      </x:c>
      <x:c r="FL16" s="862" t="str">
        <x:f t="shared" ref="FL16:FL45" si="91">IF(FK16=0,"",IF(ABS(FK16)&lt;$CX$2,IF(AND(ABS(MIN(EB16,FR16)/12*FK16)&gt;$DD$2,FK16&gt;0),IF(FK16&gt;0,CEILING(FK16-0.0625,0.125),CEILING(FK16+0.0625,-0.125)),""),IF(FK16&gt;0,CEILING(FK16-0.0625,0.125),CEILING(FK16+0.0625,-0.125))))</x:f>
        <x:v/>
      </x:c>
      <x:c r="FM16" s="861" t="str">
        <x:f t="shared" ref="FM16:FM45" si="92">IF(DH16="","",DH16*TAN(FI16))</x:f>
        <x:v/>
      </x:c>
      <x:c r="FN16" s="861" t="e">
        <x:f t="shared" ref="FN16:FN45" si="93">IF(((BE16*12+BF16)+CV16+DF16)/COS(DO16)-((BE16*12+BF16)+CV16+DF16)&lt;$DB$2,0,DO16)</x:f>
        <x:v>#VALUE!</x:v>
      </x:c>
      <x:c r="FO16" s="1388" t="e">
        <x:f t="shared" ref="FO16:FO45" si="94">MIN(IF(BH16&gt;0,BH16/2,MAX(BI16/2,DC16)),IF(BI16&gt;0,BI16/2,MAX(BH16/2,DC16)),IF(DC16&gt;0,DC16,MAX(BI16/2,BH16/2)))/COS(DS16)+CV16-DW16-FH16</x:f>
        <x:v>#VALUE!</x:v>
      </x:c>
      <x:c r="FP16" s="1388" t="e">
        <x:f t="shared" ref="FP16:FP45" si="95">MIN(IF(BT16&gt;0,BT16/2,MAX(BU16/2,DM16)),IF(BU16&gt;0,BU16/2,MAX(BT16/2,DM16)),IF(DM16&gt;0,DM16,MAX(BU16/2,BT16/2)))/COS(DY16)+DF16-EC16-FM16</x:f>
        <x:v>#VALUE!</x:v>
      </x:c>
      <x:c r="FQ16" s="864" t="e">
        <x:f t="shared" ref="FQ16:FQ45" si="96">IF(OR(CU16="B",CU16="G"),MAX(BH16,BI16),IF(CU16="M",12,DC16+CV16))</x:f>
        <x:v>#VALUE!</x:v>
      </x:c>
      <x:c r="FR16" s="865" t="e">
        <x:f t="shared" ref="FR16:FR45" si="97">IF(OR(DE16="B",DE16="G"),MAX(BT16,BU16),IF(DE16="M",12,DM16+DF16))</x:f>
        <x:v>#VALUE!</x:v>
      </x:c>
      <x:c r="FS16" s="866" t="str">
        <x:f t="shared" ref="FS16:FS45" si="98">IF(CY16="","",IF(ABS(CE16*((AJ16-IF(CE16&gt;0,VLOOKUP(AU16,$DF$2:$DN$9,9,FALSE),0))/12))&gt;$CZ$2,CE16*((AJ16-IF(CE16&gt;0,VLOOKUP(AU16,$DF$2:$DN$9,9,FALSE),0))/12),0))</x:f>
        <x:v/>
      </x:c>
      <x:c r="FT16" s="867" t="str">
        <x:f t="shared" ref="FT16:FT45" si="99">IF(DI16="","",IF(ABS(CE16*((AJ16-IF(CE16&lt;0,VLOOKUP(AU16,$DF$2:$DN$9,9,FALSE),0))/12))&gt;$CZ$2,CE16*((AJ16-IF(CE16&lt;0,VLOOKUP(AU16,$DF$2:$DN$9,9,FALSE),0))/12)*-1,0))</x:f>
        <x:v/>
      </x:c>
      <x:c r="FU16" s="868">
        <x:f t="shared" ref="FU16:FU45" si="100">IF(CX16="",0,MAX(0,MIN(DV16-VLOOKUP(AU16,DF$2:DN$9,4,FALSE),(MAX(0,CX16-VLOOKUP(AU16,DF$2:DN$9,3,FALSE))+VLOOKUP(AU16,DF$2:DN$9,4,FALSE))*COS(DO16)+((MAX(0,CX16-VLOOKUP(AU16,DF$2:DN$9,3,FALSE))+VLOOKUP(AU16,DF$2:DN$9,4,FALSE))*COS(PI()/2-DO16))/TAN(PI()/2-(DO16+PI()/4))-VLOOKUP(AU16,DF$2:DN$9,4,FALSE))))</x:f>
        <x:v>0</x:v>
      </x:c>
      <x:c r="FV16" s="869">
        <x:f t="shared" ref="FV16:FV45" si="101">IF(DH16="",0,MAX(0,MIN(EB16-VLOOKUP(AU16,DF$2:DN$9,4,FALSE),(MAX(0,DH16-VLOOKUP(AU16,DF$2:DN$9,3,FALSE))+VLOOKUP(AU16,DF$2:DN$9,4,FALSE))*COS(DO16)+((MAX(0,DH16-VLOOKUP(AU16,DF$2:DN$9,3,FALSE))+VLOOKUP(AU16,DF$2:DN$9,4,FALSE))*COS(PI()/2-DO16))/TAN(PI()/2-(DO16+PI()/4))-VLOOKUP(AU16,DF$2:DN$9,4,FALSE))))</x:f>
        <x:v>0</x:v>
      </x:c>
      <x:c r="GA16" s="1791">
        <x:v>40</x:v>
      </x:c>
      <x:c r="GB16" s="1792">
        <x:v>0</x:v>
      </x:c>
      <x:c r="GC16" s="1793">
        <x:v>-0.25</x:v>
      </x:c>
      <x:c r="GD16" s="1794">
        <x:v>-0.25</x:v>
      </x:c>
      <x:c r="GE16" s="1795">
        <x:f t="shared" ref="GE16:GE45" si="102">IF(GF16="","",IF(ISBLANK(CE16),IF(Y16=Z16,0,MAX(ABS(Y16),ABS(Z16))*IF(Y16&lt;0,-1,1)),CE16))</x:f>
        <x:v>0</x:v>
      </x:c>
      <x:c r="GF16" s="600" t="str">
        <x:f t="shared" ref="GF16:GF45" si="103">IF(A16=0,"",A16)</x:f>
        <x:v>J42</x:v>
      </x:c>
      <x:c r="GG16" s="1130">
        <x:v>0</x:v>
      </x:c>
      <x:c r="GH16" s="1131">
        <x:v>0</x:v>
      </x:c>
      <x:c r="GI16" s="1130"/>
      <x:c r="GJ16" s="1131"/>
      <x:c r="GK16" s="1638">
        <x:f t="shared" ref="GK16:GK45" si="104">IF(D16="",0,D16*12+E16)</x:f>
        <x:v>479.5</x:v>
      </x:c>
      <x:c r="GL16" s="1636">
        <x:f t="shared" ref="GL16:GL45" si="105">(GA16*12+GB16+GC16+GD16)/COS(ATAN(ABS(GE16/12)))</x:f>
        <x:v>479.5</x:v>
      </x:c>
      <x:c r="GM16" s="1637">
        <x:f>IF(ABS(GK16-GL16)&gt;='Job Info.'!$L$22,ABS(GK16-GL16),0)</x:f>
        <x:v>0</x:v>
      </x:c>
      <x:c r="HA16" s="1263" t="s">
        <x:v>1472</x:v>
      </x:c>
      <x:c r="HB16" s="1264">
        <x:v>2</x:v>
      </x:c>
      <x:c r="HC16" s="1264" t="s">
        <x:v>1592</x:v>
      </x:c>
      <x:c r="HD16" s="1265">
        <x:v>39</x:v>
      </x:c>
      <x:c r="HE16" s="1266">
        <x:v>11.5</x:v>
      </x:c>
      <x:c r="HF16" s="1264" t="s">
        <x:v>116</x:v>
      </x:c>
      <x:c r="HG16" s="1264" t="s">
        <x:v>116</x:v>
      </x:c>
      <x:c r="HH16" s="1264" t="s">
        <x:v>116</x:v>
      </x:c>
      <x:c r="HI16" s="1267" t="s">
        <x:v>116</x:v>
      </x:c>
      <x:c r="HJ16" s="1264" t="s">
        <x:v>116</x:v>
      </x:c>
      <x:c r="HK16" s="1264" t="s">
        <x:v>116</x:v>
      </x:c>
      <x:c r="HL16" s="1264">
        <x:v>5</x:v>
      </x:c>
      <x:c r="HM16" s="1264">
        <x:v>5</x:v>
      </x:c>
      <x:c r="HN16" s="1264" t="s">
        <x:v>116</x:v>
      </x:c>
      <x:c r="HO16" s="1264" t="s">
        <x:v>116</x:v>
      </x:c>
      <x:c r="HP16" s="1264" t="s">
        <x:v>116</x:v>
      </x:c>
      <x:c r="HQ16" s="1267" t="s">
        <x:v>116</x:v>
      </x:c>
      <x:c r="HR16" s="1264" t="s">
        <x:v>116</x:v>
      </x:c>
      <x:c r="HS16" s="1264" t="s">
        <x:v>116</x:v>
      </x:c>
      <x:c r="HT16" s="1264">
        <x:v>0</x:v>
      </x:c>
      <x:c r="HU16" s="1264">
        <x:v>2.25</x:v>
      </x:c>
      <x:c r="HV16" s="1264">
        <x:v>0</x:v>
      </x:c>
      <x:c r="HW16" s="1266">
        <x:v>2.25</x:v>
      </x:c>
      <x:c r="HX16" s="1266">
        <x:v>4</x:v>
      </x:c>
      <x:c r="HY16" s="1266" t="s">
        <x:v>116</x:v>
      </x:c>
      <x:c r="HZ16" s="1266" t="s">
        <x:v>116</x:v>
      </x:c>
      <x:c r="IA16" s="1266" t="s">
        <x:v>1676</x:v>
      </x:c>
      <x:c r="IB16" s="1266"/>
      <x:c r="IC16" s="1266"/>
      <x:c r="ID16" s="1266"/>
      <x:c r="IE16" s="1266"/>
      <x:c r="IF16" s="1268"/>
    </x:row>
    <x:row r="17" spans="1:240" ht="12.6" customHeight="1" x14ac:dyDescent="0.25">
      <x:c r="A17" s="2764" t="s">
        <x:v>1473</x:v>
      </x:c>
      <x:c r="B17" s="2765">
        <x:v>84</x:v>
      </x:c>
      <x:c r="C17" s="2766" t="s">
        <x:v>1592</x:v>
      </x:c>
      <x:c r="D17" s="2767">
        <x:v>39</x:v>
      </x:c>
      <x:c r="E17" s="2768">
        <x:v>11.5</x:v>
      </x:c>
      <x:c r="F17" s="2776" t="str">
        <x:f t="shared" si="1"/>
        <x:v/>
      </x:c>
      <x:c r="G17" s="2771" t="str">
        <x:f t="shared" si="2"/>
        <x:v/>
      </x:c>
      <x:c r="H17" s="2842" t="str">
        <x:f t="shared" si="3"/>
        <x:v/>
      </x:c>
      <x:c r="I17" s="2767" t="str">
        <x:f t="shared" si="4"/>
        <x:v/>
      </x:c>
      <x:c r="J17" s="2771" t="str">
        <x:f t="shared" si="5"/>
        <x:v/>
      </x:c>
      <x:c r="K17" s="2855" t="str">
        <x:f t="shared" si="6"/>
        <x:v/>
      </x:c>
      <x:c r="L17" s="2774">
        <x:v>5</x:v>
      </x:c>
      <x:c r="M17" s="2775">
        <x:v>5</x:v>
      </x:c>
      <x:c r="N17" s="2770" t="str">
        <x:f t="shared" si="7"/>
        <x:v/>
      </x:c>
      <x:c r="O17" s="2771" t="str">
        <x:f t="shared" si="8"/>
        <x:v/>
      </x:c>
      <x:c r="P17" s="2772" t="str">
        <x:f t="shared" si="9"/>
        <x:v/>
      </x:c>
      <x:c r="Q17" s="2767" t="str">
        <x:f t="shared" si="10"/>
        <x:v/>
      </x:c>
      <x:c r="R17" s="2771" t="str">
        <x:f t="shared" si="11"/>
        <x:v/>
      </x:c>
      <x:c r="S17" s="2773" t="str">
        <x:f t="shared" si="12"/>
        <x:v/>
      </x:c>
      <x:c r="T17" s="2776">
        <x:v>0</x:v>
      </x:c>
      <x:c r="U17" s="2771">
        <x:v>2.25</x:v>
      </x:c>
      <x:c r="V17" s="2767">
        <x:v>0</x:v>
      </x:c>
      <x:c r="W17" s="2771">
        <x:v>2.25</x:v>
      </x:c>
      <x:c r="X17" s="2775">
        <x:v>4</x:v>
      </x:c>
      <x:c r="Y17" s="2844" t="str">
        <x:f t="shared" si="13"/>
        <x:v/>
      </x:c>
      <x:c r="Z17" s="2845" t="str">
        <x:f t="shared" si="14"/>
        <x:v/>
      </x:c>
      <x:c r="AA17" s="2846" t="s">
        <x:v>1667</x:v>
      </x:c>
      <x:c r="AB17" s="1413"/>
      <x:c r="AC17" s="964" t="b">
        <x:v>0</x:v>
      </x:c>
      <x:c r="AD17" s="441">
        <x:f t="shared" si="15"/>
        <x:v>0</x:v>
      </x:c>
      <x:c r="AE17" s="442">
        <x:f t="shared" si="16"/>
        <x:v>84</x:v>
      </x:c>
      <x:c r="AF17" s="442">
        <x:f t="shared" si="17"/>
        <x:v>0</x:v>
      </x:c>
      <x:c r="AG17" s="442">
        <x:f t="shared" si="18"/>
        <x:v>0</x:v>
      </x:c>
      <x:c r="AH17" s="443">
        <x:f t="shared" si="19"/>
        <x:v>0</x:v>
      </x:c>
      <x:c r="AI17" s="444" t="b">
        <x:v>0</x:v>
      </x:c>
      <x:c r="AJ17" s="238">
        <x:f t="shared" si="20"/>
        <x:v>32</x:v>
      </x:c>
      <x:c r="AK17" s="830" t="str">
        <x:f t="shared" si="21"/>
        <x:v>LH</x:v>
      </x:c>
      <x:c r="AL17" s="945" t="str">
        <x:f t="shared" si="22"/>
        <x:v/>
      </x:c>
      <x:c r="AM17" s="830">
        <x:f t="shared" si="23"/>
        <x:v>305</x:v>
      </x:c>
      <x:c r="AN17" s="830">
        <x:f t="shared" si="24"/>
        <x:v>180</x:v>
      </x:c>
      <x:c r="AO17" s="830" t="str">
        <x:f t="shared" si="25"/>
        <x:v/>
      </x:c>
      <x:c r="AP17" s="830" t="b">
        <x:f>IF(ISERROR(AJ17),FALSE,IF(OR(AJ17=0,ISERROR(AL17),ISERROR(AM17),ISERROR(AN17),ISERROR(AO17)),FALSE,IF(AL17&lt;&gt;"",IF(ISERROR(VLOOKUP(SUBSTITUTE(SUBSTITUTE(C17,"R",""),"A",""),TblJoistSize!$A:$A,1,FALSE)),FALSE,TRUE),TRUE)))</x:f>
        <x:v>1</x:v>
      </x:c>
      <x:c r="AQ17" s="1038">
        <x:f t="shared" si="26"/>
        <x:v>6</x:v>
      </x:c>
      <x:c r="AR17" s="945" t="b">
        <x:f t="shared" si="27"/>
        <x:v>1</x:v>
      </x:c>
      <x:c r="AS17" s="1038">
        <x:f t="shared" si="28"/>
        <x:v>6</x:v>
      </x:c>
      <x:c r="AT17" s="945" t="b">
        <x:f t="shared" si="29"/>
        <x:v>1</x:v>
      </x:c>
      <x:c r="AU17" s="946" t="str">
        <x:f t="shared" si="30"/>
        <x:v>LH</x:v>
      </x:c>
      <x:c r="AV17" s="830" t="str">
        <x:f t="shared" si="31"/>
        <x:v/>
      </x:c>
      <x:c r="AW17" s="830" t="str">
        <x:f t="shared" si="32"/>
        <x:v>LH</x:v>
      </x:c>
      <x:c r="AX17" s="830" t="str">
        <x:f t="shared" ref="AX17:AX45" si="106">IF(AND(OR(ISBLANK(A17),A17=""),AA17&lt;&gt;""),AX16,IF(OR(ISBLANK(A17),A17=""),"",A17))</x:f>
        <x:v>J43</x:v>
      </x:c>
      <x:c r="AY17" s="1039" t="b">
        <x:f t="shared" si="33"/>
        <x:v>0</x:v>
      </x:c>
      <x:c r="AZ17" s="856" t="b">
        <x:f t="shared" si="34"/>
        <x:v>0</x:v>
      </x:c>
      <x:c r="BA17" s="549"/>
      <x:c r="BB17" s="672"/>
      <x:c r="BC17" s="1684"/>
      <x:c r="BD17" s="733"/>
      <x:c r="BE17" s="734"/>
      <x:c r="BF17" s="735"/>
      <x:c r="BG17" s="672"/>
      <x:c r="BH17" s="982"/>
      <x:c r="BI17" s="983"/>
      <x:c r="BJ17" s="1625"/>
      <x:c r="BK17" s="713"/>
      <x:c r="BL17" s="714"/>
      <x:c r="BM17" s="715"/>
      <x:c r="BN17" s="716"/>
      <x:c r="BO17" s="672" t="str">
        <x:f>IF(ISERROR(CU17),"",IF(CU17="","",IF(VLOOKUP(BG17,SectInfo!$B:$N,10,FALSE)="","","X")))</x:f>
        <x:v/>
      </x:c>
      <x:c r="BP17" s="738"/>
      <x:c r="BQ17" s="1551" t="str">
        <x:f t="shared" si="35"/>
        <x:v/>
      </x:c>
      <x:c r="BR17" s="910"/>
      <x:c r="BS17" s="672"/>
      <x:c r="BT17" s="713"/>
      <x:c r="BU17" s="714"/>
      <x:c r="BV17" s="1625"/>
      <x:c r="BW17" s="713"/>
      <x:c r="BX17" s="714"/>
      <x:c r="BY17" s="715"/>
      <x:c r="BZ17" s="716"/>
      <x:c r="CA17" s="680" t="str">
        <x:f>IF(ISERROR(DE17),"",IF(DE17="","",IF(VLOOKUP(BS17,SectInfo!$B:$N,10,FALSE)="","","X")))</x:f>
        <x:v/>
      </x:c>
      <x:c r="CB17" s="738"/>
      <x:c r="CC17" s="1551" t="str">
        <x:f t="shared" si="36"/>
        <x:v/>
      </x:c>
      <x:c r="CD17" s="910"/>
      <x:c r="CE17" s="717"/>
      <x:c r="CF17" s="736"/>
      <x:c r="CG17" s="737"/>
      <x:c r="CH17" s="591" t="str">
        <x:f t="shared" si="37"/>
        <x:v/>
      </x:c>
      <x:c r="CI17" s="592" t="str">
        <x:f t="shared" si="38"/>
        <x:v/>
      </x:c>
      <x:c r="CJ17" s="593" t="str">
        <x:f t="shared" si="39"/>
        <x:v/>
      </x:c>
      <x:c r="CK17" s="594" t="str">
        <x:f t="shared" si="40"/>
        <x:v/>
      </x:c>
      <x:c r="CL17" s="595" t="str">
        <x:f t="shared" si="41"/>
        <x:v/>
      </x:c>
      <x:c r="CM17" s="596" t="str">
        <x:f t="shared" si="42"/>
        <x:v/>
      </x:c>
      <x:c r="CN17" s="597" t="str">
        <x:f t="shared" si="43"/>
        <x:v/>
      </x:c>
      <x:c r="CO17" s="598" t="str">
        <x:f t="shared" si="44"/>
        <x:v/>
      </x:c>
      <x:c r="CP17" s="615" t="str">
        <x:f t="shared" si="45"/>
        <x:v/>
      </x:c>
      <x:c r="CQ17" s="616" t="str">
        <x:f t="shared" si="46"/>
        <x:v/>
      </x:c>
      <x:c r="CR17" s="750">
        <x:f t="shared" si="47"/>
        <x:v>5</x:v>
      </x:c>
      <x:c r="CS17" s="751">
        <x:f t="shared" si="48"/>
        <x:v>5</x:v>
      </x:c>
      <x:c r="CU17" s="817" t="str">
        <x:f>IF(BG17="","",VLOOKUP(BG17,SectInfo!$B:$N,12,FALSE))</x:f>
        <x:v/>
      </x:c>
      <x:c r="CV17" s="815" t="str">
        <x:f>IF(BG17="","",IF(ISBLANK(BP17),VLOOKUP(BG17,SectInfo!$B:$N,13,FALSE),BP17))</x:f>
        <x:v/>
      </x:c>
      <x:c r="CW17" s="815" t="str">
        <x:f>IF(BG17="","",IF(VLOOKUP(BG17,SectInfo!$B:$N,5,FALSE)="","R",UPPER(VLOOKUP(BG17,SectInfo!$B:$N,5,FALSE))))</x:f>
        <x:v/>
      </x:c>
      <x:c r="CX17" s="815" t="str">
        <x:f>IF(BG17="","",IF(ISBLANK(BR17),VLOOKUP(BG17,SectInfo!$B:$N,6,FALSE),BR17))</x:f>
        <x:v/>
      </x:c>
      <x:c r="CY17" s="1286" t="str">
        <x:f>IF(BG17="","",IF(VLOOKUP(BG17,SectInfo!$B:$N,10,FALSE)="","",(IF(BO17="X",VLOOKUP(BG17,SectInfo!$B:$N,10,FALSE),VALUE(BO17))*-1)))</x:f>
        <x:v/>
      </x:c>
      <x:c r="CZ17" s="1122" t="str">
        <x:f>IF(BG17="","",IF(VLOOKUP(BG17,SectInfo!$B:$N,11,FALSE)="","2",(VLOOKUP(BG17,SectInfo!$B:$N,11,FALSE))))</x:f>
        <x:v/>
      </x:c>
      <x:c r="DA17" s="815" t="str">
        <x:f>IF(BG17="","",IF(VLOOKUP(BG17,SectInfo!$B:$N,7,FALSE)="","",(VLOOKUP(BG17,SectInfo!$B:$N,7,FALSE)*-1)))</x:f>
        <x:v/>
      </x:c>
      <x:c r="DB17" s="815" t="str">
        <x:f>IF(BG17="","",IF(VLOOKUP(BG17,SectInfo!$B:$N,8,FALSE)="",VLOOKUP(AU17,$DF$2:$DN$9,6,FALSE),(VLOOKUP(BG17,SectInfo!$B:$N,8,FALSE))))</x:f>
        <x:v/>
      </x:c>
      <x:c r="DC17" s="815" t="str">
        <x:f>IF(BG17="","",VLOOKUP(BG17,SectInfo!$B:$N,9,FALSE))</x:f>
        <x:v/>
      </x:c>
      <x:c r="DD17" s="816">
        <x:f t="shared" si="49"/>
        <x:v>0</x:v>
      </x:c>
      <x:c r="DE17" s="817" t="str">
        <x:f>IF(BS17="","",VLOOKUP(BS17,SectInfo!$B:$N,12,FALSE))</x:f>
        <x:v/>
      </x:c>
      <x:c r="DF17" s="815" t="str">
        <x:f>IF(BS17="","",IF(ISBLANK(CB17),VLOOKUP(BS17,SectInfo!$B:$N,13,FALSE),CB17))</x:f>
        <x:v/>
      </x:c>
      <x:c r="DG17" s="815" t="str">
        <x:f>IF(BS17="","",IF(VLOOKUP(BS17,SectInfo!$B:$N,5,FALSE)="","R",UPPER(VLOOKUP(BS17,SectInfo!$B:$N,5,FALSE))))</x:f>
        <x:v/>
      </x:c>
      <x:c r="DH17" s="815" t="str">
        <x:f>IF(BS17="","",IF(ISBLANK(CD17),VLOOKUP(BS17,SectInfo!$B:$N,6,FALSE),CD17))</x:f>
        <x:v/>
      </x:c>
      <x:c r="DI17" s="1286" t="str">
        <x:f>IF(BS17="","",IF(VLOOKUP(BS17,SectInfo!$B:$N,10,FALSE)="","",(IF(CA17="X",VLOOKUP(BS17,SectInfo!$B:$N,10,FALSE),VALUE(CA17))*-1)))</x:f>
        <x:v/>
      </x:c>
      <x:c r="DJ17" s="1122" t="str">
        <x:f>IF(BS17="","",IF(VLOOKUP(BS17,SectInfo!$B:$N,11,FALSE)="","2",(VLOOKUP(BS17,SectInfo!$B:$N,11,FALSE))))</x:f>
        <x:v/>
      </x:c>
      <x:c r="DK17" s="815" t="str">
        <x:f>IF(BS17="","",IF(VLOOKUP(BS17,SectInfo!$B:$N,7,FALSE)="","",(VLOOKUP(BS17,SectInfo!$B:$N,7,FALSE)*-1)))</x:f>
        <x:v/>
      </x:c>
      <x:c r="DL17" s="815" t="str">
        <x:f>IF(BS17="","",IF(VLOOKUP(BS17,SectInfo!$B:$N,8,FALSE)="",VLOOKUP(AU17,$DF$2:$DN$9,6,FALSE),(VLOOKUP(BS17,SectInfo!$B:$N,8,FALSE))))</x:f>
        <x:v/>
      </x:c>
      <x:c r="DM17" s="815" t="str">
        <x:f>IF(BS17="","",VLOOKUP(BS17,SectInfo!$B:$N,9,FALSE))</x:f>
        <x:v/>
      </x:c>
      <x:c r="DN17" s="816">
        <x:f t="shared" si="50"/>
        <x:v>0</x:v>
      </x:c>
      <x:c r="DO17" s="818">
        <x:f t="shared" si="51"/>
        <x:v>0</x:v>
      </x:c>
      <x:c r="DP17" s="822" t="str">
        <x:f t="shared" si="52"/>
        <x:v/>
      </x:c>
      <x:c r="DQ17" s="822" t="str">
        <x:f t="shared" si="53"/>
        <x:v/>
      </x:c>
      <x:c r="DR17" s="822" t="str">
        <x:f t="shared" si="54"/>
        <x:v/>
      </x:c>
      <x:c r="DS17" s="821">
        <x:f t="shared" si="55"/>
        <x:v>0</x:v>
      </x:c>
      <x:c r="DT17" s="821">
        <x:f t="shared" si="56"/>
        <x:v>0</x:v>
      </x:c>
      <x:c r="DU17" s="821" t="str">
        <x:f t="shared" si="57"/>
        <x:v/>
      </x:c>
      <x:c r="DV17" s="822" t="str">
        <x:f t="shared" si="58"/>
        <x:v/>
      </x:c>
      <x:c r="DW17" s="856" t="str">
        <x:f t="shared" si="59"/>
        <x:v/>
      </x:c>
      <x:c r="DX17" s="1006">
        <x:f t="shared" si="60"/>
        <x:v>0</x:v>
      </x:c>
      <x:c r="DY17" s="822">
        <x:f t="shared" si="61"/>
        <x:v>0</x:v>
      </x:c>
      <x:c r="DZ17" s="821">
        <x:f t="shared" si="62"/>
        <x:v>0</x:v>
      </x:c>
      <x:c r="EA17" s="821" t="str">
        <x:f t="shared" si="63"/>
        <x:v/>
      </x:c>
      <x:c r="EB17" s="822" t="str">
        <x:f t="shared" si="64"/>
        <x:v/>
      </x:c>
      <x:c r="EC17" s="856" t="str">
        <x:f t="shared" si="65"/>
        <x:v/>
      </x:c>
      <x:c r="ED17" s="1006">
        <x:f t="shared" si="66"/>
        <x:v>0</x:v>
      </x:c>
      <x:c r="EE17" s="1293" t="str">
        <x:f t="shared" si="67"/>
        <x:v/>
      </x:c>
      <x:c r="EF17" s="1293" t="str">
        <x:f t="shared" si="68"/>
        <x:v/>
      </x:c>
      <x:c r="EG17" s="1293" t="str">
        <x:f t="shared" si="69"/>
        <x:v/>
      </x:c>
      <x:c r="EH17" s="856" t="str">
        <x:f t="shared" si="70"/>
        <x:v>ERR</x:v>
      </x:c>
      <x:c r="EI17" s="856" t="str">
        <x:f t="shared" si="71"/>
        <x:v>ERR</x:v>
      </x:c>
      <x:c r="EJ17" s="822" t="str">
        <x:f t="shared" si="72"/>
        <x:v/>
      </x:c>
      <x:c r="EK17" s="822" t="str">
        <x:f t="shared" si="72"/>
        <x:v/>
      </x:c>
      <x:c r="EL17" s="1293" t="str">
        <x:f t="shared" si="73"/>
        <x:v/>
      </x:c>
      <x:c r="EM17" s="822" t="str">
        <x:f t="shared" si="74"/>
        <x:v/>
      </x:c>
      <x:c r="EN17" s="822" t="str">
        <x:f t="shared" si="75"/>
        <x:v/>
      </x:c>
      <x:c r="EO17" s="856" t="str">
        <x:f t="shared" si="76"/>
        <x:v>ERR</x:v>
      </x:c>
      <x:c r="EP17" s="856" t="str">
        <x:f t="shared" si="77"/>
        <x:v>ERR</x:v>
      </x:c>
      <x:c r="EQ17" s="1293" t="str">
        <x:f t="shared" si="78"/>
        <x:v/>
      </x:c>
      <x:c r="ER17" s="822" t="str">
        <x:f t="shared" si="78"/>
        <x:v/>
      </x:c>
      <x:c r="ES17" s="822" t="str">
        <x:f t="shared" si="79"/>
        <x:v/>
      </x:c>
      <x:c r="ET17" s="822" t="str">
        <x:f t="shared" si="80"/>
        <x:v/>
      </x:c>
      <x:c r="EU17" s="829">
        <x:f t="shared" si="81"/>
        <x:v>4</x:v>
      </x:c>
      <x:c r="EV17" s="824" t="str">
        <x:f t="shared" si="82"/>
        <x:v/>
      </x:c>
      <x:c r="EW17" s="829"/>
      <x:c r="EX17" s="829" t="str">
        <x:f>IF(AND(CU17="G", ISBLANK(BK17), ISBLANK(BL17)),VLOOKUP(MIN(BH17:BI17),TblJoistSize!$M$3:$N$10,2),IF(OR(CU17="B",CU17="G"),MIN(BK17:BL17),""))</x:f>
        <x:v/>
      </x:c>
      <x:c r="EY17" s="829" t="str">
        <x:f>IF(AND(CU17="G", ISBLANK(BK17), ISBLANK(BL17)),VLOOKUP(MAX(BH17:BI17),TblJoistSize!$M$3:$N$10,2),IF(OR(CU17="B",CU17="G"),MAX(BK17:BL17),""))</x:f>
        <x:v/>
      </x:c>
      <x:c r="EZ17" s="829" t="str">
        <x:f t="shared" si="83"/>
        <x:v/>
      </x:c>
      <x:c r="FA17" s="829" t="str">
        <x:f>IF(AND(DE17="G", ISBLANK(BW17), ISBLANK(BX17)),VLOOKUP(MIN(BT17:BU17),TblJoistSize!$M$3:$N$10,2),IF(OR(DE17="B", DE17="G"),MIN(BW17:BX17),""))</x:f>
        <x:v/>
      </x:c>
      <x:c r="FB17" s="829" t="str">
        <x:f>IF(AND(DE17="G", ISBLANK(BW17), ISBLANK(BX17)),VLOOKUP(MAX(BT17:BU17),TblJoistSize!$M$3:$N$10,2),IF(OR(DE17="B", DE17="G"),MAX(BW17:BX17),""))</x:f>
        <x:v/>
      </x:c>
      <x:c r="FC17" s="829" t="str">
        <x:f t="shared" si="84"/>
        <x:v/>
      </x:c>
      <x:c r="FD17" s="821">
        <x:f t="shared" ref="FD17:FD45" si="107">IF(DD17="",0,ATAN(DD17/12))</x:f>
        <x:v>0</x:v>
      </x:c>
      <x:c r="FE17" s="821">
        <x:f t="shared" si="85"/>
        <x:v>0</x:v>
      </x:c>
      <x:c r="FF17" s="821">
        <x:f t="shared" si="86"/>
        <x:v>0</x:v>
      </x:c>
      <x:c r="FG17" s="821" t="str">
        <x:f t="shared" si="87"/>
        <x:v/>
      </x:c>
      <x:c r="FH17" s="822" t="str">
        <x:f t="shared" si="88"/>
        <x:v/>
      </x:c>
      <x:c r="FI17" s="821">
        <x:f t="shared" ref="FI17:FI45" si="108">IF(DN17="",0,ATAN(DN17/12))</x:f>
        <x:v>0</x:v>
      </x:c>
      <x:c r="FJ17" s="821">
        <x:f t="shared" si="89"/>
        <x:v>0</x:v>
      </x:c>
      <x:c r="FK17" s="821">
        <x:f t="shared" si="90"/>
        <x:v>0</x:v>
      </x:c>
      <x:c r="FL17" s="821" t="str">
        <x:f t="shared" si="91"/>
        <x:v/>
      </x:c>
      <x:c r="FM17" s="822" t="str">
        <x:f t="shared" si="92"/>
        <x:v/>
      </x:c>
      <x:c r="FN17" s="822" t="e">
        <x:f t="shared" si="93"/>
        <x:v>#VALUE!</x:v>
      </x:c>
      <x:c r="FO17" s="940" t="e">
        <x:f t="shared" si="94"/>
        <x:v>#VALUE!</x:v>
      </x:c>
      <x:c r="FP17" s="940" t="e">
        <x:f t="shared" si="95"/>
        <x:v>#VALUE!</x:v>
      </x:c>
      <x:c r="FQ17" s="830" t="e">
        <x:f t="shared" si="96"/>
        <x:v>#VALUE!</x:v>
      </x:c>
      <x:c r="FR17" s="831" t="e">
        <x:f t="shared" si="97"/>
        <x:v>#VALUE!</x:v>
      </x:c>
      <x:c r="FS17" s="832" t="str">
        <x:f t="shared" si="98"/>
        <x:v/>
      </x:c>
      <x:c r="FT17" s="833" t="str">
        <x:f t="shared" si="99"/>
        <x:v/>
      </x:c>
      <x:c r="FU17" s="870">
        <x:f t="shared" si="100"/>
        <x:v>0</x:v>
      </x:c>
      <x:c r="FV17" s="871">
        <x:f t="shared" si="101"/>
        <x:v>0</x:v>
      </x:c>
      <x:c r="GA17" s="1791">
        <x:v>40</x:v>
      </x:c>
      <x:c r="GB17" s="1792">
        <x:v>0</x:v>
      </x:c>
      <x:c r="GC17" s="1793">
        <x:v>-0.25</x:v>
      </x:c>
      <x:c r="GD17" s="1794">
        <x:v>-0.25</x:v>
      </x:c>
      <x:c r="GE17" s="1795">
        <x:f t="shared" si="102"/>
        <x:v>0</x:v>
      </x:c>
      <x:c r="GF17" s="600" t="str">
        <x:f t="shared" si="103"/>
        <x:v>J43</x:v>
      </x:c>
      <x:c r="GG17" s="1130">
        <x:v>0</x:v>
      </x:c>
      <x:c r="GH17" s="1131">
        <x:v>0</x:v>
      </x:c>
      <x:c r="GI17" s="1130"/>
      <x:c r="GJ17" s="1131"/>
      <x:c r="GK17" s="1638">
        <x:f t="shared" si="104"/>
        <x:v>479.5</x:v>
      </x:c>
      <x:c r="GL17" s="1636">
        <x:f t="shared" si="105"/>
        <x:v>479.5</x:v>
      </x:c>
      <x:c r="GM17" s="1637">
        <x:f>IF(ABS(GK17-GL17)&gt;='Job Info.'!$L$22,ABS(GK17-GL17),0)</x:f>
        <x:v>0</x:v>
      </x:c>
      <x:c r="HA17" s="1269" t="s">
        <x:v>1473</x:v>
      </x:c>
      <x:c r="HB17" s="1270">
        <x:v>84</x:v>
      </x:c>
      <x:c r="HC17" s="1270" t="s">
        <x:v>1592</x:v>
      </x:c>
      <x:c r="HD17" s="1271">
        <x:v>39</x:v>
      </x:c>
      <x:c r="HE17" s="1272">
        <x:v>11.5</x:v>
      </x:c>
      <x:c r="HF17" s="1270" t="s">
        <x:v>116</x:v>
      </x:c>
      <x:c r="HG17" s="1270" t="s">
        <x:v>116</x:v>
      </x:c>
      <x:c r="HH17" s="1270" t="s">
        <x:v>116</x:v>
      </x:c>
      <x:c r="HI17" s="1273" t="s">
        <x:v>116</x:v>
      </x:c>
      <x:c r="HJ17" s="1270" t="s">
        <x:v>116</x:v>
      </x:c>
      <x:c r="HK17" s="1270" t="s">
        <x:v>116</x:v>
      </x:c>
      <x:c r="HL17" s="1270">
        <x:v>5</x:v>
      </x:c>
      <x:c r="HM17" s="1270">
        <x:v>5</x:v>
      </x:c>
      <x:c r="HN17" s="1270" t="s">
        <x:v>116</x:v>
      </x:c>
      <x:c r="HO17" s="1270" t="s">
        <x:v>116</x:v>
      </x:c>
      <x:c r="HP17" s="1270" t="s">
        <x:v>116</x:v>
      </x:c>
      <x:c r="HQ17" s="1273" t="s">
        <x:v>116</x:v>
      </x:c>
      <x:c r="HR17" s="1270" t="s">
        <x:v>116</x:v>
      </x:c>
      <x:c r="HS17" s="1270" t="s">
        <x:v>116</x:v>
      </x:c>
      <x:c r="HT17" s="1270">
        <x:v>0</x:v>
      </x:c>
      <x:c r="HU17" s="1270">
        <x:v>2.25</x:v>
      </x:c>
      <x:c r="HV17" s="1270">
        <x:v>0</x:v>
      </x:c>
      <x:c r="HW17" s="1272">
        <x:v>2.25</x:v>
      </x:c>
      <x:c r="HX17" s="1272">
        <x:v>4</x:v>
      </x:c>
      <x:c r="HY17" s="1272" t="s">
        <x:v>116</x:v>
      </x:c>
      <x:c r="HZ17" s="1272" t="s">
        <x:v>116</x:v>
      </x:c>
      <x:c r="IA17" s="1272" t="s">
        <x:v>1667</x:v>
      </x:c>
      <x:c r="IB17" s="1272"/>
      <x:c r="IC17" s="1272"/>
      <x:c r="ID17" s="1272"/>
      <x:c r="IE17" s="1272"/>
      <x:c r="IF17" s="1274"/>
    </x:row>
    <x:row r="18" spans="1:240" ht="12.6" customHeight="1" x14ac:dyDescent="0.25">
      <x:c r="A18" s="2764" t="s">
        <x:v>1474</x:v>
      </x:c>
      <x:c r="B18" s="2765">
        <x:v>9</x:v>
      </x:c>
      <x:c r="C18" s="2766" t="s">
        <x:v>1592</x:v>
      </x:c>
      <x:c r="D18" s="2767">
        <x:v>39</x:v>
      </x:c>
      <x:c r="E18" s="2768">
        <x:v>11.5</x:v>
      </x:c>
      <x:c r="F18" s="2776" t="str">
        <x:f t="shared" si="1"/>
        <x:v/>
      </x:c>
      <x:c r="G18" s="2771" t="str">
        <x:f t="shared" si="2"/>
        <x:v/>
      </x:c>
      <x:c r="H18" s="2842" t="str">
        <x:f t="shared" si="3"/>
        <x:v/>
      </x:c>
      <x:c r="I18" s="2767" t="str">
        <x:f t="shared" si="4"/>
        <x:v/>
      </x:c>
      <x:c r="J18" s="2771" t="str">
        <x:f t="shared" si="5"/>
        <x:v/>
      </x:c>
      <x:c r="K18" s="2855" t="str">
        <x:f t="shared" si="6"/>
        <x:v/>
      </x:c>
      <x:c r="L18" s="2774">
        <x:v>5</x:v>
      </x:c>
      <x:c r="M18" s="2775">
        <x:v>5</x:v>
      </x:c>
      <x:c r="N18" s="2770">
        <x:v>0</x:v>
      </x:c>
      <x:c r="O18" s="2771">
        <x:v>6.75</x:v>
      </x:c>
      <x:c r="P18" s="2772">
        <x:v>2</x:v>
      </x:c>
      <x:c r="Q18" s="2767">
        <x:v>0</x:v>
      </x:c>
      <x:c r="R18" s="2771">
        <x:v>6.75</x:v>
      </x:c>
      <x:c r="S18" s="2773">
        <x:v>2</x:v>
      </x:c>
      <x:c r="T18" s="2776">
        <x:v>0</x:v>
      </x:c>
      <x:c r="U18" s="2771">
        <x:v>2.25</x:v>
      </x:c>
      <x:c r="V18" s="2767">
        <x:v>0</x:v>
      </x:c>
      <x:c r="W18" s="2771">
        <x:v>2.25</x:v>
      </x:c>
      <x:c r="X18" s="2775">
        <x:v>4</x:v>
      </x:c>
      <x:c r="Y18" s="2844" t="str">
        <x:f t="shared" si="13"/>
        <x:v/>
      </x:c>
      <x:c r="Z18" s="2845" t="str">
        <x:f t="shared" si="14"/>
        <x:v/>
      </x:c>
      <x:c r="AA18" s="2846" t="s">
        <x:v>1667</x:v>
      </x:c>
      <x:c r="AB18" s="1413"/>
      <x:c r="AC18" s="964" t="b">
        <x:v>0</x:v>
      </x:c>
      <x:c r="AD18" s="441">
        <x:f t="shared" si="15"/>
        <x:v>0</x:v>
      </x:c>
      <x:c r="AE18" s="442">
        <x:f t="shared" si="16"/>
        <x:v>9</x:v>
      </x:c>
      <x:c r="AF18" s="442">
        <x:f t="shared" si="17"/>
        <x:v>0</x:v>
      </x:c>
      <x:c r="AG18" s="442">
        <x:f t="shared" si="18"/>
        <x:v>0</x:v>
      </x:c>
      <x:c r="AH18" s="443">
        <x:f t="shared" si="19"/>
        <x:v>0</x:v>
      </x:c>
      <x:c r="AI18" s="444" t="b">
        <x:v>0</x:v>
      </x:c>
      <x:c r="AJ18" s="238">
        <x:f t="shared" si="20"/>
        <x:v>32</x:v>
      </x:c>
      <x:c r="AK18" s="830" t="str">
        <x:f t="shared" si="21"/>
        <x:v>LH</x:v>
      </x:c>
      <x:c r="AL18" s="945" t="str">
        <x:f t="shared" si="22"/>
        <x:v/>
      </x:c>
      <x:c r="AM18" s="830">
        <x:f t="shared" si="23"/>
        <x:v>305</x:v>
      </x:c>
      <x:c r="AN18" s="830">
        <x:f t="shared" si="24"/>
        <x:v>180</x:v>
      </x:c>
      <x:c r="AO18" s="830" t="str">
        <x:f t="shared" si="25"/>
        <x:v/>
      </x:c>
      <x:c r="AP18" s="830" t="b">
        <x:f>IF(ISERROR(AJ18),FALSE,IF(OR(AJ18=0,ISERROR(AL18),ISERROR(AM18),ISERROR(AN18),ISERROR(AO18)),FALSE,IF(AL18&lt;&gt;"",IF(ISERROR(VLOOKUP(SUBSTITUTE(SUBSTITUTE(C18,"R",""),"A",""),TblJoistSize!$A:$A,1,FALSE)),FALSE,TRUE),TRUE)))</x:f>
        <x:v>1</x:v>
      </x:c>
      <x:c r="AQ18" s="1038">
        <x:f t="shared" si="26"/>
        <x:v>6</x:v>
      </x:c>
      <x:c r="AR18" s="945" t="b">
        <x:f t="shared" si="27"/>
        <x:v>1</x:v>
      </x:c>
      <x:c r="AS18" s="1038">
        <x:f t="shared" si="28"/>
        <x:v>6</x:v>
      </x:c>
      <x:c r="AT18" s="945" t="b">
        <x:f t="shared" si="29"/>
        <x:v>1</x:v>
      </x:c>
      <x:c r="AU18" s="946" t="str">
        <x:f t="shared" si="30"/>
        <x:v>LH</x:v>
      </x:c>
      <x:c r="AV18" s="830" t="str">
        <x:f t="shared" si="31"/>
        <x:v/>
      </x:c>
      <x:c r="AW18" s="830" t="str">
        <x:f t="shared" si="32"/>
        <x:v>LH</x:v>
      </x:c>
      <x:c r="AX18" s="830" t="str">
        <x:f t="shared" si="106"/>
        <x:v>TJ44</x:v>
      </x:c>
      <x:c r="AY18" s="1039" t="b">
        <x:f t="shared" si="33"/>
        <x:v>0</x:v>
      </x:c>
      <x:c r="AZ18" s="856" t="b">
        <x:f t="shared" si="34"/>
        <x:v>0</x:v>
      </x:c>
      <x:c r="BA18" s="549"/>
      <x:c r="BB18" s="672"/>
      <x:c r="BC18" s="1684"/>
      <x:c r="BD18" s="733"/>
      <x:c r="BE18" s="734"/>
      <x:c r="BF18" s="735"/>
      <x:c r="BG18" s="672"/>
      <x:c r="BH18" s="982"/>
      <x:c r="BI18" s="983"/>
      <x:c r="BJ18" s="1625"/>
      <x:c r="BK18" s="713"/>
      <x:c r="BL18" s="714"/>
      <x:c r="BM18" s="715"/>
      <x:c r="BN18" s="716"/>
      <x:c r="BO18" s="672" t="str">
        <x:f>IF(ISERROR(CU18),"",IF(CU18="","",IF(VLOOKUP(BG18,SectInfo!$B:$N,10,FALSE)="","","X")))</x:f>
        <x:v/>
      </x:c>
      <x:c r="BP18" s="738"/>
      <x:c r="BQ18" s="1551" t="str">
        <x:f t="shared" si="35"/>
        <x:v/>
      </x:c>
      <x:c r="BR18" s="910"/>
      <x:c r="BS18" s="672"/>
      <x:c r="BT18" s="713"/>
      <x:c r="BU18" s="714"/>
      <x:c r="BV18" s="1625"/>
      <x:c r="BW18" s="713"/>
      <x:c r="BX18" s="714"/>
      <x:c r="BY18" s="715"/>
      <x:c r="BZ18" s="716"/>
      <x:c r="CA18" s="680" t="str">
        <x:f>IF(ISERROR(DE18),"",IF(DE18="","",IF(VLOOKUP(BS18,SectInfo!$B:$N,10,FALSE)="","","X")))</x:f>
        <x:v/>
      </x:c>
      <x:c r="CB18" s="738"/>
      <x:c r="CC18" s="1551" t="str">
        <x:f t="shared" si="36"/>
        <x:v/>
      </x:c>
      <x:c r="CD18" s="910"/>
      <x:c r="CE18" s="717"/>
      <x:c r="CF18" s="736"/>
      <x:c r="CG18" s="737"/>
      <x:c r="CH18" s="591" t="str">
        <x:f t="shared" si="37"/>
        <x:v/>
      </x:c>
      <x:c r="CI18" s="592" t="str">
        <x:f t="shared" si="38"/>
        <x:v/>
      </x:c>
      <x:c r="CJ18" s="593" t="str">
        <x:f t="shared" si="39"/>
        <x:v/>
      </x:c>
      <x:c r="CK18" s="594" t="str">
        <x:f t="shared" si="40"/>
        <x:v/>
      </x:c>
      <x:c r="CL18" s="595" t="str">
        <x:f t="shared" si="41"/>
        <x:v/>
      </x:c>
      <x:c r="CM18" s="596" t="str">
        <x:f t="shared" si="42"/>
        <x:v/>
      </x:c>
      <x:c r="CN18" s="597" t="str">
        <x:f t="shared" si="43"/>
        <x:v/>
      </x:c>
      <x:c r="CO18" s="598" t="str">
        <x:f t="shared" si="44"/>
        <x:v/>
      </x:c>
      <x:c r="CP18" s="615" t="str">
        <x:f t="shared" si="45"/>
        <x:v/>
      </x:c>
      <x:c r="CQ18" s="616" t="str">
        <x:f t="shared" si="46"/>
        <x:v/>
      </x:c>
      <x:c r="CR18" s="750">
        <x:f t="shared" si="47"/>
        <x:v>5</x:v>
      </x:c>
      <x:c r="CS18" s="751">
        <x:f t="shared" si="48"/>
        <x:v>5</x:v>
      </x:c>
      <x:c r="CU18" s="817" t="str">
        <x:f>IF(BG18="","",VLOOKUP(BG18,SectInfo!$B:$N,12,FALSE))</x:f>
        <x:v/>
      </x:c>
      <x:c r="CV18" s="815" t="str">
        <x:f>IF(BG18="","",IF(ISBLANK(BP18),VLOOKUP(BG18,SectInfo!$B:$N,13,FALSE),BP18))</x:f>
        <x:v/>
      </x:c>
      <x:c r="CW18" s="815" t="str">
        <x:f>IF(BG18="","",IF(VLOOKUP(BG18,SectInfo!$B:$N,5,FALSE)="","R",UPPER(VLOOKUP(BG18,SectInfo!$B:$N,5,FALSE))))</x:f>
        <x:v/>
      </x:c>
      <x:c r="CX18" s="815" t="str">
        <x:f>IF(BG18="","",IF(ISBLANK(BR18),VLOOKUP(BG18,SectInfo!$B:$N,6,FALSE),BR18))</x:f>
        <x:v/>
      </x:c>
      <x:c r="CY18" s="1286" t="str">
        <x:f>IF(BG18="","",IF(VLOOKUP(BG18,SectInfo!$B:$N,10,FALSE)="","",(IF(BO18="X",VLOOKUP(BG18,SectInfo!$B:$N,10,FALSE),VALUE(BO18))*-1)))</x:f>
        <x:v/>
      </x:c>
      <x:c r="CZ18" s="1122" t="str">
        <x:f>IF(BG18="","",IF(VLOOKUP(BG18,SectInfo!$B:$N,11,FALSE)="","2",(VLOOKUP(BG18,SectInfo!$B:$N,11,FALSE))))</x:f>
        <x:v/>
      </x:c>
      <x:c r="DA18" s="815" t="str">
        <x:f>IF(BG18="","",IF(VLOOKUP(BG18,SectInfo!$B:$N,7,FALSE)="","",(VLOOKUP(BG18,SectInfo!$B:$N,7,FALSE)*-1)))</x:f>
        <x:v/>
      </x:c>
      <x:c r="DB18" s="815" t="str">
        <x:f>IF(BG18="","",IF(VLOOKUP(BG18,SectInfo!$B:$N,8,FALSE)="",VLOOKUP(AU18,$DF$2:$DN$9,6,FALSE),(VLOOKUP(BG18,SectInfo!$B:$N,8,FALSE))))</x:f>
        <x:v/>
      </x:c>
      <x:c r="DC18" s="815" t="str">
        <x:f>IF(BG18="","",VLOOKUP(BG18,SectInfo!$B:$N,9,FALSE))</x:f>
        <x:v/>
      </x:c>
      <x:c r="DD18" s="816">
        <x:f t="shared" si="49"/>
        <x:v>0</x:v>
      </x:c>
      <x:c r="DE18" s="817" t="str">
        <x:f>IF(BS18="","",VLOOKUP(BS18,SectInfo!$B:$N,12,FALSE))</x:f>
        <x:v/>
      </x:c>
      <x:c r="DF18" s="815" t="str">
        <x:f>IF(BS18="","",IF(ISBLANK(CB18),VLOOKUP(BS18,SectInfo!$B:$N,13,FALSE),CB18))</x:f>
        <x:v/>
      </x:c>
      <x:c r="DG18" s="815" t="str">
        <x:f>IF(BS18="","",IF(VLOOKUP(BS18,SectInfo!$B:$N,5,FALSE)="","R",UPPER(VLOOKUP(BS18,SectInfo!$B:$N,5,FALSE))))</x:f>
        <x:v/>
      </x:c>
      <x:c r="DH18" s="815" t="str">
        <x:f>IF(BS18="","",IF(ISBLANK(CD18),VLOOKUP(BS18,SectInfo!$B:$N,6,FALSE),CD18))</x:f>
        <x:v/>
      </x:c>
      <x:c r="DI18" s="1286" t="str">
        <x:f>IF(BS18="","",IF(VLOOKUP(BS18,SectInfo!$B:$N,10,FALSE)="","",(IF(CA18="X",VLOOKUP(BS18,SectInfo!$B:$N,10,FALSE),VALUE(CA18))*-1)))</x:f>
        <x:v/>
      </x:c>
      <x:c r="DJ18" s="1122" t="str">
        <x:f>IF(BS18="","",IF(VLOOKUP(BS18,SectInfo!$B:$N,11,FALSE)="","2",(VLOOKUP(BS18,SectInfo!$B:$N,11,FALSE))))</x:f>
        <x:v/>
      </x:c>
      <x:c r="DK18" s="815" t="str">
        <x:f>IF(BS18="","",IF(VLOOKUP(BS18,SectInfo!$B:$N,7,FALSE)="","",(VLOOKUP(BS18,SectInfo!$B:$N,7,FALSE)*-1)))</x:f>
        <x:v/>
      </x:c>
      <x:c r="DL18" s="815" t="str">
        <x:f>IF(BS18="","",IF(VLOOKUP(BS18,SectInfo!$B:$N,8,FALSE)="",VLOOKUP(AU18,$DF$2:$DN$9,6,FALSE),(VLOOKUP(BS18,SectInfo!$B:$N,8,FALSE))))</x:f>
        <x:v/>
      </x:c>
      <x:c r="DM18" s="815" t="str">
        <x:f>IF(BS18="","",VLOOKUP(BS18,SectInfo!$B:$N,9,FALSE))</x:f>
        <x:v/>
      </x:c>
      <x:c r="DN18" s="816">
        <x:f t="shared" si="50"/>
        <x:v>0</x:v>
      </x:c>
      <x:c r="DO18" s="818">
        <x:f t="shared" si="51"/>
        <x:v>0</x:v>
      </x:c>
      <x:c r="DP18" s="822" t="str">
        <x:f t="shared" si="52"/>
        <x:v/>
      </x:c>
      <x:c r="DQ18" s="822" t="str">
        <x:f t="shared" si="53"/>
        <x:v/>
      </x:c>
      <x:c r="DR18" s="822" t="str">
        <x:f t="shared" si="54"/>
        <x:v/>
      </x:c>
      <x:c r="DS18" s="821">
        <x:f t="shared" si="55"/>
        <x:v>0</x:v>
      </x:c>
      <x:c r="DT18" s="821">
        <x:f t="shared" si="56"/>
        <x:v>0</x:v>
      </x:c>
      <x:c r="DU18" s="821" t="str">
        <x:f t="shared" si="57"/>
        <x:v/>
      </x:c>
      <x:c r="DV18" s="822" t="str">
        <x:f t="shared" si="58"/>
        <x:v/>
      </x:c>
      <x:c r="DW18" s="856" t="str">
        <x:f t="shared" si="59"/>
        <x:v/>
      </x:c>
      <x:c r="DX18" s="1006">
        <x:f t="shared" si="60"/>
        <x:v>0</x:v>
      </x:c>
      <x:c r="DY18" s="822">
        <x:f t="shared" si="61"/>
        <x:v>0</x:v>
      </x:c>
      <x:c r="DZ18" s="821">
        <x:f t="shared" si="62"/>
        <x:v>0</x:v>
      </x:c>
      <x:c r="EA18" s="821" t="str">
        <x:f t="shared" si="63"/>
        <x:v/>
      </x:c>
      <x:c r="EB18" s="822" t="str">
        <x:f t="shared" si="64"/>
        <x:v/>
      </x:c>
      <x:c r="EC18" s="856" t="str">
        <x:f t="shared" si="65"/>
        <x:v/>
      </x:c>
      <x:c r="ED18" s="1006">
        <x:f t="shared" si="66"/>
        <x:v>0</x:v>
      </x:c>
      <x:c r="EE18" s="1293" t="str">
        <x:f t="shared" si="67"/>
        <x:v/>
      </x:c>
      <x:c r="EF18" s="1293" t="str">
        <x:f t="shared" si="68"/>
        <x:v/>
      </x:c>
      <x:c r="EG18" s="1293" t="str">
        <x:f t="shared" si="69"/>
        <x:v/>
      </x:c>
      <x:c r="EH18" s="856" t="str">
        <x:f t="shared" si="70"/>
        <x:v>ERR</x:v>
      </x:c>
      <x:c r="EI18" s="856" t="str">
        <x:f t="shared" si="71"/>
        <x:v>ERR</x:v>
      </x:c>
      <x:c r="EJ18" s="822" t="str">
        <x:f t="shared" si="72"/>
        <x:v/>
      </x:c>
      <x:c r="EK18" s="822" t="str">
        <x:f t="shared" si="72"/>
        <x:v/>
      </x:c>
      <x:c r="EL18" s="1293" t="str">
        <x:f t="shared" si="73"/>
        <x:v/>
      </x:c>
      <x:c r="EM18" s="822" t="str">
        <x:f t="shared" si="74"/>
        <x:v/>
      </x:c>
      <x:c r="EN18" s="822" t="str">
        <x:f t="shared" si="75"/>
        <x:v/>
      </x:c>
      <x:c r="EO18" s="856" t="str">
        <x:f t="shared" si="76"/>
        <x:v>ERR</x:v>
      </x:c>
      <x:c r="EP18" s="856" t="str">
        <x:f t="shared" si="77"/>
        <x:v>ERR</x:v>
      </x:c>
      <x:c r="EQ18" s="1293" t="str">
        <x:f t="shared" si="78"/>
        <x:v/>
      </x:c>
      <x:c r="ER18" s="822" t="str">
        <x:f t="shared" si="78"/>
        <x:v/>
      </x:c>
      <x:c r="ES18" s="822" t="str">
        <x:f t="shared" si="79"/>
        <x:v/>
      </x:c>
      <x:c r="ET18" s="822" t="str">
        <x:f t="shared" si="80"/>
        <x:v/>
      </x:c>
      <x:c r="EU18" s="829">
        <x:f t="shared" si="81"/>
        <x:v>4</x:v>
      </x:c>
      <x:c r="EV18" s="824" t="str">
        <x:f t="shared" si="82"/>
        <x:v/>
      </x:c>
      <x:c r="EW18" s="829"/>
      <x:c r="EX18" s="829" t="str">
        <x:f>IF(AND(CU18="G", ISBLANK(BK18), ISBLANK(BL18)),VLOOKUP(MIN(BH18:BI18),TblJoistSize!$M$3:$N$10,2),IF(OR(CU18="B",CU18="G"),MIN(BK18:BL18),""))</x:f>
        <x:v/>
      </x:c>
      <x:c r="EY18" s="829" t="str">
        <x:f>IF(AND(CU18="G", ISBLANK(BK18), ISBLANK(BL18)),VLOOKUP(MAX(BH18:BI18),TblJoistSize!$M$3:$N$10,2),IF(OR(CU18="B",CU18="G"),MAX(BK18:BL18),""))</x:f>
        <x:v/>
      </x:c>
      <x:c r="EZ18" s="829" t="str">
        <x:f t="shared" si="83"/>
        <x:v/>
      </x:c>
      <x:c r="FA18" s="829" t="str">
        <x:f>IF(AND(DE18="G", ISBLANK(BW18), ISBLANK(BX18)),VLOOKUP(MIN(BT18:BU18),TblJoistSize!$M$3:$N$10,2),IF(OR(DE18="B", DE18="G"),MIN(BW18:BX18),""))</x:f>
        <x:v/>
      </x:c>
      <x:c r="FB18" s="829" t="str">
        <x:f>IF(AND(DE18="G", ISBLANK(BW18), ISBLANK(BX18)),VLOOKUP(MAX(BT18:BU18),TblJoistSize!$M$3:$N$10,2),IF(OR(DE18="B", DE18="G"),MAX(BW18:BX18),""))</x:f>
        <x:v/>
      </x:c>
      <x:c r="FC18" s="829" t="str">
        <x:f t="shared" si="84"/>
        <x:v/>
      </x:c>
      <x:c r="FD18" s="821">
        <x:f t="shared" si="107"/>
        <x:v>0</x:v>
      </x:c>
      <x:c r="FE18" s="821">
        <x:f t="shared" si="85"/>
        <x:v>0</x:v>
      </x:c>
      <x:c r="FF18" s="821">
        <x:f t="shared" si="86"/>
        <x:v>0</x:v>
      </x:c>
      <x:c r="FG18" s="821" t="str">
        <x:f t="shared" si="87"/>
        <x:v/>
      </x:c>
      <x:c r="FH18" s="822" t="str">
        <x:f t="shared" si="88"/>
        <x:v/>
      </x:c>
      <x:c r="FI18" s="821">
        <x:f t="shared" si="108"/>
        <x:v>0</x:v>
      </x:c>
      <x:c r="FJ18" s="821">
        <x:f t="shared" si="89"/>
        <x:v>0</x:v>
      </x:c>
      <x:c r="FK18" s="821">
        <x:f t="shared" si="90"/>
        <x:v>0</x:v>
      </x:c>
      <x:c r="FL18" s="821" t="str">
        <x:f t="shared" si="91"/>
        <x:v/>
      </x:c>
      <x:c r="FM18" s="822" t="str">
        <x:f t="shared" si="92"/>
        <x:v/>
      </x:c>
      <x:c r="FN18" s="822" t="e">
        <x:f t="shared" si="93"/>
        <x:v>#VALUE!</x:v>
      </x:c>
      <x:c r="FO18" s="940" t="e">
        <x:f t="shared" si="94"/>
        <x:v>#VALUE!</x:v>
      </x:c>
      <x:c r="FP18" s="940" t="e">
        <x:f t="shared" si="95"/>
        <x:v>#VALUE!</x:v>
      </x:c>
      <x:c r="FQ18" s="830" t="e">
        <x:f t="shared" si="96"/>
        <x:v>#VALUE!</x:v>
      </x:c>
      <x:c r="FR18" s="831" t="e">
        <x:f t="shared" si="97"/>
        <x:v>#VALUE!</x:v>
      </x:c>
      <x:c r="FS18" s="832" t="str">
        <x:f t="shared" si="98"/>
        <x:v/>
      </x:c>
      <x:c r="FT18" s="833" t="str">
        <x:f t="shared" si="99"/>
        <x:v/>
      </x:c>
      <x:c r="FU18" s="870">
        <x:f t="shared" si="100"/>
        <x:v>0</x:v>
      </x:c>
      <x:c r="FV18" s="871">
        <x:f t="shared" si="101"/>
        <x:v>0</x:v>
      </x:c>
      <x:c r="GA18" s="1791">
        <x:v>40</x:v>
      </x:c>
      <x:c r="GB18" s="1792">
        <x:v>0</x:v>
      </x:c>
      <x:c r="GC18" s="1793">
        <x:v>-0.25</x:v>
      </x:c>
      <x:c r="GD18" s="1794">
        <x:v>-0.25</x:v>
      </x:c>
      <x:c r="GE18" s="1795">
        <x:f t="shared" si="102"/>
        <x:v>0</x:v>
      </x:c>
      <x:c r="GF18" s="600" t="str">
        <x:f t="shared" si="103"/>
        <x:v>TJ44</x:v>
      </x:c>
      <x:c r="GG18" s="1130">
        <x:v>0</x:v>
      </x:c>
      <x:c r="GH18" s="1131">
        <x:v>0</x:v>
      </x:c>
      <x:c r="GI18" s="1130"/>
      <x:c r="GJ18" s="1131"/>
      <x:c r="GK18" s="1638">
        <x:f t="shared" si="104"/>
        <x:v>479.5</x:v>
      </x:c>
      <x:c r="GL18" s="1636">
        <x:f t="shared" si="105"/>
        <x:v>479.5</x:v>
      </x:c>
      <x:c r="GM18" s="1637">
        <x:f>IF(ABS(GK18-GL18)&gt;='Job Info.'!$L$22,ABS(GK18-GL18),0)</x:f>
        <x:v>0</x:v>
      </x:c>
      <x:c r="HA18" s="1269" t="s">
        <x:v>1474</x:v>
      </x:c>
      <x:c r="HB18" s="1270">
        <x:v>9</x:v>
      </x:c>
      <x:c r="HC18" s="1270" t="s">
        <x:v>1592</x:v>
      </x:c>
      <x:c r="HD18" s="1271">
        <x:v>39</x:v>
      </x:c>
      <x:c r="HE18" s="1272">
        <x:v>11.5</x:v>
      </x:c>
      <x:c r="HF18" s="1270" t="s">
        <x:v>116</x:v>
      </x:c>
      <x:c r="HG18" s="1270" t="s">
        <x:v>116</x:v>
      </x:c>
      <x:c r="HH18" s="1270" t="s">
        <x:v>116</x:v>
      </x:c>
      <x:c r="HI18" s="1273" t="s">
        <x:v>116</x:v>
      </x:c>
      <x:c r="HJ18" s="1270" t="s">
        <x:v>116</x:v>
      </x:c>
      <x:c r="HK18" s="1270" t="s">
        <x:v>116</x:v>
      </x:c>
      <x:c r="HL18" s="1270">
        <x:v>5</x:v>
      </x:c>
      <x:c r="HM18" s="1270">
        <x:v>5</x:v>
      </x:c>
      <x:c r="HN18" s="1270">
        <x:v>0</x:v>
      </x:c>
      <x:c r="HO18" s="1270">
        <x:v>6.75</x:v>
      </x:c>
      <x:c r="HP18" s="1270">
        <x:v>2</x:v>
      </x:c>
      <x:c r="HQ18" s="1273">
        <x:v>0</x:v>
      </x:c>
      <x:c r="HR18" s="1270">
        <x:v>6.75</x:v>
      </x:c>
      <x:c r="HS18" s="1270">
        <x:v>2</x:v>
      </x:c>
      <x:c r="HT18" s="1270">
        <x:v>0</x:v>
      </x:c>
      <x:c r="HU18" s="1270">
        <x:v>2.25</x:v>
      </x:c>
      <x:c r="HV18" s="1270">
        <x:v>0</x:v>
      </x:c>
      <x:c r="HW18" s="1272">
        <x:v>2.25</x:v>
      </x:c>
      <x:c r="HX18" s="1272">
        <x:v>4</x:v>
      </x:c>
      <x:c r="HY18" s="1272" t="s">
        <x:v>116</x:v>
      </x:c>
      <x:c r="HZ18" s="1272" t="s">
        <x:v>116</x:v>
      </x:c>
      <x:c r="IA18" s="1272" t="s">
        <x:v>1667</x:v>
      </x:c>
      <x:c r="IB18" s="1272"/>
      <x:c r="IC18" s="1272"/>
      <x:c r="ID18" s="1272"/>
      <x:c r="IE18" s="1272"/>
      <x:c r="IF18" s="1274"/>
    </x:row>
    <x:row r="19" spans="1:240" ht="12.6" customHeight="1" x14ac:dyDescent="0.25">
      <x:c r="A19" s="2764" t="s">
        <x:v>1475</x:v>
      </x:c>
      <x:c r="B19" s="2765">
        <x:v>2</x:v>
      </x:c>
      <x:c r="C19" s="2766" t="s">
        <x:v>1592</x:v>
      </x:c>
      <x:c r="D19" s="2767">
        <x:v>39</x:v>
      </x:c>
      <x:c r="E19" s="2768">
        <x:v>11.5</x:v>
      </x:c>
      <x:c r="F19" s="2776" t="str">
        <x:f t="shared" si="1"/>
        <x:v/>
      </x:c>
      <x:c r="G19" s="2771" t="str">
        <x:f t="shared" si="2"/>
        <x:v/>
      </x:c>
      <x:c r="H19" s="2842" t="str">
        <x:f t="shared" si="3"/>
        <x:v/>
      </x:c>
      <x:c r="I19" s="2767" t="str">
        <x:f t="shared" si="4"/>
        <x:v/>
      </x:c>
      <x:c r="J19" s="2771" t="str">
        <x:f t="shared" si="5"/>
        <x:v/>
      </x:c>
      <x:c r="K19" s="2855" t="str">
        <x:f t="shared" si="6"/>
        <x:v/>
      </x:c>
      <x:c r="L19" s="2774">
        <x:v>5</x:v>
      </x:c>
      <x:c r="M19" s="2775">
        <x:v>5</x:v>
      </x:c>
      <x:c r="N19" s="2770" t="str">
        <x:f t="shared" si="7"/>
        <x:v/>
      </x:c>
      <x:c r="O19" s="2771" t="str">
        <x:f t="shared" si="8"/>
        <x:v/>
      </x:c>
      <x:c r="P19" s="2772" t="str">
        <x:f t="shared" si="9"/>
        <x:v/>
      </x:c>
      <x:c r="Q19" s="2767" t="str">
        <x:f t="shared" si="10"/>
        <x:v/>
      </x:c>
      <x:c r="R19" s="2771" t="str">
        <x:f t="shared" si="11"/>
        <x:v/>
      </x:c>
      <x:c r="S19" s="2773" t="str">
        <x:f t="shared" si="12"/>
        <x:v/>
      </x:c>
      <x:c r="T19" s="2776">
        <x:v>0</x:v>
      </x:c>
      <x:c r="U19" s="2771">
        <x:v>2.25</x:v>
      </x:c>
      <x:c r="V19" s="2767">
        <x:v>0</x:v>
      </x:c>
      <x:c r="W19" s="2771">
        <x:v>2.25</x:v>
      </x:c>
      <x:c r="X19" s="2775">
        <x:v>4</x:v>
      </x:c>
      <x:c r="Y19" s="2844" t="str">
        <x:f t="shared" si="13"/>
        <x:v/>
      </x:c>
      <x:c r="Z19" s="2845" t="str">
        <x:f t="shared" si="14"/>
        <x:v/>
      </x:c>
      <x:c r="AA19" s="2846" t="s">
        <x:v>1669</x:v>
      </x:c>
      <x:c r="AB19" s="1413"/>
      <x:c r="AC19" s="964" t="b">
        <x:v>0</x:v>
      </x:c>
      <x:c r="AD19" s="441">
        <x:f t="shared" si="15"/>
        <x:v>0</x:v>
      </x:c>
      <x:c r="AE19" s="442">
        <x:f t="shared" si="16"/>
        <x:v>2</x:v>
      </x:c>
      <x:c r="AF19" s="442">
        <x:f t="shared" si="17"/>
        <x:v>0</x:v>
      </x:c>
      <x:c r="AG19" s="442">
        <x:f t="shared" si="18"/>
        <x:v>0</x:v>
      </x:c>
      <x:c r="AH19" s="443">
        <x:f t="shared" si="19"/>
        <x:v>0</x:v>
      </x:c>
      <x:c r="AI19" s="444" t="b">
        <x:v>0</x:v>
      </x:c>
      <x:c r="AJ19" s="238">
        <x:f t="shared" si="20"/>
        <x:v>32</x:v>
      </x:c>
      <x:c r="AK19" s="830" t="str">
        <x:f t="shared" si="21"/>
        <x:v>LH</x:v>
      </x:c>
      <x:c r="AL19" s="945" t="str">
        <x:f t="shared" si="22"/>
        <x:v/>
      </x:c>
      <x:c r="AM19" s="830">
        <x:f t="shared" si="23"/>
        <x:v>305</x:v>
      </x:c>
      <x:c r="AN19" s="830">
        <x:f t="shared" si="24"/>
        <x:v>180</x:v>
      </x:c>
      <x:c r="AO19" s="830" t="str">
        <x:f t="shared" si="25"/>
        <x:v/>
      </x:c>
      <x:c r="AP19" s="830" t="b">
        <x:f>IF(ISERROR(AJ19),FALSE,IF(OR(AJ19=0,ISERROR(AL19),ISERROR(AM19),ISERROR(AN19),ISERROR(AO19)),FALSE,IF(AL19&lt;&gt;"",IF(ISERROR(VLOOKUP(SUBSTITUTE(SUBSTITUTE(C19,"R",""),"A",""),TblJoistSize!$A:$A,1,FALSE)),FALSE,TRUE),TRUE)))</x:f>
        <x:v>1</x:v>
      </x:c>
      <x:c r="AQ19" s="1038">
        <x:f t="shared" si="26"/>
        <x:v>6</x:v>
      </x:c>
      <x:c r="AR19" s="945" t="b">
        <x:f t="shared" si="27"/>
        <x:v>1</x:v>
      </x:c>
      <x:c r="AS19" s="1038">
        <x:f t="shared" si="28"/>
        <x:v>6</x:v>
      </x:c>
      <x:c r="AT19" s="945" t="b">
        <x:f t="shared" si="29"/>
        <x:v>1</x:v>
      </x:c>
      <x:c r="AU19" s="946" t="str">
        <x:f t="shared" si="30"/>
        <x:v>LH</x:v>
      </x:c>
      <x:c r="AV19" s="830" t="str">
        <x:f t="shared" si="31"/>
        <x:v/>
      </x:c>
      <x:c r="AW19" s="830" t="str">
        <x:f t="shared" si="32"/>
        <x:v>LH</x:v>
      </x:c>
      <x:c r="AX19" s="830" t="str">
        <x:f t="shared" si="106"/>
        <x:v>J45</x:v>
      </x:c>
      <x:c r="AY19" s="1039" t="b">
        <x:f t="shared" si="33"/>
        <x:v>0</x:v>
      </x:c>
      <x:c r="AZ19" s="856" t="b">
        <x:f t="shared" si="34"/>
        <x:v>0</x:v>
      </x:c>
      <x:c r="BA19" s="549"/>
      <x:c r="BB19" s="672"/>
      <x:c r="BC19" s="1684"/>
      <x:c r="BD19" s="733"/>
      <x:c r="BE19" s="734"/>
      <x:c r="BF19" s="735"/>
      <x:c r="BG19" s="672"/>
      <x:c r="BH19" s="982"/>
      <x:c r="BI19" s="983"/>
      <x:c r="BJ19" s="1625"/>
      <x:c r="BK19" s="713"/>
      <x:c r="BL19" s="714"/>
      <x:c r="BM19" s="715"/>
      <x:c r="BN19" s="716"/>
      <x:c r="BO19" s="672" t="str">
        <x:f>IF(ISERROR(CU19),"",IF(CU19="","",IF(VLOOKUP(BG19,SectInfo!$B:$N,10,FALSE)="","","X")))</x:f>
        <x:v/>
      </x:c>
      <x:c r="BP19" s="738"/>
      <x:c r="BQ19" s="1551" t="str">
        <x:f t="shared" si="35"/>
        <x:v/>
      </x:c>
      <x:c r="BR19" s="910"/>
      <x:c r="BS19" s="672"/>
      <x:c r="BT19" s="713"/>
      <x:c r="BU19" s="714"/>
      <x:c r="BV19" s="1625"/>
      <x:c r="BW19" s="713"/>
      <x:c r="BX19" s="714"/>
      <x:c r="BY19" s="715"/>
      <x:c r="BZ19" s="716"/>
      <x:c r="CA19" s="680" t="str">
        <x:f>IF(ISERROR(DE19),"",IF(DE19="","",IF(VLOOKUP(BS19,SectInfo!$B:$N,10,FALSE)="","","X")))</x:f>
        <x:v/>
      </x:c>
      <x:c r="CB19" s="738"/>
      <x:c r="CC19" s="1551" t="str">
        <x:f t="shared" si="36"/>
        <x:v/>
      </x:c>
      <x:c r="CD19" s="910"/>
      <x:c r="CE19" s="717"/>
      <x:c r="CF19" s="736"/>
      <x:c r="CG19" s="737"/>
      <x:c r="CH19" s="591" t="str">
        <x:f t="shared" si="37"/>
        <x:v/>
      </x:c>
      <x:c r="CI19" s="592" t="str">
        <x:f t="shared" si="38"/>
        <x:v/>
      </x:c>
      <x:c r="CJ19" s="593" t="str">
        <x:f t="shared" si="39"/>
        <x:v/>
      </x:c>
      <x:c r="CK19" s="594" t="str">
        <x:f t="shared" si="40"/>
        <x:v/>
      </x:c>
      <x:c r="CL19" s="595" t="str">
        <x:f t="shared" si="41"/>
        <x:v/>
      </x:c>
      <x:c r="CM19" s="596" t="str">
        <x:f t="shared" si="42"/>
        <x:v/>
      </x:c>
      <x:c r="CN19" s="597" t="str">
        <x:f t="shared" si="43"/>
        <x:v/>
      </x:c>
      <x:c r="CO19" s="598" t="str">
        <x:f t="shared" si="44"/>
        <x:v/>
      </x:c>
      <x:c r="CP19" s="615" t="str">
        <x:f t="shared" si="45"/>
        <x:v/>
      </x:c>
      <x:c r="CQ19" s="616" t="str">
        <x:f t="shared" si="46"/>
        <x:v/>
      </x:c>
      <x:c r="CR19" s="750">
        <x:f t="shared" si="47"/>
        <x:v>5</x:v>
      </x:c>
      <x:c r="CS19" s="751">
        <x:f t="shared" si="48"/>
        <x:v>5</x:v>
      </x:c>
      <x:c r="CU19" s="817" t="str">
        <x:f>IF(BG19="","",VLOOKUP(BG19,SectInfo!$B:$N,12,FALSE))</x:f>
        <x:v/>
      </x:c>
      <x:c r="CV19" s="815" t="str">
        <x:f>IF(BG19="","",IF(ISBLANK(BP19),VLOOKUP(BG19,SectInfo!$B:$N,13,FALSE),BP19))</x:f>
        <x:v/>
      </x:c>
      <x:c r="CW19" s="815" t="str">
        <x:f>IF(BG19="","",IF(VLOOKUP(BG19,SectInfo!$B:$N,5,FALSE)="","R",UPPER(VLOOKUP(BG19,SectInfo!$B:$N,5,FALSE))))</x:f>
        <x:v/>
      </x:c>
      <x:c r="CX19" s="815" t="str">
        <x:f>IF(BG19="","",IF(ISBLANK(BR19),VLOOKUP(BG19,SectInfo!$B:$N,6,FALSE),BR19))</x:f>
        <x:v/>
      </x:c>
      <x:c r="CY19" s="1286" t="str">
        <x:f>IF(BG19="","",IF(VLOOKUP(BG19,SectInfo!$B:$N,10,FALSE)="","",(IF(BO19="X",VLOOKUP(BG19,SectInfo!$B:$N,10,FALSE),VALUE(BO19))*-1)))</x:f>
        <x:v/>
      </x:c>
      <x:c r="CZ19" s="1122" t="str">
        <x:f>IF(BG19="","",IF(VLOOKUP(BG19,SectInfo!$B:$N,11,FALSE)="","2",(VLOOKUP(BG19,SectInfo!$B:$N,11,FALSE))))</x:f>
        <x:v/>
      </x:c>
      <x:c r="DA19" s="815" t="str">
        <x:f>IF(BG19="","",IF(VLOOKUP(BG19,SectInfo!$B:$N,7,FALSE)="","",(VLOOKUP(BG19,SectInfo!$B:$N,7,FALSE)*-1)))</x:f>
        <x:v/>
      </x:c>
      <x:c r="DB19" s="815" t="str">
        <x:f>IF(BG19="","",IF(VLOOKUP(BG19,SectInfo!$B:$N,8,FALSE)="",VLOOKUP(AU19,$DF$2:$DN$9,6,FALSE),(VLOOKUP(BG19,SectInfo!$B:$N,8,FALSE))))</x:f>
        <x:v/>
      </x:c>
      <x:c r="DC19" s="815" t="str">
        <x:f>IF(BG19="","",VLOOKUP(BG19,SectInfo!$B:$N,9,FALSE))</x:f>
        <x:v/>
      </x:c>
      <x:c r="DD19" s="816">
        <x:f t="shared" si="49"/>
        <x:v>0</x:v>
      </x:c>
      <x:c r="DE19" s="817" t="str">
        <x:f>IF(BS19="","",VLOOKUP(BS19,SectInfo!$B:$N,12,FALSE))</x:f>
        <x:v/>
      </x:c>
      <x:c r="DF19" s="815" t="str">
        <x:f>IF(BS19="","",IF(ISBLANK(CB19),VLOOKUP(BS19,SectInfo!$B:$N,13,FALSE),CB19))</x:f>
        <x:v/>
      </x:c>
      <x:c r="DG19" s="815" t="str">
        <x:f>IF(BS19="","",IF(VLOOKUP(BS19,SectInfo!$B:$N,5,FALSE)="","R",UPPER(VLOOKUP(BS19,SectInfo!$B:$N,5,FALSE))))</x:f>
        <x:v/>
      </x:c>
      <x:c r="DH19" s="815" t="str">
        <x:f>IF(BS19="","",IF(ISBLANK(CD19),VLOOKUP(BS19,SectInfo!$B:$N,6,FALSE),CD19))</x:f>
        <x:v/>
      </x:c>
      <x:c r="DI19" s="1286" t="str">
        <x:f>IF(BS19="","",IF(VLOOKUP(BS19,SectInfo!$B:$N,10,FALSE)="","",(IF(CA19="X",VLOOKUP(BS19,SectInfo!$B:$N,10,FALSE),VALUE(CA19))*-1)))</x:f>
        <x:v/>
      </x:c>
      <x:c r="DJ19" s="1122" t="str">
        <x:f>IF(BS19="","",IF(VLOOKUP(BS19,SectInfo!$B:$N,11,FALSE)="","2",(VLOOKUP(BS19,SectInfo!$B:$N,11,FALSE))))</x:f>
        <x:v/>
      </x:c>
      <x:c r="DK19" s="815" t="str">
        <x:f>IF(BS19="","",IF(VLOOKUP(BS19,SectInfo!$B:$N,7,FALSE)="","",(VLOOKUP(BS19,SectInfo!$B:$N,7,FALSE)*-1)))</x:f>
        <x:v/>
      </x:c>
      <x:c r="DL19" s="815" t="str">
        <x:f>IF(BS19="","",IF(VLOOKUP(BS19,SectInfo!$B:$N,8,FALSE)="",VLOOKUP(AU19,$DF$2:$DN$9,6,FALSE),(VLOOKUP(BS19,SectInfo!$B:$N,8,FALSE))))</x:f>
        <x:v/>
      </x:c>
      <x:c r="DM19" s="815" t="str">
        <x:f>IF(BS19="","",VLOOKUP(BS19,SectInfo!$B:$N,9,FALSE))</x:f>
        <x:v/>
      </x:c>
      <x:c r="DN19" s="816">
        <x:f t="shared" si="50"/>
        <x:v>0</x:v>
      </x:c>
      <x:c r="DO19" s="818">
        <x:f t="shared" si="51"/>
        <x:v>0</x:v>
      </x:c>
      <x:c r="DP19" s="822" t="str">
        <x:f t="shared" si="52"/>
        <x:v/>
      </x:c>
      <x:c r="DQ19" s="822" t="str">
        <x:f t="shared" si="53"/>
        <x:v/>
      </x:c>
      <x:c r="DR19" s="822" t="str">
        <x:f t="shared" si="54"/>
        <x:v/>
      </x:c>
      <x:c r="DS19" s="821">
        <x:f t="shared" si="55"/>
        <x:v>0</x:v>
      </x:c>
      <x:c r="DT19" s="821">
        <x:f t="shared" si="56"/>
        <x:v>0</x:v>
      </x:c>
      <x:c r="DU19" s="821" t="str">
        <x:f t="shared" si="57"/>
        <x:v/>
      </x:c>
      <x:c r="DV19" s="822" t="str">
        <x:f t="shared" si="58"/>
        <x:v/>
      </x:c>
      <x:c r="DW19" s="856" t="str">
        <x:f t="shared" si="59"/>
        <x:v/>
      </x:c>
      <x:c r="DX19" s="1006">
        <x:f t="shared" si="60"/>
        <x:v>0</x:v>
      </x:c>
      <x:c r="DY19" s="822">
        <x:f t="shared" si="61"/>
        <x:v>0</x:v>
      </x:c>
      <x:c r="DZ19" s="821">
        <x:f t="shared" si="62"/>
        <x:v>0</x:v>
      </x:c>
      <x:c r="EA19" s="821" t="str">
        <x:f t="shared" si="63"/>
        <x:v/>
      </x:c>
      <x:c r="EB19" s="822" t="str">
        <x:f t="shared" si="64"/>
        <x:v/>
      </x:c>
      <x:c r="EC19" s="856" t="str">
        <x:f t="shared" si="65"/>
        <x:v/>
      </x:c>
      <x:c r="ED19" s="1006">
        <x:f t="shared" si="66"/>
        <x:v>0</x:v>
      </x:c>
      <x:c r="EE19" s="1293" t="str">
        <x:f t="shared" si="67"/>
        <x:v/>
      </x:c>
      <x:c r="EF19" s="1293" t="str">
        <x:f t="shared" si="68"/>
        <x:v/>
      </x:c>
      <x:c r="EG19" s="1293" t="str">
        <x:f t="shared" si="69"/>
        <x:v/>
      </x:c>
      <x:c r="EH19" s="856" t="str">
        <x:f t="shared" si="70"/>
        <x:v>ERR</x:v>
      </x:c>
      <x:c r="EI19" s="856" t="str">
        <x:f t="shared" si="71"/>
        <x:v>ERR</x:v>
      </x:c>
      <x:c r="EJ19" s="822" t="str">
        <x:f t="shared" si="72"/>
        <x:v/>
      </x:c>
      <x:c r="EK19" s="822" t="str">
        <x:f t="shared" si="72"/>
        <x:v/>
      </x:c>
      <x:c r="EL19" s="1293" t="str">
        <x:f t="shared" si="73"/>
        <x:v/>
      </x:c>
      <x:c r="EM19" s="822" t="str">
        <x:f t="shared" si="74"/>
        <x:v/>
      </x:c>
      <x:c r="EN19" s="822" t="str">
        <x:f t="shared" si="75"/>
        <x:v/>
      </x:c>
      <x:c r="EO19" s="856" t="str">
        <x:f t="shared" si="76"/>
        <x:v>ERR</x:v>
      </x:c>
      <x:c r="EP19" s="856" t="str">
        <x:f t="shared" si="77"/>
        <x:v>ERR</x:v>
      </x:c>
      <x:c r="EQ19" s="1293" t="str">
        <x:f t="shared" si="78"/>
        <x:v/>
      </x:c>
      <x:c r="ER19" s="822" t="str">
        <x:f t="shared" si="78"/>
        <x:v/>
      </x:c>
      <x:c r="ES19" s="822" t="str">
        <x:f t="shared" si="79"/>
        <x:v/>
      </x:c>
      <x:c r="ET19" s="822" t="str">
        <x:f t="shared" si="80"/>
        <x:v/>
      </x:c>
      <x:c r="EU19" s="829">
        <x:f t="shared" si="81"/>
        <x:v>4</x:v>
      </x:c>
      <x:c r="EV19" s="824" t="str">
        <x:f t="shared" si="82"/>
        <x:v/>
      </x:c>
      <x:c r="EW19" s="829"/>
      <x:c r="EX19" s="829" t="str">
        <x:f>IF(AND(CU19="G", ISBLANK(BK19), ISBLANK(BL19)),VLOOKUP(MIN(BH19:BI19),TblJoistSize!$M$3:$N$10,2),IF(OR(CU19="B",CU19="G"),MIN(BK19:BL19),""))</x:f>
        <x:v/>
      </x:c>
      <x:c r="EY19" s="829" t="str">
        <x:f>IF(AND(CU19="G", ISBLANK(BK19), ISBLANK(BL19)),VLOOKUP(MAX(BH19:BI19),TblJoistSize!$M$3:$N$10,2),IF(OR(CU19="B",CU19="G"),MAX(BK19:BL19),""))</x:f>
        <x:v/>
      </x:c>
      <x:c r="EZ19" s="829" t="str">
        <x:f t="shared" si="83"/>
        <x:v/>
      </x:c>
      <x:c r="FA19" s="829" t="str">
        <x:f>IF(AND(DE19="G", ISBLANK(BW19), ISBLANK(BX19)),VLOOKUP(MIN(BT19:BU19),TblJoistSize!$M$3:$N$10,2),IF(OR(DE19="B", DE19="G"),MIN(BW19:BX19),""))</x:f>
        <x:v/>
      </x:c>
      <x:c r="FB19" s="829" t="str">
        <x:f>IF(AND(DE19="G", ISBLANK(BW19), ISBLANK(BX19)),VLOOKUP(MAX(BT19:BU19),TblJoistSize!$M$3:$N$10,2),IF(OR(DE19="B", DE19="G"),MAX(BW19:BX19),""))</x:f>
        <x:v/>
      </x:c>
      <x:c r="FC19" s="829" t="str">
        <x:f t="shared" si="84"/>
        <x:v/>
      </x:c>
      <x:c r="FD19" s="821">
        <x:f t="shared" si="107"/>
        <x:v>0</x:v>
      </x:c>
      <x:c r="FE19" s="821">
        <x:f t="shared" si="85"/>
        <x:v>0</x:v>
      </x:c>
      <x:c r="FF19" s="821">
        <x:f t="shared" si="86"/>
        <x:v>0</x:v>
      </x:c>
      <x:c r="FG19" s="821" t="str">
        <x:f t="shared" si="87"/>
        <x:v/>
      </x:c>
      <x:c r="FH19" s="822" t="str">
        <x:f t="shared" si="88"/>
        <x:v/>
      </x:c>
      <x:c r="FI19" s="821">
        <x:f t="shared" si="108"/>
        <x:v>0</x:v>
      </x:c>
      <x:c r="FJ19" s="821">
        <x:f t="shared" si="89"/>
        <x:v>0</x:v>
      </x:c>
      <x:c r="FK19" s="821">
        <x:f t="shared" si="90"/>
        <x:v>0</x:v>
      </x:c>
      <x:c r="FL19" s="821" t="str">
        <x:f t="shared" si="91"/>
        <x:v/>
      </x:c>
      <x:c r="FM19" s="822" t="str">
        <x:f t="shared" si="92"/>
        <x:v/>
      </x:c>
      <x:c r="FN19" s="822" t="e">
        <x:f t="shared" si="93"/>
        <x:v>#VALUE!</x:v>
      </x:c>
      <x:c r="FO19" s="940" t="e">
        <x:f t="shared" si="94"/>
        <x:v>#VALUE!</x:v>
      </x:c>
      <x:c r="FP19" s="940" t="e">
        <x:f t="shared" si="95"/>
        <x:v>#VALUE!</x:v>
      </x:c>
      <x:c r="FQ19" s="830" t="e">
        <x:f t="shared" si="96"/>
        <x:v>#VALUE!</x:v>
      </x:c>
      <x:c r="FR19" s="831" t="e">
        <x:f t="shared" si="97"/>
        <x:v>#VALUE!</x:v>
      </x:c>
      <x:c r="FS19" s="832" t="str">
        <x:f t="shared" si="98"/>
        <x:v/>
      </x:c>
      <x:c r="FT19" s="833" t="str">
        <x:f t="shared" si="99"/>
        <x:v/>
      </x:c>
      <x:c r="FU19" s="870">
        <x:f t="shared" si="100"/>
        <x:v>0</x:v>
      </x:c>
      <x:c r="FV19" s="871">
        <x:f t="shared" si="101"/>
        <x:v>0</x:v>
      </x:c>
      <x:c r="GA19" s="1791">
        <x:v>40</x:v>
      </x:c>
      <x:c r="GB19" s="1792">
        <x:v>0</x:v>
      </x:c>
      <x:c r="GC19" s="1793">
        <x:v>-0.25</x:v>
      </x:c>
      <x:c r="GD19" s="1794">
        <x:v>-0.25</x:v>
      </x:c>
      <x:c r="GE19" s="1795">
        <x:f t="shared" si="102"/>
        <x:v>0</x:v>
      </x:c>
      <x:c r="GF19" s="600" t="str">
        <x:f t="shared" si="103"/>
        <x:v>J45</x:v>
      </x:c>
      <x:c r="GG19" s="1130">
        <x:v>0</x:v>
      </x:c>
      <x:c r="GH19" s="1131">
        <x:v>0</x:v>
      </x:c>
      <x:c r="GI19" s="1130"/>
      <x:c r="GJ19" s="1131"/>
      <x:c r="GK19" s="1638">
        <x:f t="shared" si="104"/>
        <x:v>479.5</x:v>
      </x:c>
      <x:c r="GL19" s="1636">
        <x:f t="shared" si="105"/>
        <x:v>479.5</x:v>
      </x:c>
      <x:c r="GM19" s="1637">
        <x:f>IF(ABS(GK19-GL19)&gt;='Job Info.'!$L$22,ABS(GK19-GL19),0)</x:f>
        <x:v>0</x:v>
      </x:c>
      <x:c r="HA19" s="1269" t="s">
        <x:v>1475</x:v>
      </x:c>
      <x:c r="HB19" s="1270">
        <x:v>2</x:v>
      </x:c>
      <x:c r="HC19" s="1270" t="s">
        <x:v>1592</x:v>
      </x:c>
      <x:c r="HD19" s="1271">
        <x:v>39</x:v>
      </x:c>
      <x:c r="HE19" s="1272">
        <x:v>11.5</x:v>
      </x:c>
      <x:c r="HF19" s="1270" t="s">
        <x:v>116</x:v>
      </x:c>
      <x:c r="HG19" s="1270" t="s">
        <x:v>116</x:v>
      </x:c>
      <x:c r="HH19" s="1270" t="s">
        <x:v>116</x:v>
      </x:c>
      <x:c r="HI19" s="1273" t="s">
        <x:v>116</x:v>
      </x:c>
      <x:c r="HJ19" s="1270" t="s">
        <x:v>116</x:v>
      </x:c>
      <x:c r="HK19" s="1270" t="s">
        <x:v>116</x:v>
      </x:c>
      <x:c r="HL19" s="1270">
        <x:v>5</x:v>
      </x:c>
      <x:c r="HM19" s="1270">
        <x:v>5</x:v>
      </x:c>
      <x:c r="HN19" s="1270" t="s">
        <x:v>116</x:v>
      </x:c>
      <x:c r="HO19" s="1270" t="s">
        <x:v>116</x:v>
      </x:c>
      <x:c r="HP19" s="1270" t="s">
        <x:v>116</x:v>
      </x:c>
      <x:c r="HQ19" s="1273" t="s">
        <x:v>116</x:v>
      </x:c>
      <x:c r="HR19" s="1270" t="s">
        <x:v>116</x:v>
      </x:c>
      <x:c r="HS19" s="1270" t="s">
        <x:v>116</x:v>
      </x:c>
      <x:c r="HT19" s="1270">
        <x:v>0</x:v>
      </x:c>
      <x:c r="HU19" s="1270">
        <x:v>2.25</x:v>
      </x:c>
      <x:c r="HV19" s="1270">
        <x:v>0</x:v>
      </x:c>
      <x:c r="HW19" s="1272">
        <x:v>2.25</x:v>
      </x:c>
      <x:c r="HX19" s="1272">
        <x:v>4</x:v>
      </x:c>
      <x:c r="HY19" s="1272" t="s">
        <x:v>116</x:v>
      </x:c>
      <x:c r="HZ19" s="1272" t="s">
        <x:v>116</x:v>
      </x:c>
      <x:c r="IA19" s="1272" t="s">
        <x:v>1669</x:v>
      </x:c>
      <x:c r="IB19" s="1272"/>
      <x:c r="IC19" s="1272"/>
      <x:c r="ID19" s="1272"/>
      <x:c r="IE19" s="1272"/>
      <x:c r="IF19" s="1274"/>
    </x:row>
    <x:row r="20" spans="1:240" ht="12.6" customHeight="1" x14ac:dyDescent="0.25">
      <x:c r="A20" s="2764" t="s">
        <x:v>1476</x:v>
      </x:c>
      <x:c r="B20" s="2765">
        <x:v>4</x:v>
      </x:c>
      <x:c r="C20" s="2766" t="s">
        <x:v>1592</x:v>
      </x:c>
      <x:c r="D20" s="2767">
        <x:v>39</x:v>
      </x:c>
      <x:c r="E20" s="2768">
        <x:v>11.5</x:v>
      </x:c>
      <x:c r="F20" s="2776" t="str">
        <x:f t="shared" si="1"/>
        <x:v/>
      </x:c>
      <x:c r="G20" s="2771" t="str">
        <x:f t="shared" si="2"/>
        <x:v/>
      </x:c>
      <x:c r="H20" s="2842" t="str">
        <x:f t="shared" si="3"/>
        <x:v/>
      </x:c>
      <x:c r="I20" s="2767" t="str">
        <x:f t="shared" si="4"/>
        <x:v/>
      </x:c>
      <x:c r="J20" s="2771" t="str">
        <x:f t="shared" si="5"/>
        <x:v/>
      </x:c>
      <x:c r="K20" s="2855" t="str">
        <x:f t="shared" si="6"/>
        <x:v/>
      </x:c>
      <x:c r="L20" s="2774">
        <x:v>5</x:v>
      </x:c>
      <x:c r="M20" s="2775">
        <x:v>5</x:v>
      </x:c>
      <x:c r="N20" s="2770" t="str">
        <x:f t="shared" si="7"/>
        <x:v/>
      </x:c>
      <x:c r="O20" s="2771" t="str">
        <x:f t="shared" si="8"/>
        <x:v/>
      </x:c>
      <x:c r="P20" s="2772" t="str">
        <x:f t="shared" si="9"/>
        <x:v/>
      </x:c>
      <x:c r="Q20" s="2767" t="str">
        <x:f t="shared" si="10"/>
        <x:v/>
      </x:c>
      <x:c r="R20" s="2771" t="str">
        <x:f t="shared" si="11"/>
        <x:v/>
      </x:c>
      <x:c r="S20" s="2773" t="str">
        <x:f t="shared" si="12"/>
        <x:v/>
      </x:c>
      <x:c r="T20" s="2776">
        <x:v>0</x:v>
      </x:c>
      <x:c r="U20" s="2771">
        <x:v>2.25</x:v>
      </x:c>
      <x:c r="V20" s="2767">
        <x:v>0</x:v>
      </x:c>
      <x:c r="W20" s="2771">
        <x:v>2.25</x:v>
      </x:c>
      <x:c r="X20" s="2775">
        <x:v>4</x:v>
      </x:c>
      <x:c r="Y20" s="2844" t="str">
        <x:f t="shared" si="13"/>
        <x:v/>
      </x:c>
      <x:c r="Z20" s="2845" t="str">
        <x:f t="shared" si="14"/>
        <x:v/>
      </x:c>
      <x:c r="AA20" s="2846" t="s">
        <x:v>1670</x:v>
      </x:c>
      <x:c r="AB20" s="1413"/>
      <x:c r="AC20" s="964" t="b">
        <x:v>0</x:v>
      </x:c>
      <x:c r="AD20" s="441">
        <x:f t="shared" si="15"/>
        <x:v>0</x:v>
      </x:c>
      <x:c r="AE20" s="442">
        <x:f t="shared" si="16"/>
        <x:v>4</x:v>
      </x:c>
      <x:c r="AF20" s="442">
        <x:f t="shared" si="17"/>
        <x:v>0</x:v>
      </x:c>
      <x:c r="AG20" s="442">
        <x:f t="shared" si="18"/>
        <x:v>0</x:v>
      </x:c>
      <x:c r="AH20" s="443">
        <x:f t="shared" si="19"/>
        <x:v>0</x:v>
      </x:c>
      <x:c r="AI20" s="444" t="b">
        <x:v>0</x:v>
      </x:c>
      <x:c r="AJ20" s="238">
        <x:f t="shared" si="20"/>
        <x:v>32</x:v>
      </x:c>
      <x:c r="AK20" s="830" t="str">
        <x:f t="shared" si="21"/>
        <x:v>LH</x:v>
      </x:c>
      <x:c r="AL20" s="945" t="str">
        <x:f t="shared" si="22"/>
        <x:v/>
      </x:c>
      <x:c r="AM20" s="830">
        <x:f t="shared" si="23"/>
        <x:v>305</x:v>
      </x:c>
      <x:c r="AN20" s="830">
        <x:f t="shared" si="24"/>
        <x:v>180</x:v>
      </x:c>
      <x:c r="AO20" s="830" t="str">
        <x:f t="shared" si="25"/>
        <x:v/>
      </x:c>
      <x:c r="AP20" s="830" t="b">
        <x:f>IF(ISERROR(AJ20),FALSE,IF(OR(AJ20=0,ISERROR(AL20),ISERROR(AM20),ISERROR(AN20),ISERROR(AO20)),FALSE,IF(AL20&lt;&gt;"",IF(ISERROR(VLOOKUP(SUBSTITUTE(SUBSTITUTE(C20,"R",""),"A",""),TblJoistSize!$A:$A,1,FALSE)),FALSE,TRUE),TRUE)))</x:f>
        <x:v>1</x:v>
      </x:c>
      <x:c r="AQ20" s="1038">
        <x:f t="shared" si="26"/>
        <x:v>6</x:v>
      </x:c>
      <x:c r="AR20" s="945" t="b">
        <x:f t="shared" si="27"/>
        <x:v>1</x:v>
      </x:c>
      <x:c r="AS20" s="1038">
        <x:f t="shared" si="28"/>
        <x:v>6</x:v>
      </x:c>
      <x:c r="AT20" s="945" t="b">
        <x:f t="shared" si="29"/>
        <x:v>1</x:v>
      </x:c>
      <x:c r="AU20" s="946" t="str">
        <x:f t="shared" si="30"/>
        <x:v>LH</x:v>
      </x:c>
      <x:c r="AV20" s="830" t="str">
        <x:f t="shared" si="31"/>
        <x:v/>
      </x:c>
      <x:c r="AW20" s="830" t="str">
        <x:f t="shared" si="32"/>
        <x:v>LH</x:v>
      </x:c>
      <x:c r="AX20" s="830" t="str">
        <x:f t="shared" si="106"/>
        <x:v>J46</x:v>
      </x:c>
      <x:c r="AY20" s="1039" t="b">
        <x:f t="shared" si="33"/>
        <x:v>0</x:v>
      </x:c>
      <x:c r="AZ20" s="856" t="b">
        <x:f t="shared" si="34"/>
        <x:v>0</x:v>
      </x:c>
      <x:c r="BA20" s="549"/>
      <x:c r="BB20" s="672"/>
      <x:c r="BC20" s="1684"/>
      <x:c r="BD20" s="733"/>
      <x:c r="BE20" s="734"/>
      <x:c r="BF20" s="735"/>
      <x:c r="BG20" s="672"/>
      <x:c r="BH20" s="982"/>
      <x:c r="BI20" s="983"/>
      <x:c r="BJ20" s="1625"/>
      <x:c r="BK20" s="713"/>
      <x:c r="BL20" s="714"/>
      <x:c r="BM20" s="715"/>
      <x:c r="BN20" s="716"/>
      <x:c r="BO20" s="672" t="str">
        <x:f>IF(ISERROR(CU20),"",IF(CU20="","",IF(VLOOKUP(BG20,SectInfo!$B:$N,10,FALSE)="","","X")))</x:f>
        <x:v/>
      </x:c>
      <x:c r="BP20" s="738"/>
      <x:c r="BQ20" s="1551" t="str">
        <x:f t="shared" si="35"/>
        <x:v/>
      </x:c>
      <x:c r="BR20" s="910"/>
      <x:c r="BS20" s="672"/>
      <x:c r="BT20" s="713"/>
      <x:c r="BU20" s="714"/>
      <x:c r="BV20" s="1625"/>
      <x:c r="BW20" s="713"/>
      <x:c r="BX20" s="714"/>
      <x:c r="BY20" s="715"/>
      <x:c r="BZ20" s="716"/>
      <x:c r="CA20" s="680" t="str">
        <x:f>IF(ISERROR(DE20),"",IF(DE20="","",IF(VLOOKUP(BS20,SectInfo!$B:$N,10,FALSE)="","","X")))</x:f>
        <x:v/>
      </x:c>
      <x:c r="CB20" s="738"/>
      <x:c r="CC20" s="1551" t="str">
        <x:f t="shared" si="36"/>
        <x:v/>
      </x:c>
      <x:c r="CD20" s="910"/>
      <x:c r="CE20" s="717"/>
      <x:c r="CF20" s="736"/>
      <x:c r="CG20" s="737"/>
      <x:c r="CH20" s="591" t="str">
        <x:f t="shared" si="37"/>
        <x:v/>
      </x:c>
      <x:c r="CI20" s="592" t="str">
        <x:f t="shared" si="38"/>
        <x:v/>
      </x:c>
      <x:c r="CJ20" s="593" t="str">
        <x:f t="shared" si="39"/>
        <x:v/>
      </x:c>
      <x:c r="CK20" s="594" t="str">
        <x:f t="shared" si="40"/>
        <x:v/>
      </x:c>
      <x:c r="CL20" s="595" t="str">
        <x:f t="shared" si="41"/>
        <x:v/>
      </x:c>
      <x:c r="CM20" s="596" t="str">
        <x:f t="shared" si="42"/>
        <x:v/>
      </x:c>
      <x:c r="CN20" s="597" t="str">
        <x:f t="shared" si="43"/>
        <x:v/>
      </x:c>
      <x:c r="CO20" s="598" t="str">
        <x:f t="shared" si="44"/>
        <x:v/>
      </x:c>
      <x:c r="CP20" s="615" t="str">
        <x:f t="shared" si="45"/>
        <x:v/>
      </x:c>
      <x:c r="CQ20" s="616" t="str">
        <x:f t="shared" si="46"/>
        <x:v/>
      </x:c>
      <x:c r="CR20" s="750">
        <x:f t="shared" si="47"/>
        <x:v>5</x:v>
      </x:c>
      <x:c r="CS20" s="751">
        <x:f t="shared" si="48"/>
        <x:v>5</x:v>
      </x:c>
      <x:c r="CU20" s="817" t="str">
        <x:f>IF(BG20="","",VLOOKUP(BG20,SectInfo!$B:$N,12,FALSE))</x:f>
        <x:v/>
      </x:c>
      <x:c r="CV20" s="815" t="str">
        <x:f>IF(BG20="","",IF(ISBLANK(BP20),VLOOKUP(BG20,SectInfo!$B:$N,13,FALSE),BP20))</x:f>
        <x:v/>
      </x:c>
      <x:c r="CW20" s="815" t="str">
        <x:f>IF(BG20="","",IF(VLOOKUP(BG20,SectInfo!$B:$N,5,FALSE)="","R",UPPER(VLOOKUP(BG20,SectInfo!$B:$N,5,FALSE))))</x:f>
        <x:v/>
      </x:c>
      <x:c r="CX20" s="815" t="str">
        <x:f>IF(BG20="","",IF(ISBLANK(BR20),VLOOKUP(BG20,SectInfo!$B:$N,6,FALSE),BR20))</x:f>
        <x:v/>
      </x:c>
      <x:c r="CY20" s="1286" t="str">
        <x:f>IF(BG20="","",IF(VLOOKUP(BG20,SectInfo!$B:$N,10,FALSE)="","",(IF(BO20="X",VLOOKUP(BG20,SectInfo!$B:$N,10,FALSE),VALUE(BO20))*-1)))</x:f>
        <x:v/>
      </x:c>
      <x:c r="CZ20" s="1122" t="str">
        <x:f>IF(BG20="","",IF(VLOOKUP(BG20,SectInfo!$B:$N,11,FALSE)="","2",(VLOOKUP(BG20,SectInfo!$B:$N,11,FALSE))))</x:f>
        <x:v/>
      </x:c>
      <x:c r="DA20" s="815" t="str">
        <x:f>IF(BG20="","",IF(VLOOKUP(BG20,SectInfo!$B:$N,7,FALSE)="","",(VLOOKUP(BG20,SectInfo!$B:$N,7,FALSE)*-1)))</x:f>
        <x:v/>
      </x:c>
      <x:c r="DB20" s="815" t="str">
        <x:f>IF(BG20="","",IF(VLOOKUP(BG20,SectInfo!$B:$N,8,FALSE)="",VLOOKUP(AU20,$DF$2:$DN$9,6,FALSE),(VLOOKUP(BG20,SectInfo!$B:$N,8,FALSE))))</x:f>
        <x:v/>
      </x:c>
      <x:c r="DC20" s="815" t="str">
        <x:f>IF(BG20="","",VLOOKUP(BG20,SectInfo!$B:$N,9,FALSE))</x:f>
        <x:v/>
      </x:c>
      <x:c r="DD20" s="816">
        <x:f t="shared" si="49"/>
        <x:v>0</x:v>
      </x:c>
      <x:c r="DE20" s="817" t="str">
        <x:f>IF(BS20="","",VLOOKUP(BS20,SectInfo!$B:$N,12,FALSE))</x:f>
        <x:v/>
      </x:c>
      <x:c r="DF20" s="815" t="str">
        <x:f>IF(BS20="","",IF(ISBLANK(CB20),VLOOKUP(BS20,SectInfo!$B:$N,13,FALSE),CB20))</x:f>
        <x:v/>
      </x:c>
      <x:c r="DG20" s="815" t="str">
        <x:f>IF(BS20="","",IF(VLOOKUP(BS20,SectInfo!$B:$N,5,FALSE)="","R",UPPER(VLOOKUP(BS20,SectInfo!$B:$N,5,FALSE))))</x:f>
        <x:v/>
      </x:c>
      <x:c r="DH20" s="815" t="str">
        <x:f>IF(BS20="","",IF(ISBLANK(CD20),VLOOKUP(BS20,SectInfo!$B:$N,6,FALSE),CD20))</x:f>
        <x:v/>
      </x:c>
      <x:c r="DI20" s="1286" t="str">
        <x:f>IF(BS20="","",IF(VLOOKUP(BS20,SectInfo!$B:$N,10,FALSE)="","",(IF(CA20="X",VLOOKUP(BS20,SectInfo!$B:$N,10,FALSE),VALUE(CA20))*-1)))</x:f>
        <x:v/>
      </x:c>
      <x:c r="DJ20" s="1122" t="str">
        <x:f>IF(BS20="","",IF(VLOOKUP(BS20,SectInfo!$B:$N,11,FALSE)="","2",(VLOOKUP(BS20,SectInfo!$B:$N,11,FALSE))))</x:f>
        <x:v/>
      </x:c>
      <x:c r="DK20" s="815" t="str">
        <x:f>IF(BS20="","",IF(VLOOKUP(BS20,SectInfo!$B:$N,7,FALSE)="","",(VLOOKUP(BS20,SectInfo!$B:$N,7,FALSE)*-1)))</x:f>
        <x:v/>
      </x:c>
      <x:c r="DL20" s="815" t="str">
        <x:f>IF(BS20="","",IF(VLOOKUP(BS20,SectInfo!$B:$N,8,FALSE)="",VLOOKUP(AU20,$DF$2:$DN$9,6,FALSE),(VLOOKUP(BS20,SectInfo!$B:$N,8,FALSE))))</x:f>
        <x:v/>
      </x:c>
      <x:c r="DM20" s="815" t="str">
        <x:f>IF(BS20="","",VLOOKUP(BS20,SectInfo!$B:$N,9,FALSE))</x:f>
        <x:v/>
      </x:c>
      <x:c r="DN20" s="816">
        <x:f t="shared" si="50"/>
        <x:v>0</x:v>
      </x:c>
      <x:c r="DO20" s="818">
        <x:f t="shared" si="51"/>
        <x:v>0</x:v>
      </x:c>
      <x:c r="DP20" s="822" t="str">
        <x:f t="shared" si="52"/>
        <x:v/>
      </x:c>
      <x:c r="DQ20" s="822" t="str">
        <x:f t="shared" si="53"/>
        <x:v/>
      </x:c>
      <x:c r="DR20" s="822" t="str">
        <x:f t="shared" si="54"/>
        <x:v/>
      </x:c>
      <x:c r="DS20" s="821">
        <x:f t="shared" si="55"/>
        <x:v>0</x:v>
      </x:c>
      <x:c r="DT20" s="821">
        <x:f t="shared" si="56"/>
        <x:v>0</x:v>
      </x:c>
      <x:c r="DU20" s="821" t="str">
        <x:f t="shared" si="57"/>
        <x:v/>
      </x:c>
      <x:c r="DV20" s="822" t="str">
        <x:f t="shared" si="58"/>
        <x:v/>
      </x:c>
      <x:c r="DW20" s="856" t="str">
        <x:f t="shared" si="59"/>
        <x:v/>
      </x:c>
      <x:c r="DX20" s="1006">
        <x:f t="shared" si="60"/>
        <x:v>0</x:v>
      </x:c>
      <x:c r="DY20" s="822">
        <x:f t="shared" si="61"/>
        <x:v>0</x:v>
      </x:c>
      <x:c r="DZ20" s="821">
        <x:f t="shared" si="62"/>
        <x:v>0</x:v>
      </x:c>
      <x:c r="EA20" s="821" t="str">
        <x:f t="shared" si="63"/>
        <x:v/>
      </x:c>
      <x:c r="EB20" s="822" t="str">
        <x:f t="shared" si="64"/>
        <x:v/>
      </x:c>
      <x:c r="EC20" s="856" t="str">
        <x:f t="shared" si="65"/>
        <x:v/>
      </x:c>
      <x:c r="ED20" s="1006">
        <x:f t="shared" si="66"/>
        <x:v>0</x:v>
      </x:c>
      <x:c r="EE20" s="1293" t="str">
        <x:f t="shared" si="67"/>
        <x:v/>
      </x:c>
      <x:c r="EF20" s="1293" t="str">
        <x:f t="shared" si="68"/>
        <x:v/>
      </x:c>
      <x:c r="EG20" s="1293" t="str">
        <x:f t="shared" si="69"/>
        <x:v/>
      </x:c>
      <x:c r="EH20" s="856" t="str">
        <x:f t="shared" si="70"/>
        <x:v>ERR</x:v>
      </x:c>
      <x:c r="EI20" s="856" t="str">
        <x:f t="shared" si="71"/>
        <x:v>ERR</x:v>
      </x:c>
      <x:c r="EJ20" s="822" t="str">
        <x:f t="shared" si="72"/>
        <x:v/>
      </x:c>
      <x:c r="EK20" s="822" t="str">
        <x:f t="shared" si="72"/>
        <x:v/>
      </x:c>
      <x:c r="EL20" s="1293" t="str">
        <x:f t="shared" si="73"/>
        <x:v/>
      </x:c>
      <x:c r="EM20" s="822" t="str">
        <x:f t="shared" si="74"/>
        <x:v/>
      </x:c>
      <x:c r="EN20" s="822" t="str">
        <x:f t="shared" si="75"/>
        <x:v/>
      </x:c>
      <x:c r="EO20" s="856" t="str">
        <x:f t="shared" si="76"/>
        <x:v>ERR</x:v>
      </x:c>
      <x:c r="EP20" s="856" t="str">
        <x:f t="shared" si="77"/>
        <x:v>ERR</x:v>
      </x:c>
      <x:c r="EQ20" s="1293" t="str">
        <x:f t="shared" si="78"/>
        <x:v/>
      </x:c>
      <x:c r="ER20" s="822" t="str">
        <x:f t="shared" si="78"/>
        <x:v/>
      </x:c>
      <x:c r="ES20" s="822" t="str">
        <x:f t="shared" si="79"/>
        <x:v/>
      </x:c>
      <x:c r="ET20" s="822" t="str">
        <x:f t="shared" si="80"/>
        <x:v/>
      </x:c>
      <x:c r="EU20" s="829">
        <x:f t="shared" si="81"/>
        <x:v>4</x:v>
      </x:c>
      <x:c r="EV20" s="824" t="str">
        <x:f t="shared" si="82"/>
        <x:v/>
      </x:c>
      <x:c r="EW20" s="829"/>
      <x:c r="EX20" s="829" t="str">
        <x:f>IF(AND(CU20="G", ISBLANK(BK20), ISBLANK(BL20)),VLOOKUP(MIN(BH20:BI20),TblJoistSize!$M$3:$N$10,2),IF(OR(CU20="B",CU20="G"),MIN(BK20:BL20),""))</x:f>
        <x:v/>
      </x:c>
      <x:c r="EY20" s="829" t="str">
        <x:f>IF(AND(CU20="G", ISBLANK(BK20), ISBLANK(BL20)),VLOOKUP(MAX(BH20:BI20),TblJoistSize!$M$3:$N$10,2),IF(OR(CU20="B",CU20="G"),MAX(BK20:BL20),""))</x:f>
        <x:v/>
      </x:c>
      <x:c r="EZ20" s="829" t="str">
        <x:f t="shared" si="83"/>
        <x:v/>
      </x:c>
      <x:c r="FA20" s="829" t="str">
        <x:f>IF(AND(DE20="G", ISBLANK(BW20), ISBLANK(BX20)),VLOOKUP(MIN(BT20:BU20),TblJoistSize!$M$3:$N$10,2),IF(OR(DE20="B", DE20="G"),MIN(BW20:BX20),""))</x:f>
        <x:v/>
      </x:c>
      <x:c r="FB20" s="829" t="str">
        <x:f>IF(AND(DE20="G", ISBLANK(BW20), ISBLANK(BX20)),VLOOKUP(MAX(BT20:BU20),TblJoistSize!$M$3:$N$10,2),IF(OR(DE20="B", DE20="G"),MAX(BW20:BX20),""))</x:f>
        <x:v/>
      </x:c>
      <x:c r="FC20" s="829" t="str">
        <x:f t="shared" si="84"/>
        <x:v/>
      </x:c>
      <x:c r="FD20" s="821">
        <x:f t="shared" si="107"/>
        <x:v>0</x:v>
      </x:c>
      <x:c r="FE20" s="821">
        <x:f t="shared" si="85"/>
        <x:v>0</x:v>
      </x:c>
      <x:c r="FF20" s="821">
        <x:f t="shared" si="86"/>
        <x:v>0</x:v>
      </x:c>
      <x:c r="FG20" s="821" t="str">
        <x:f t="shared" si="87"/>
        <x:v/>
      </x:c>
      <x:c r="FH20" s="822" t="str">
        <x:f t="shared" si="88"/>
        <x:v/>
      </x:c>
      <x:c r="FI20" s="821">
        <x:f t="shared" si="108"/>
        <x:v>0</x:v>
      </x:c>
      <x:c r="FJ20" s="821">
        <x:f t="shared" si="89"/>
        <x:v>0</x:v>
      </x:c>
      <x:c r="FK20" s="821">
        <x:f t="shared" si="90"/>
        <x:v>0</x:v>
      </x:c>
      <x:c r="FL20" s="821" t="str">
        <x:f t="shared" si="91"/>
        <x:v/>
      </x:c>
      <x:c r="FM20" s="822" t="str">
        <x:f t="shared" si="92"/>
        <x:v/>
      </x:c>
      <x:c r="FN20" s="822" t="e">
        <x:f t="shared" si="93"/>
        <x:v>#VALUE!</x:v>
      </x:c>
      <x:c r="FO20" s="940" t="e">
        <x:f t="shared" si="94"/>
        <x:v>#VALUE!</x:v>
      </x:c>
      <x:c r="FP20" s="940" t="e">
        <x:f t="shared" si="95"/>
        <x:v>#VALUE!</x:v>
      </x:c>
      <x:c r="FQ20" s="830" t="e">
        <x:f t="shared" si="96"/>
        <x:v>#VALUE!</x:v>
      </x:c>
      <x:c r="FR20" s="831" t="e">
        <x:f t="shared" si="97"/>
        <x:v>#VALUE!</x:v>
      </x:c>
      <x:c r="FS20" s="832" t="str">
        <x:f t="shared" si="98"/>
        <x:v/>
      </x:c>
      <x:c r="FT20" s="833" t="str">
        <x:f t="shared" si="99"/>
        <x:v/>
      </x:c>
      <x:c r="FU20" s="870">
        <x:f t="shared" si="100"/>
        <x:v>0</x:v>
      </x:c>
      <x:c r="FV20" s="871">
        <x:f t="shared" si="101"/>
        <x:v>0</x:v>
      </x:c>
      <x:c r="GA20" s="1791">
        <x:v>40</x:v>
      </x:c>
      <x:c r="GB20" s="1792">
        <x:v>0</x:v>
      </x:c>
      <x:c r="GC20" s="1793">
        <x:v>-0.25</x:v>
      </x:c>
      <x:c r="GD20" s="1794">
        <x:v>-0.25</x:v>
      </x:c>
      <x:c r="GE20" s="1795">
        <x:f t="shared" si="102"/>
        <x:v>0</x:v>
      </x:c>
      <x:c r="GF20" s="600" t="str">
        <x:f t="shared" si="103"/>
        <x:v>J46</x:v>
      </x:c>
      <x:c r="GG20" s="1130">
        <x:v>0</x:v>
      </x:c>
      <x:c r="GH20" s="1131">
        <x:v>0</x:v>
      </x:c>
      <x:c r="GI20" s="1130"/>
      <x:c r="GJ20" s="1131"/>
      <x:c r="GK20" s="1638">
        <x:f t="shared" si="104"/>
        <x:v>479.5</x:v>
      </x:c>
      <x:c r="GL20" s="1636">
        <x:f t="shared" si="105"/>
        <x:v>479.5</x:v>
      </x:c>
      <x:c r="GM20" s="1637">
        <x:f>IF(ABS(GK20-GL20)&gt;='Job Info.'!$L$22,ABS(GK20-GL20),0)</x:f>
        <x:v>0</x:v>
      </x:c>
      <x:c r="HA20" s="1269" t="s">
        <x:v>1476</x:v>
      </x:c>
      <x:c r="HB20" s="1270">
        <x:v>4</x:v>
      </x:c>
      <x:c r="HC20" s="1270" t="s">
        <x:v>1592</x:v>
      </x:c>
      <x:c r="HD20" s="1271">
        <x:v>39</x:v>
      </x:c>
      <x:c r="HE20" s="1272">
        <x:v>11.5</x:v>
      </x:c>
      <x:c r="HF20" s="1270" t="s">
        <x:v>116</x:v>
      </x:c>
      <x:c r="HG20" s="1270" t="s">
        <x:v>116</x:v>
      </x:c>
      <x:c r="HH20" s="1270" t="s">
        <x:v>116</x:v>
      </x:c>
      <x:c r="HI20" s="1273" t="s">
        <x:v>116</x:v>
      </x:c>
      <x:c r="HJ20" s="1270" t="s">
        <x:v>116</x:v>
      </x:c>
      <x:c r="HK20" s="1270" t="s">
        <x:v>116</x:v>
      </x:c>
      <x:c r="HL20" s="1270">
        <x:v>5</x:v>
      </x:c>
      <x:c r="HM20" s="1270">
        <x:v>5</x:v>
      </x:c>
      <x:c r="HN20" s="1270" t="s">
        <x:v>116</x:v>
      </x:c>
      <x:c r="HO20" s="1270" t="s">
        <x:v>116</x:v>
      </x:c>
      <x:c r="HP20" s="1270" t="s">
        <x:v>116</x:v>
      </x:c>
      <x:c r="HQ20" s="1273" t="s">
        <x:v>116</x:v>
      </x:c>
      <x:c r="HR20" s="1270" t="s">
        <x:v>116</x:v>
      </x:c>
      <x:c r="HS20" s="1270" t="s">
        <x:v>116</x:v>
      </x:c>
      <x:c r="HT20" s="1270">
        <x:v>0</x:v>
      </x:c>
      <x:c r="HU20" s="1270">
        <x:v>2.25</x:v>
      </x:c>
      <x:c r="HV20" s="1270">
        <x:v>0</x:v>
      </x:c>
      <x:c r="HW20" s="1272">
        <x:v>2.25</x:v>
      </x:c>
      <x:c r="HX20" s="1272">
        <x:v>4</x:v>
      </x:c>
      <x:c r="HY20" s="1272" t="s">
        <x:v>116</x:v>
      </x:c>
      <x:c r="HZ20" s="1272" t="s">
        <x:v>116</x:v>
      </x:c>
      <x:c r="IA20" s="1272" t="s">
        <x:v>1670</x:v>
      </x:c>
      <x:c r="IB20" s="1272"/>
      <x:c r="IC20" s="1272"/>
      <x:c r="ID20" s="1272"/>
      <x:c r="IE20" s="1272"/>
      <x:c r="IF20" s="1274"/>
    </x:row>
    <x:row r="21" spans="1:240" ht="12.6" customHeight="1" x14ac:dyDescent="0.25">
      <x:c r="A21" s="2764" t="s">
        <x:v>1477</x:v>
      </x:c>
      <x:c r="B21" s="2765">
        <x:v>2</x:v>
      </x:c>
      <x:c r="C21" s="2766" t="s">
        <x:v>1593</x:v>
      </x:c>
      <x:c r="D21" s="2767">
        <x:v>69</x:v>
      </x:c>
      <x:c r="E21" s="2768">
        <x:v>1.5</x:v>
      </x:c>
      <x:c r="F21" s="2776" t="str">
        <x:f t="shared" si="1"/>
        <x:v/>
      </x:c>
      <x:c r="G21" s="2771" t="str">
        <x:f t="shared" si="2"/>
        <x:v/>
      </x:c>
      <x:c r="H21" s="2842" t="str">
        <x:f t="shared" si="3"/>
        <x:v/>
      </x:c>
      <x:c r="I21" s="2767" t="str">
        <x:f t="shared" si="4"/>
        <x:v/>
      </x:c>
      <x:c r="J21" s="2771" t="str">
        <x:f t="shared" si="5"/>
        <x:v/>
      </x:c>
      <x:c r="K21" s="2855" t="str">
        <x:f t="shared" si="6"/>
        <x:v/>
      </x:c>
      <x:c r="L21" s="2774">
        <x:v>5</x:v>
      </x:c>
      <x:c r="M21" s="2775">
        <x:v>5</x:v>
      </x:c>
      <x:c r="N21" s="2770" t="str">
        <x:f t="shared" si="7"/>
        <x:v/>
      </x:c>
      <x:c r="O21" s="2771" t="str">
        <x:f t="shared" si="8"/>
        <x:v/>
      </x:c>
      <x:c r="P21" s="2772" t="str">
        <x:f t="shared" si="9"/>
        <x:v/>
      </x:c>
      <x:c r="Q21" s="2767" t="str">
        <x:f t="shared" si="10"/>
        <x:v/>
      </x:c>
      <x:c r="R21" s="2771" t="str">
        <x:f t="shared" si="11"/>
        <x:v/>
      </x:c>
      <x:c r="S21" s="2773" t="str">
        <x:f t="shared" si="12"/>
        <x:v/>
      </x:c>
      <x:c r="T21" s="2776">
        <x:v>0</x:v>
      </x:c>
      <x:c r="U21" s="2771">
        <x:v>2.25</x:v>
      </x:c>
      <x:c r="V21" s="2767">
        <x:v>0</x:v>
      </x:c>
      <x:c r="W21" s="2771">
        <x:v>2</x:v>
      </x:c>
      <x:c r="X21" s="2775">
        <x:v>4</x:v>
      </x:c>
      <x:c r="Y21" s="2844" t="str">
        <x:f t="shared" si="13"/>
        <x:v/>
      </x:c>
      <x:c r="Z21" s="2845" t="str">
        <x:f t="shared" si="14"/>
        <x:v/>
      </x:c>
      <x:c r="AA21" s="2846" t="s">
        <x:v>1646</x:v>
      </x:c>
      <x:c r="AB21" s="1413"/>
      <x:c r="AC21" s="964" t="b">
        <x:v>0</x:v>
      </x:c>
      <x:c r="AD21" s="441">
        <x:f t="shared" si="15"/>
        <x:v>0</x:v>
      </x:c>
      <x:c r="AE21" s="442">
        <x:f t="shared" si="16"/>
        <x:v>2</x:v>
      </x:c>
      <x:c r="AF21" s="442">
        <x:f t="shared" si="17"/>
        <x:v>0</x:v>
      </x:c>
      <x:c r="AG21" s="442">
        <x:f t="shared" si="18"/>
        <x:v>0</x:v>
      </x:c>
      <x:c r="AH21" s="443">
        <x:f t="shared" si="19"/>
        <x:v>0</x:v>
      </x:c>
      <x:c r="AI21" s="444" t="b">
        <x:v>0</x:v>
      </x:c>
      <x:c r="AJ21" s="238">
        <x:f t="shared" si="20"/>
        <x:v>44</x:v>
      </x:c>
      <x:c r="AK21" s="830" t="str">
        <x:f t="shared" si="21"/>
        <x:v>LH</x:v>
      </x:c>
      <x:c r="AL21" s="945" t="str">
        <x:f t="shared" si="22"/>
        <x:v/>
      </x:c>
      <x:c r="AM21" s="830">
        <x:f t="shared" si="23"/>
        <x:v>305</x:v>
      </x:c>
      <x:c r="AN21" s="830">
        <x:f t="shared" si="24"/>
        <x:v>180</x:v>
      </x:c>
      <x:c r="AO21" s="830" t="str">
        <x:f t="shared" si="25"/>
        <x:v/>
      </x:c>
      <x:c r="AP21" s="830" t="b">
        <x:f>IF(ISERROR(AJ21),FALSE,IF(OR(AJ21=0,ISERROR(AL21),ISERROR(AM21),ISERROR(AN21),ISERROR(AO21)),FALSE,IF(AL21&lt;&gt;"",IF(ISERROR(VLOOKUP(SUBSTITUTE(SUBSTITUTE(C21,"R",""),"A",""),TblJoistSize!$A:$A,1,FALSE)),FALSE,TRUE),TRUE)))</x:f>
        <x:v>1</x:v>
      </x:c>
      <x:c r="AQ21" s="1038">
        <x:f t="shared" si="26"/>
        <x:v>6</x:v>
      </x:c>
      <x:c r="AR21" s="945" t="b">
        <x:f t="shared" si="27"/>
        <x:v>1</x:v>
      </x:c>
      <x:c r="AS21" s="1038">
        <x:f t="shared" si="28"/>
        <x:v>6</x:v>
      </x:c>
      <x:c r="AT21" s="945" t="b">
        <x:f t="shared" si="29"/>
        <x:v>1</x:v>
      </x:c>
      <x:c r="AU21" s="946" t="str">
        <x:f t="shared" si="30"/>
        <x:v>LH</x:v>
      </x:c>
      <x:c r="AV21" s="830" t="str">
        <x:f t="shared" si="31"/>
        <x:v/>
      </x:c>
      <x:c r="AW21" s="830" t="str">
        <x:f t="shared" si="32"/>
        <x:v>LH</x:v>
      </x:c>
      <x:c r="AX21" s="830" t="str">
        <x:f t="shared" si="106"/>
        <x:v>J47</x:v>
      </x:c>
      <x:c r="AY21" s="1039" t="b">
        <x:f t="shared" si="33"/>
        <x:v>0</x:v>
      </x:c>
      <x:c r="AZ21" s="856" t="b">
        <x:f t="shared" si="34"/>
        <x:v>0</x:v>
      </x:c>
      <x:c r="BA21" s="549"/>
      <x:c r="BB21" s="672"/>
      <x:c r="BC21" s="1684"/>
      <x:c r="BD21" s="733"/>
      <x:c r="BE21" s="734"/>
      <x:c r="BF21" s="735"/>
      <x:c r="BG21" s="672"/>
      <x:c r="BH21" s="982"/>
      <x:c r="BI21" s="983"/>
      <x:c r="BJ21" s="1625"/>
      <x:c r="BK21" s="713"/>
      <x:c r="BL21" s="714"/>
      <x:c r="BM21" s="715"/>
      <x:c r="BN21" s="716"/>
      <x:c r="BO21" s="672" t="str">
        <x:f>IF(ISERROR(CU21),"",IF(CU21="","",IF(VLOOKUP(BG21,SectInfo!$B:$N,10,FALSE)="","","X")))</x:f>
        <x:v/>
      </x:c>
      <x:c r="BP21" s="738"/>
      <x:c r="BQ21" s="1551" t="str">
        <x:f t="shared" si="35"/>
        <x:v/>
      </x:c>
      <x:c r="BR21" s="910"/>
      <x:c r="BS21" s="672"/>
      <x:c r="BT21" s="713"/>
      <x:c r="BU21" s="714"/>
      <x:c r="BV21" s="1625"/>
      <x:c r="BW21" s="713"/>
      <x:c r="BX21" s="714"/>
      <x:c r="BY21" s="715"/>
      <x:c r="BZ21" s="716"/>
      <x:c r="CA21" s="680" t="str">
        <x:f>IF(ISERROR(DE21),"",IF(DE21="","",IF(VLOOKUP(BS21,SectInfo!$B:$N,10,FALSE)="","","X")))</x:f>
        <x:v/>
      </x:c>
      <x:c r="CB21" s="738"/>
      <x:c r="CC21" s="1551" t="str">
        <x:f t="shared" si="36"/>
        <x:v/>
      </x:c>
      <x:c r="CD21" s="910"/>
      <x:c r="CE21" s="717"/>
      <x:c r="CF21" s="736"/>
      <x:c r="CG21" s="737"/>
      <x:c r="CH21" s="591" t="str">
        <x:f t="shared" si="37"/>
        <x:v/>
      </x:c>
      <x:c r="CI21" s="592" t="str">
        <x:f t="shared" si="38"/>
        <x:v/>
      </x:c>
      <x:c r="CJ21" s="593" t="str">
        <x:f t="shared" si="39"/>
        <x:v/>
      </x:c>
      <x:c r="CK21" s="594" t="str">
        <x:f t="shared" si="40"/>
        <x:v/>
      </x:c>
      <x:c r="CL21" s="595" t="str">
        <x:f t="shared" si="41"/>
        <x:v/>
      </x:c>
      <x:c r="CM21" s="596" t="str">
        <x:f t="shared" si="42"/>
        <x:v/>
      </x:c>
      <x:c r="CN21" s="597" t="str">
        <x:f t="shared" si="43"/>
        <x:v/>
      </x:c>
      <x:c r="CO21" s="598" t="str">
        <x:f t="shared" si="44"/>
        <x:v/>
      </x:c>
      <x:c r="CP21" s="615" t="str">
        <x:f t="shared" si="45"/>
        <x:v/>
      </x:c>
      <x:c r="CQ21" s="616" t="str">
        <x:f t="shared" si="46"/>
        <x:v/>
      </x:c>
      <x:c r="CR21" s="750">
        <x:f t="shared" si="47"/>
        <x:v>5</x:v>
      </x:c>
      <x:c r="CS21" s="751">
        <x:f t="shared" si="48"/>
        <x:v>5</x:v>
      </x:c>
      <x:c r="CU21" s="817" t="str">
        <x:f>IF(BG21="","",VLOOKUP(BG21,SectInfo!$B:$N,12,FALSE))</x:f>
        <x:v/>
      </x:c>
      <x:c r="CV21" s="815" t="str">
        <x:f>IF(BG21="","",IF(ISBLANK(BP21),VLOOKUP(BG21,SectInfo!$B:$N,13,FALSE),BP21))</x:f>
        <x:v/>
      </x:c>
      <x:c r="CW21" s="815" t="str">
        <x:f>IF(BG21="","",IF(VLOOKUP(BG21,SectInfo!$B:$N,5,FALSE)="","R",UPPER(VLOOKUP(BG21,SectInfo!$B:$N,5,FALSE))))</x:f>
        <x:v/>
      </x:c>
      <x:c r="CX21" s="815" t="str">
        <x:f>IF(BG21="","",IF(ISBLANK(BR21),VLOOKUP(BG21,SectInfo!$B:$N,6,FALSE),BR21))</x:f>
        <x:v/>
      </x:c>
      <x:c r="CY21" s="1286" t="str">
        <x:f>IF(BG21="","",IF(VLOOKUP(BG21,SectInfo!$B:$N,10,FALSE)="","",(IF(BO21="X",VLOOKUP(BG21,SectInfo!$B:$N,10,FALSE),VALUE(BO21))*-1)))</x:f>
        <x:v/>
      </x:c>
      <x:c r="CZ21" s="1122" t="str">
        <x:f>IF(BG21="","",IF(VLOOKUP(BG21,SectInfo!$B:$N,11,FALSE)="","2",(VLOOKUP(BG21,SectInfo!$B:$N,11,FALSE))))</x:f>
        <x:v/>
      </x:c>
      <x:c r="DA21" s="815" t="str">
        <x:f>IF(BG21="","",IF(VLOOKUP(BG21,SectInfo!$B:$N,7,FALSE)="","",(VLOOKUP(BG21,SectInfo!$B:$N,7,FALSE)*-1)))</x:f>
        <x:v/>
      </x:c>
      <x:c r="DB21" s="815" t="str">
        <x:f>IF(BG21="","",IF(VLOOKUP(BG21,SectInfo!$B:$N,8,FALSE)="",VLOOKUP(AU21,$DF$2:$DN$9,6,FALSE),(VLOOKUP(BG21,SectInfo!$B:$N,8,FALSE))))</x:f>
        <x:v/>
      </x:c>
      <x:c r="DC21" s="815" t="str">
        <x:f>IF(BG21="","",VLOOKUP(BG21,SectInfo!$B:$N,9,FALSE))</x:f>
        <x:v/>
      </x:c>
      <x:c r="DD21" s="816">
        <x:f t="shared" si="49"/>
        <x:v>0</x:v>
      </x:c>
      <x:c r="DE21" s="817" t="str">
        <x:f>IF(BS21="","",VLOOKUP(BS21,SectInfo!$B:$N,12,FALSE))</x:f>
        <x:v/>
      </x:c>
      <x:c r="DF21" s="815" t="str">
        <x:f>IF(BS21="","",IF(ISBLANK(CB21),VLOOKUP(BS21,SectInfo!$B:$N,13,FALSE),CB21))</x:f>
        <x:v/>
      </x:c>
      <x:c r="DG21" s="815" t="str">
        <x:f>IF(BS21="","",IF(VLOOKUP(BS21,SectInfo!$B:$N,5,FALSE)="","R",UPPER(VLOOKUP(BS21,SectInfo!$B:$N,5,FALSE))))</x:f>
        <x:v/>
      </x:c>
      <x:c r="DH21" s="815" t="str">
        <x:f>IF(BS21="","",IF(ISBLANK(CD21),VLOOKUP(BS21,SectInfo!$B:$N,6,FALSE),CD21))</x:f>
        <x:v/>
      </x:c>
      <x:c r="DI21" s="1286" t="str">
        <x:f>IF(BS21="","",IF(VLOOKUP(BS21,SectInfo!$B:$N,10,FALSE)="","",(IF(CA21="X",VLOOKUP(BS21,SectInfo!$B:$N,10,FALSE),VALUE(CA21))*-1)))</x:f>
        <x:v/>
      </x:c>
      <x:c r="DJ21" s="1122" t="str">
        <x:f>IF(BS21="","",IF(VLOOKUP(BS21,SectInfo!$B:$N,11,FALSE)="","2",(VLOOKUP(BS21,SectInfo!$B:$N,11,FALSE))))</x:f>
        <x:v/>
      </x:c>
      <x:c r="DK21" s="815" t="str">
        <x:f>IF(BS21="","",IF(VLOOKUP(BS21,SectInfo!$B:$N,7,FALSE)="","",(VLOOKUP(BS21,SectInfo!$B:$N,7,FALSE)*-1)))</x:f>
        <x:v/>
      </x:c>
      <x:c r="DL21" s="815" t="str">
        <x:f>IF(BS21="","",IF(VLOOKUP(BS21,SectInfo!$B:$N,8,FALSE)="",VLOOKUP(AU21,$DF$2:$DN$9,6,FALSE),(VLOOKUP(BS21,SectInfo!$B:$N,8,FALSE))))</x:f>
        <x:v/>
      </x:c>
      <x:c r="DM21" s="815" t="str">
        <x:f>IF(BS21="","",VLOOKUP(BS21,SectInfo!$B:$N,9,FALSE))</x:f>
        <x:v/>
      </x:c>
      <x:c r="DN21" s="816">
        <x:f t="shared" si="50"/>
        <x:v>0</x:v>
      </x:c>
      <x:c r="DO21" s="818">
        <x:f t="shared" si="51"/>
        <x:v>0</x:v>
      </x:c>
      <x:c r="DP21" s="822" t="str">
        <x:f t="shared" si="52"/>
        <x:v/>
      </x:c>
      <x:c r="DQ21" s="822" t="str">
        <x:f t="shared" si="53"/>
        <x:v/>
      </x:c>
      <x:c r="DR21" s="822" t="str">
        <x:f t="shared" si="54"/>
        <x:v/>
      </x:c>
      <x:c r="DS21" s="821">
        <x:f t="shared" si="55"/>
        <x:v>0</x:v>
      </x:c>
      <x:c r="DT21" s="821">
        <x:f t="shared" si="56"/>
        <x:v>0</x:v>
      </x:c>
      <x:c r="DU21" s="821" t="str">
        <x:f t="shared" si="57"/>
        <x:v/>
      </x:c>
      <x:c r="DV21" s="822" t="str">
        <x:f t="shared" si="58"/>
        <x:v/>
      </x:c>
      <x:c r="DW21" s="856" t="str">
        <x:f t="shared" si="59"/>
        <x:v/>
      </x:c>
      <x:c r="DX21" s="1006">
        <x:f t="shared" si="60"/>
        <x:v>0</x:v>
      </x:c>
      <x:c r="DY21" s="822">
        <x:f t="shared" si="61"/>
        <x:v>0</x:v>
      </x:c>
      <x:c r="DZ21" s="821">
        <x:f t="shared" si="62"/>
        <x:v>0</x:v>
      </x:c>
      <x:c r="EA21" s="821" t="str">
        <x:f t="shared" si="63"/>
        <x:v/>
      </x:c>
      <x:c r="EB21" s="822" t="str">
        <x:f t="shared" si="64"/>
        <x:v/>
      </x:c>
      <x:c r="EC21" s="856" t="str">
        <x:f t="shared" si="65"/>
        <x:v/>
      </x:c>
      <x:c r="ED21" s="1006">
        <x:f t="shared" si="66"/>
        <x:v>0</x:v>
      </x:c>
      <x:c r="EE21" s="1293" t="str">
        <x:f t="shared" si="67"/>
        <x:v/>
      </x:c>
      <x:c r="EF21" s="1293" t="str">
        <x:f t="shared" si="68"/>
        <x:v/>
      </x:c>
      <x:c r="EG21" s="1293" t="str">
        <x:f t="shared" si="69"/>
        <x:v/>
      </x:c>
      <x:c r="EH21" s="856" t="str">
        <x:f t="shared" si="70"/>
        <x:v>ERR</x:v>
      </x:c>
      <x:c r="EI21" s="856" t="str">
        <x:f t="shared" si="71"/>
        <x:v>ERR</x:v>
      </x:c>
      <x:c r="EJ21" s="822" t="str">
        <x:f t="shared" si="72"/>
        <x:v/>
      </x:c>
      <x:c r="EK21" s="822" t="str">
        <x:f t="shared" si="72"/>
        <x:v/>
      </x:c>
      <x:c r="EL21" s="1293" t="str">
        <x:f t="shared" si="73"/>
        <x:v/>
      </x:c>
      <x:c r="EM21" s="822" t="str">
        <x:f t="shared" si="74"/>
        <x:v/>
      </x:c>
      <x:c r="EN21" s="822" t="str">
        <x:f t="shared" si="75"/>
        <x:v/>
      </x:c>
      <x:c r="EO21" s="856" t="str">
        <x:f t="shared" si="76"/>
        <x:v>ERR</x:v>
      </x:c>
      <x:c r="EP21" s="856" t="str">
        <x:f t="shared" si="77"/>
        <x:v>ERR</x:v>
      </x:c>
      <x:c r="EQ21" s="1293" t="str">
        <x:f t="shared" si="78"/>
        <x:v/>
      </x:c>
      <x:c r="ER21" s="822" t="str">
        <x:f t="shared" si="78"/>
        <x:v/>
      </x:c>
      <x:c r="ES21" s="822" t="str">
        <x:f t="shared" si="79"/>
        <x:v/>
      </x:c>
      <x:c r="ET21" s="822" t="str">
        <x:f t="shared" si="80"/>
        <x:v/>
      </x:c>
      <x:c r="EU21" s="829">
        <x:f t="shared" si="81"/>
        <x:v>4</x:v>
      </x:c>
      <x:c r="EV21" s="824" t="str">
        <x:f t="shared" si="82"/>
        <x:v/>
      </x:c>
      <x:c r="EW21" s="829"/>
      <x:c r="EX21" s="829" t="str">
        <x:f>IF(AND(CU21="G", ISBLANK(BK21), ISBLANK(BL21)),VLOOKUP(MIN(BH21:BI21),TblJoistSize!$M$3:$N$10,2),IF(OR(CU21="B",CU21="G"),MIN(BK21:BL21),""))</x:f>
        <x:v/>
      </x:c>
      <x:c r="EY21" s="829" t="str">
        <x:f>IF(AND(CU21="G", ISBLANK(BK21), ISBLANK(BL21)),VLOOKUP(MAX(BH21:BI21),TblJoistSize!$M$3:$N$10,2),IF(OR(CU21="B",CU21="G"),MAX(BK21:BL21),""))</x:f>
        <x:v/>
      </x:c>
      <x:c r="EZ21" s="829" t="str">
        <x:f t="shared" si="83"/>
        <x:v/>
      </x:c>
      <x:c r="FA21" s="829" t="str">
        <x:f>IF(AND(DE21="G", ISBLANK(BW21), ISBLANK(BX21)),VLOOKUP(MIN(BT21:BU21),TblJoistSize!$M$3:$N$10,2),IF(OR(DE21="B", DE21="G"),MIN(BW21:BX21),""))</x:f>
        <x:v/>
      </x:c>
      <x:c r="FB21" s="829" t="str">
        <x:f>IF(AND(DE21="G", ISBLANK(BW21), ISBLANK(BX21)),VLOOKUP(MAX(BT21:BU21),TblJoistSize!$M$3:$N$10,2),IF(OR(DE21="B", DE21="G"),MAX(BW21:BX21),""))</x:f>
        <x:v/>
      </x:c>
      <x:c r="FC21" s="829" t="str">
        <x:f t="shared" si="84"/>
        <x:v/>
      </x:c>
      <x:c r="FD21" s="821">
        <x:f t="shared" si="107"/>
        <x:v>0</x:v>
      </x:c>
      <x:c r="FE21" s="821">
        <x:f t="shared" si="85"/>
        <x:v>0</x:v>
      </x:c>
      <x:c r="FF21" s="821">
        <x:f t="shared" si="86"/>
        <x:v>0</x:v>
      </x:c>
      <x:c r="FG21" s="821" t="str">
        <x:f t="shared" si="87"/>
        <x:v/>
      </x:c>
      <x:c r="FH21" s="822" t="str">
        <x:f t="shared" si="88"/>
        <x:v/>
      </x:c>
      <x:c r="FI21" s="821">
        <x:f t="shared" si="108"/>
        <x:v>0</x:v>
      </x:c>
      <x:c r="FJ21" s="821">
        <x:f t="shared" si="89"/>
        <x:v>0</x:v>
      </x:c>
      <x:c r="FK21" s="821">
        <x:f t="shared" si="90"/>
        <x:v>0</x:v>
      </x:c>
      <x:c r="FL21" s="821" t="str">
        <x:f t="shared" si="91"/>
        <x:v/>
      </x:c>
      <x:c r="FM21" s="822" t="str">
        <x:f t="shared" si="92"/>
        <x:v/>
      </x:c>
      <x:c r="FN21" s="822" t="e">
        <x:f t="shared" si="93"/>
        <x:v>#VALUE!</x:v>
      </x:c>
      <x:c r="FO21" s="940" t="e">
        <x:f t="shared" si="94"/>
        <x:v>#VALUE!</x:v>
      </x:c>
      <x:c r="FP21" s="940" t="e">
        <x:f t="shared" si="95"/>
        <x:v>#VALUE!</x:v>
      </x:c>
      <x:c r="FQ21" s="830" t="e">
        <x:f t="shared" si="96"/>
        <x:v>#VALUE!</x:v>
      </x:c>
      <x:c r="FR21" s="831" t="e">
        <x:f t="shared" si="97"/>
        <x:v>#VALUE!</x:v>
      </x:c>
      <x:c r="FS21" s="832" t="str">
        <x:f t="shared" si="98"/>
        <x:v/>
      </x:c>
      <x:c r="FT21" s="833" t="str">
        <x:f t="shared" si="99"/>
        <x:v/>
      </x:c>
      <x:c r="FU21" s="870">
        <x:f t="shared" si="100"/>
        <x:v>0</x:v>
      </x:c>
      <x:c r="FV21" s="871">
        <x:f t="shared" si="101"/>
        <x:v>0</x:v>
      </x:c>
      <x:c r="GA21" s="1791">
        <x:v>69</x:v>
      </x:c>
      <x:c r="GB21" s="1792">
        <x:v>2.25</x:v>
      </x:c>
      <x:c r="GC21" s="1793">
        <x:v>-0.25</x:v>
      </x:c>
      <x:c r="GD21" s="1794">
        <x:v>-0.5</x:v>
      </x:c>
      <x:c r="GE21" s="1795">
        <x:f t="shared" si="102"/>
        <x:v>0</x:v>
      </x:c>
      <x:c r="GF21" s="600" t="str">
        <x:f t="shared" si="103"/>
        <x:v>J47</x:v>
      </x:c>
      <x:c r="GG21" s="1130">
        <x:v>0</x:v>
      </x:c>
      <x:c r="GH21" s="1131">
        <x:v>0</x:v>
      </x:c>
      <x:c r="GI21" s="1130"/>
      <x:c r="GJ21" s="1131"/>
      <x:c r="GK21" s="1638">
        <x:f t="shared" si="104"/>
        <x:v>829.5</x:v>
      </x:c>
      <x:c r="GL21" s="1636">
        <x:f t="shared" si="105"/>
        <x:v>829.5</x:v>
      </x:c>
      <x:c r="GM21" s="1637">
        <x:f>IF(ABS(GK21-GL21)&gt;='Job Info.'!$L$22,ABS(GK21-GL21),0)</x:f>
        <x:v>0</x:v>
      </x:c>
      <x:c r="HA21" s="1269" t="s">
        <x:v>1477</x:v>
      </x:c>
      <x:c r="HB21" s="1270">
        <x:v>2</x:v>
      </x:c>
      <x:c r="HC21" s="1270" t="s">
        <x:v>1593</x:v>
      </x:c>
      <x:c r="HD21" s="1271">
        <x:v>69</x:v>
      </x:c>
      <x:c r="HE21" s="1272">
        <x:v>1.5</x:v>
      </x:c>
      <x:c r="HF21" s="1270" t="s">
        <x:v>116</x:v>
      </x:c>
      <x:c r="HG21" s="1270" t="s">
        <x:v>116</x:v>
      </x:c>
      <x:c r="HH21" s="1270" t="s">
        <x:v>116</x:v>
      </x:c>
      <x:c r="HI21" s="1273" t="s">
        <x:v>116</x:v>
      </x:c>
      <x:c r="HJ21" s="1270" t="s">
        <x:v>116</x:v>
      </x:c>
      <x:c r="HK21" s="1270" t="s">
        <x:v>116</x:v>
      </x:c>
      <x:c r="HL21" s="1270">
        <x:v>5</x:v>
      </x:c>
      <x:c r="HM21" s="1270">
        <x:v>5</x:v>
      </x:c>
      <x:c r="HN21" s="1270" t="s">
        <x:v>116</x:v>
      </x:c>
      <x:c r="HO21" s="1270" t="s">
        <x:v>116</x:v>
      </x:c>
      <x:c r="HP21" s="1270" t="s">
        <x:v>116</x:v>
      </x:c>
      <x:c r="HQ21" s="1273" t="s">
        <x:v>116</x:v>
      </x:c>
      <x:c r="HR21" s="1270" t="s">
        <x:v>116</x:v>
      </x:c>
      <x:c r="HS21" s="1270" t="s">
        <x:v>116</x:v>
      </x:c>
      <x:c r="HT21" s="1270">
        <x:v>0</x:v>
      </x:c>
      <x:c r="HU21" s="1270">
        <x:v>2.25</x:v>
      </x:c>
      <x:c r="HV21" s="1270">
        <x:v>0</x:v>
      </x:c>
      <x:c r="HW21" s="1272">
        <x:v>2</x:v>
      </x:c>
      <x:c r="HX21" s="1272">
        <x:v>4</x:v>
      </x:c>
      <x:c r="HY21" s="1272" t="s">
        <x:v>116</x:v>
      </x:c>
      <x:c r="HZ21" s="1272" t="s">
        <x:v>116</x:v>
      </x:c>
      <x:c r="IA21" s="1272" t="s">
        <x:v>1646</x:v>
      </x:c>
      <x:c r="IB21" s="1272"/>
      <x:c r="IC21" s="1272"/>
      <x:c r="ID21" s="1272"/>
      <x:c r="IE21" s="1272"/>
      <x:c r="IF21" s="1274"/>
    </x:row>
    <x:row r="22" spans="1:240" ht="12.6" customHeight="1" x14ac:dyDescent="0.25">
      <x:c r="A22" s="2764" t="s">
        <x:v>1478</x:v>
      </x:c>
      <x:c r="B22" s="2765">
        <x:v>2</x:v>
      </x:c>
      <x:c r="C22" s="2766" t="s">
        <x:v>1593</x:v>
      </x:c>
      <x:c r="D22" s="2767">
        <x:v>69</x:v>
      </x:c>
      <x:c r="E22" s="2768">
        <x:v>1.5</x:v>
      </x:c>
      <x:c r="F22" s="2776" t="str">
        <x:f t="shared" si="1"/>
        <x:v/>
      </x:c>
      <x:c r="G22" s="2771" t="str">
        <x:f t="shared" si="2"/>
        <x:v/>
      </x:c>
      <x:c r="H22" s="2842" t="str">
        <x:f t="shared" si="3"/>
        <x:v/>
      </x:c>
      <x:c r="I22" s="2767" t="str">
        <x:f t="shared" si="4"/>
        <x:v/>
      </x:c>
      <x:c r="J22" s="2771" t="str">
        <x:f t="shared" si="5"/>
        <x:v/>
      </x:c>
      <x:c r="K22" s="2855" t="str">
        <x:f t="shared" si="6"/>
        <x:v/>
      </x:c>
      <x:c r="L22" s="2774">
        <x:v>5</x:v>
      </x:c>
      <x:c r="M22" s="2775">
        <x:v>5</x:v>
      </x:c>
      <x:c r="N22" s="2770" t="str">
        <x:f t="shared" si="7"/>
        <x:v/>
      </x:c>
      <x:c r="O22" s="2771" t="str">
        <x:f t="shared" si="8"/>
        <x:v/>
      </x:c>
      <x:c r="P22" s="2772" t="str">
        <x:f t="shared" si="9"/>
        <x:v/>
      </x:c>
      <x:c r="Q22" s="2767" t="str">
        <x:f t="shared" si="10"/>
        <x:v/>
      </x:c>
      <x:c r="R22" s="2771" t="str">
        <x:f t="shared" si="11"/>
        <x:v/>
      </x:c>
      <x:c r="S22" s="2773" t="str">
        <x:f t="shared" si="12"/>
        <x:v/>
      </x:c>
      <x:c r="T22" s="2776">
        <x:v>0</x:v>
      </x:c>
      <x:c r="U22" s="2771">
        <x:v>2.25</x:v>
      </x:c>
      <x:c r="V22" s="2767">
        <x:v>0</x:v>
      </x:c>
      <x:c r="W22" s="2771">
        <x:v>2</x:v>
      </x:c>
      <x:c r="X22" s="2775">
        <x:v>4</x:v>
      </x:c>
      <x:c r="Y22" s="2844" t="str">
        <x:f t="shared" si="13"/>
        <x:v/>
      </x:c>
      <x:c r="Z22" s="2845" t="str">
        <x:f t="shared" si="14"/>
        <x:v/>
      </x:c>
      <x:c r="AA22" s="2846" t="s">
        <x:v>1647</x:v>
      </x:c>
      <x:c r="AB22" s="1413"/>
      <x:c r="AC22" s="964" t="b">
        <x:v>0</x:v>
      </x:c>
      <x:c r="AD22" s="441">
        <x:f t="shared" si="15"/>
        <x:v>0</x:v>
      </x:c>
      <x:c r="AE22" s="442">
        <x:f t="shared" si="16"/>
        <x:v>2</x:v>
      </x:c>
      <x:c r="AF22" s="442">
        <x:f t="shared" si="17"/>
        <x:v>0</x:v>
      </x:c>
      <x:c r="AG22" s="442">
        <x:f t="shared" si="18"/>
        <x:v>0</x:v>
      </x:c>
      <x:c r="AH22" s="443">
        <x:f t="shared" si="19"/>
        <x:v>0</x:v>
      </x:c>
      <x:c r="AI22" s="444" t="b">
        <x:v>0</x:v>
      </x:c>
      <x:c r="AJ22" s="238">
        <x:f t="shared" si="20"/>
        <x:v>44</x:v>
      </x:c>
      <x:c r="AK22" s="830" t="str">
        <x:f t="shared" si="21"/>
        <x:v>LH</x:v>
      </x:c>
      <x:c r="AL22" s="945" t="str">
        <x:f t="shared" si="22"/>
        <x:v/>
      </x:c>
      <x:c r="AM22" s="830">
        <x:f t="shared" si="23"/>
        <x:v>305</x:v>
      </x:c>
      <x:c r="AN22" s="830">
        <x:f t="shared" si="24"/>
        <x:v>180</x:v>
      </x:c>
      <x:c r="AO22" s="830" t="str">
        <x:f t="shared" si="25"/>
        <x:v/>
      </x:c>
      <x:c r="AP22" s="830" t="b">
        <x:f>IF(ISERROR(AJ22),FALSE,IF(OR(AJ22=0,ISERROR(AL22),ISERROR(AM22),ISERROR(AN22),ISERROR(AO22)),FALSE,IF(AL22&lt;&gt;"",IF(ISERROR(VLOOKUP(SUBSTITUTE(SUBSTITUTE(C22,"R",""),"A",""),TblJoistSize!$A:$A,1,FALSE)),FALSE,TRUE),TRUE)))</x:f>
        <x:v>1</x:v>
      </x:c>
      <x:c r="AQ22" s="1038">
        <x:f t="shared" si="26"/>
        <x:v>6</x:v>
      </x:c>
      <x:c r="AR22" s="945" t="b">
        <x:f t="shared" si="27"/>
        <x:v>1</x:v>
      </x:c>
      <x:c r="AS22" s="1038">
        <x:f t="shared" si="28"/>
        <x:v>6</x:v>
      </x:c>
      <x:c r="AT22" s="945" t="b">
        <x:f t="shared" si="29"/>
        <x:v>1</x:v>
      </x:c>
      <x:c r="AU22" s="946" t="str">
        <x:f t="shared" si="30"/>
        <x:v>LH</x:v>
      </x:c>
      <x:c r="AV22" s="830" t="str">
        <x:f t="shared" si="31"/>
        <x:v/>
      </x:c>
      <x:c r="AW22" s="830" t="str">
        <x:f t="shared" si="32"/>
        <x:v>LH</x:v>
      </x:c>
      <x:c r="AX22" s="830" t="str">
        <x:f t="shared" si="106"/>
        <x:v>J48</x:v>
      </x:c>
      <x:c r="AY22" s="1039" t="b">
        <x:f t="shared" si="33"/>
        <x:v>0</x:v>
      </x:c>
      <x:c r="AZ22" s="856" t="b">
        <x:f t="shared" si="34"/>
        <x:v>0</x:v>
      </x:c>
      <x:c r="BA22" s="549"/>
      <x:c r="BB22" s="672"/>
      <x:c r="BC22" s="1684"/>
      <x:c r="BD22" s="733"/>
      <x:c r="BE22" s="734"/>
      <x:c r="BF22" s="735"/>
      <x:c r="BG22" s="672"/>
      <x:c r="BH22" s="982"/>
      <x:c r="BI22" s="983"/>
      <x:c r="BJ22" s="1625"/>
      <x:c r="BK22" s="713"/>
      <x:c r="BL22" s="714"/>
      <x:c r="BM22" s="715"/>
      <x:c r="BN22" s="716"/>
      <x:c r="BO22" s="672" t="str">
        <x:f>IF(ISERROR(CU22),"",IF(CU22="","",IF(VLOOKUP(BG22,SectInfo!$B:$N,10,FALSE)="","","X")))</x:f>
        <x:v/>
      </x:c>
      <x:c r="BP22" s="738"/>
      <x:c r="BQ22" s="1551" t="str">
        <x:f t="shared" si="35"/>
        <x:v/>
      </x:c>
      <x:c r="BR22" s="910"/>
      <x:c r="BS22" s="672"/>
      <x:c r="BT22" s="713"/>
      <x:c r="BU22" s="714"/>
      <x:c r="BV22" s="1625"/>
      <x:c r="BW22" s="713"/>
      <x:c r="BX22" s="714"/>
      <x:c r="BY22" s="715"/>
      <x:c r="BZ22" s="716"/>
      <x:c r="CA22" s="680" t="str">
        <x:f>IF(ISERROR(DE22),"",IF(DE22="","",IF(VLOOKUP(BS22,SectInfo!$B:$N,10,FALSE)="","","X")))</x:f>
        <x:v/>
      </x:c>
      <x:c r="CB22" s="738"/>
      <x:c r="CC22" s="1551" t="str">
        <x:f t="shared" si="36"/>
        <x:v/>
      </x:c>
      <x:c r="CD22" s="910"/>
      <x:c r="CE22" s="717"/>
      <x:c r="CF22" s="736"/>
      <x:c r="CG22" s="737"/>
      <x:c r="CH22" s="591" t="str">
        <x:f t="shared" si="37"/>
        <x:v/>
      </x:c>
      <x:c r="CI22" s="592" t="str">
        <x:f t="shared" si="38"/>
        <x:v/>
      </x:c>
      <x:c r="CJ22" s="593" t="str">
        <x:f t="shared" si="39"/>
        <x:v/>
      </x:c>
      <x:c r="CK22" s="594" t="str">
        <x:f t="shared" si="40"/>
        <x:v/>
      </x:c>
      <x:c r="CL22" s="595" t="str">
        <x:f t="shared" si="41"/>
        <x:v/>
      </x:c>
      <x:c r="CM22" s="596" t="str">
        <x:f t="shared" si="42"/>
        <x:v/>
      </x:c>
      <x:c r="CN22" s="597" t="str">
        <x:f t="shared" si="43"/>
        <x:v/>
      </x:c>
      <x:c r="CO22" s="598" t="str">
        <x:f t="shared" si="44"/>
        <x:v/>
      </x:c>
      <x:c r="CP22" s="615" t="str">
        <x:f t="shared" si="45"/>
        <x:v/>
      </x:c>
      <x:c r="CQ22" s="616" t="str">
        <x:f t="shared" si="46"/>
        <x:v/>
      </x:c>
      <x:c r="CR22" s="750">
        <x:f t="shared" si="47"/>
        <x:v>5</x:v>
      </x:c>
      <x:c r="CS22" s="751">
        <x:f t="shared" si="48"/>
        <x:v>5</x:v>
      </x:c>
      <x:c r="CU22" s="817" t="str">
        <x:f>IF(BG22="","",VLOOKUP(BG22,SectInfo!$B:$N,12,FALSE))</x:f>
        <x:v/>
      </x:c>
      <x:c r="CV22" s="815" t="str">
        <x:f>IF(BG22="","",IF(ISBLANK(BP22),VLOOKUP(BG22,SectInfo!$B:$N,13,FALSE),BP22))</x:f>
        <x:v/>
      </x:c>
      <x:c r="CW22" s="815" t="str">
        <x:f>IF(BG22="","",IF(VLOOKUP(BG22,SectInfo!$B:$N,5,FALSE)="","R",UPPER(VLOOKUP(BG22,SectInfo!$B:$N,5,FALSE))))</x:f>
        <x:v/>
      </x:c>
      <x:c r="CX22" s="815" t="str">
        <x:f>IF(BG22="","",IF(ISBLANK(BR22),VLOOKUP(BG22,SectInfo!$B:$N,6,FALSE),BR22))</x:f>
        <x:v/>
      </x:c>
      <x:c r="CY22" s="1286" t="str">
        <x:f>IF(BG22="","",IF(VLOOKUP(BG22,SectInfo!$B:$N,10,FALSE)="","",(IF(BO22="X",VLOOKUP(BG22,SectInfo!$B:$N,10,FALSE),VALUE(BO22))*-1)))</x:f>
        <x:v/>
      </x:c>
      <x:c r="CZ22" s="1122" t="str">
        <x:f>IF(BG22="","",IF(VLOOKUP(BG22,SectInfo!$B:$N,11,FALSE)="","2",(VLOOKUP(BG22,SectInfo!$B:$N,11,FALSE))))</x:f>
        <x:v/>
      </x:c>
      <x:c r="DA22" s="815" t="str">
        <x:f>IF(BG22="","",IF(VLOOKUP(BG22,SectInfo!$B:$N,7,FALSE)="","",(VLOOKUP(BG22,SectInfo!$B:$N,7,FALSE)*-1)))</x:f>
        <x:v/>
      </x:c>
      <x:c r="DB22" s="815" t="str">
        <x:f>IF(BG22="","",IF(VLOOKUP(BG22,SectInfo!$B:$N,8,FALSE)="",VLOOKUP(AU22,$DF$2:$DN$9,6,FALSE),(VLOOKUP(BG22,SectInfo!$B:$N,8,FALSE))))</x:f>
        <x:v/>
      </x:c>
      <x:c r="DC22" s="815" t="str">
        <x:f>IF(BG22="","",VLOOKUP(BG22,SectInfo!$B:$N,9,FALSE))</x:f>
        <x:v/>
      </x:c>
      <x:c r="DD22" s="816">
        <x:f t="shared" si="49"/>
        <x:v>0</x:v>
      </x:c>
      <x:c r="DE22" s="817" t="str">
        <x:f>IF(BS22="","",VLOOKUP(BS22,SectInfo!$B:$N,12,FALSE))</x:f>
        <x:v/>
      </x:c>
      <x:c r="DF22" s="815" t="str">
        <x:f>IF(BS22="","",IF(ISBLANK(CB22),VLOOKUP(BS22,SectInfo!$B:$N,13,FALSE),CB22))</x:f>
        <x:v/>
      </x:c>
      <x:c r="DG22" s="815" t="str">
        <x:f>IF(BS22="","",IF(VLOOKUP(BS22,SectInfo!$B:$N,5,FALSE)="","R",UPPER(VLOOKUP(BS22,SectInfo!$B:$N,5,FALSE))))</x:f>
        <x:v/>
      </x:c>
      <x:c r="DH22" s="815" t="str">
        <x:f>IF(BS22="","",IF(ISBLANK(CD22),VLOOKUP(BS22,SectInfo!$B:$N,6,FALSE),CD22))</x:f>
        <x:v/>
      </x:c>
      <x:c r="DI22" s="1286" t="str">
        <x:f>IF(BS22="","",IF(VLOOKUP(BS22,SectInfo!$B:$N,10,FALSE)="","",(IF(CA22="X",VLOOKUP(BS22,SectInfo!$B:$N,10,FALSE),VALUE(CA22))*-1)))</x:f>
        <x:v/>
      </x:c>
      <x:c r="DJ22" s="1122" t="str">
        <x:f>IF(BS22="","",IF(VLOOKUP(BS22,SectInfo!$B:$N,11,FALSE)="","2",(VLOOKUP(BS22,SectInfo!$B:$N,11,FALSE))))</x:f>
        <x:v/>
      </x:c>
      <x:c r="DK22" s="815" t="str">
        <x:f>IF(BS22="","",IF(VLOOKUP(BS22,SectInfo!$B:$N,7,FALSE)="","",(VLOOKUP(BS22,SectInfo!$B:$N,7,FALSE)*-1)))</x:f>
        <x:v/>
      </x:c>
      <x:c r="DL22" s="815" t="str">
        <x:f>IF(BS22="","",IF(VLOOKUP(BS22,SectInfo!$B:$N,8,FALSE)="",VLOOKUP(AU22,$DF$2:$DN$9,6,FALSE),(VLOOKUP(BS22,SectInfo!$B:$N,8,FALSE))))</x:f>
        <x:v/>
      </x:c>
      <x:c r="DM22" s="815" t="str">
        <x:f>IF(BS22="","",VLOOKUP(BS22,SectInfo!$B:$N,9,FALSE))</x:f>
        <x:v/>
      </x:c>
      <x:c r="DN22" s="816">
        <x:f t="shared" si="50"/>
        <x:v>0</x:v>
      </x:c>
      <x:c r="DO22" s="818">
        <x:f t="shared" si="51"/>
        <x:v>0</x:v>
      </x:c>
      <x:c r="DP22" s="822" t="str">
        <x:f t="shared" si="52"/>
        <x:v/>
      </x:c>
      <x:c r="DQ22" s="822" t="str">
        <x:f t="shared" si="53"/>
        <x:v/>
      </x:c>
      <x:c r="DR22" s="822" t="str">
        <x:f t="shared" si="54"/>
        <x:v/>
      </x:c>
      <x:c r="DS22" s="821">
        <x:f t="shared" si="55"/>
        <x:v>0</x:v>
      </x:c>
      <x:c r="DT22" s="821">
        <x:f t="shared" si="56"/>
        <x:v>0</x:v>
      </x:c>
      <x:c r="DU22" s="821" t="str">
        <x:f t="shared" si="57"/>
        <x:v/>
      </x:c>
      <x:c r="DV22" s="822" t="str">
        <x:f t="shared" si="58"/>
        <x:v/>
      </x:c>
      <x:c r="DW22" s="856" t="str">
        <x:f t="shared" si="59"/>
        <x:v/>
      </x:c>
      <x:c r="DX22" s="1006">
        <x:f t="shared" si="60"/>
        <x:v>0</x:v>
      </x:c>
      <x:c r="DY22" s="822">
        <x:f t="shared" si="61"/>
        <x:v>0</x:v>
      </x:c>
      <x:c r="DZ22" s="821">
        <x:f t="shared" si="62"/>
        <x:v>0</x:v>
      </x:c>
      <x:c r="EA22" s="821" t="str">
        <x:f t="shared" si="63"/>
        <x:v/>
      </x:c>
      <x:c r="EB22" s="822" t="str">
        <x:f t="shared" si="64"/>
        <x:v/>
      </x:c>
      <x:c r="EC22" s="856" t="str">
        <x:f t="shared" si="65"/>
        <x:v/>
      </x:c>
      <x:c r="ED22" s="1006">
        <x:f t="shared" si="66"/>
        <x:v>0</x:v>
      </x:c>
      <x:c r="EE22" s="1293" t="str">
        <x:f t="shared" si="67"/>
        <x:v/>
      </x:c>
      <x:c r="EF22" s="1293" t="str">
        <x:f t="shared" si="68"/>
        <x:v/>
      </x:c>
      <x:c r="EG22" s="1293" t="str">
        <x:f t="shared" si="69"/>
        <x:v/>
      </x:c>
      <x:c r="EH22" s="856" t="str">
        <x:f t="shared" si="70"/>
        <x:v>ERR</x:v>
      </x:c>
      <x:c r="EI22" s="856" t="str">
        <x:f t="shared" si="71"/>
        <x:v>ERR</x:v>
      </x:c>
      <x:c r="EJ22" s="822" t="str">
        <x:f t="shared" si="72"/>
        <x:v/>
      </x:c>
      <x:c r="EK22" s="822" t="str">
        <x:f t="shared" si="72"/>
        <x:v/>
      </x:c>
      <x:c r="EL22" s="1293" t="str">
        <x:f t="shared" si="73"/>
        <x:v/>
      </x:c>
      <x:c r="EM22" s="822" t="str">
        <x:f t="shared" si="74"/>
        <x:v/>
      </x:c>
      <x:c r="EN22" s="822" t="str">
        <x:f t="shared" si="75"/>
        <x:v/>
      </x:c>
      <x:c r="EO22" s="856" t="str">
        <x:f t="shared" si="76"/>
        <x:v>ERR</x:v>
      </x:c>
      <x:c r="EP22" s="856" t="str">
        <x:f t="shared" si="77"/>
        <x:v>ERR</x:v>
      </x:c>
      <x:c r="EQ22" s="1293" t="str">
        <x:f t="shared" si="78"/>
        <x:v/>
      </x:c>
      <x:c r="ER22" s="822" t="str">
        <x:f t="shared" si="78"/>
        <x:v/>
      </x:c>
      <x:c r="ES22" s="822" t="str">
        <x:f t="shared" si="79"/>
        <x:v/>
      </x:c>
      <x:c r="ET22" s="822" t="str">
        <x:f t="shared" si="80"/>
        <x:v/>
      </x:c>
      <x:c r="EU22" s="829">
        <x:f t="shared" si="81"/>
        <x:v>4</x:v>
      </x:c>
      <x:c r="EV22" s="824" t="str">
        <x:f t="shared" si="82"/>
        <x:v/>
      </x:c>
      <x:c r="EW22" s="829"/>
      <x:c r="EX22" s="829" t="str">
        <x:f>IF(AND(CU22="G", ISBLANK(BK22), ISBLANK(BL22)),VLOOKUP(MIN(BH22:BI22),TblJoistSize!$M$3:$N$10,2),IF(OR(CU22="B",CU22="G"),MIN(BK22:BL22),""))</x:f>
        <x:v/>
      </x:c>
      <x:c r="EY22" s="829" t="str">
        <x:f>IF(AND(CU22="G", ISBLANK(BK22), ISBLANK(BL22)),VLOOKUP(MAX(BH22:BI22),TblJoistSize!$M$3:$N$10,2),IF(OR(CU22="B",CU22="G"),MAX(BK22:BL22),""))</x:f>
        <x:v/>
      </x:c>
      <x:c r="EZ22" s="829" t="str">
        <x:f t="shared" si="83"/>
        <x:v/>
      </x:c>
      <x:c r="FA22" s="829" t="str">
        <x:f>IF(AND(DE22="G", ISBLANK(BW22), ISBLANK(BX22)),VLOOKUP(MIN(BT22:BU22),TblJoistSize!$M$3:$N$10,2),IF(OR(DE22="B", DE22="G"),MIN(BW22:BX22),""))</x:f>
        <x:v/>
      </x:c>
      <x:c r="FB22" s="829" t="str">
        <x:f>IF(AND(DE22="G", ISBLANK(BW22), ISBLANK(BX22)),VLOOKUP(MAX(BT22:BU22),TblJoistSize!$M$3:$N$10,2),IF(OR(DE22="B", DE22="G"),MAX(BW22:BX22),""))</x:f>
        <x:v/>
      </x:c>
      <x:c r="FC22" s="829" t="str">
        <x:f t="shared" si="84"/>
        <x:v/>
      </x:c>
      <x:c r="FD22" s="821">
        <x:f t="shared" si="107"/>
        <x:v>0</x:v>
      </x:c>
      <x:c r="FE22" s="821">
        <x:f t="shared" si="85"/>
        <x:v>0</x:v>
      </x:c>
      <x:c r="FF22" s="821">
        <x:f t="shared" si="86"/>
        <x:v>0</x:v>
      </x:c>
      <x:c r="FG22" s="821" t="str">
        <x:f t="shared" si="87"/>
        <x:v/>
      </x:c>
      <x:c r="FH22" s="822" t="str">
        <x:f t="shared" si="88"/>
        <x:v/>
      </x:c>
      <x:c r="FI22" s="821">
        <x:f t="shared" si="108"/>
        <x:v>0</x:v>
      </x:c>
      <x:c r="FJ22" s="821">
        <x:f t="shared" si="89"/>
        <x:v>0</x:v>
      </x:c>
      <x:c r="FK22" s="821">
        <x:f t="shared" si="90"/>
        <x:v>0</x:v>
      </x:c>
      <x:c r="FL22" s="821" t="str">
        <x:f t="shared" si="91"/>
        <x:v/>
      </x:c>
      <x:c r="FM22" s="822" t="str">
        <x:f t="shared" si="92"/>
        <x:v/>
      </x:c>
      <x:c r="FN22" s="822" t="e">
        <x:f t="shared" si="93"/>
        <x:v>#VALUE!</x:v>
      </x:c>
      <x:c r="FO22" s="940" t="e">
        <x:f t="shared" si="94"/>
        <x:v>#VALUE!</x:v>
      </x:c>
      <x:c r="FP22" s="940" t="e">
        <x:f t="shared" si="95"/>
        <x:v>#VALUE!</x:v>
      </x:c>
      <x:c r="FQ22" s="830" t="e">
        <x:f t="shared" si="96"/>
        <x:v>#VALUE!</x:v>
      </x:c>
      <x:c r="FR22" s="831" t="e">
        <x:f t="shared" si="97"/>
        <x:v>#VALUE!</x:v>
      </x:c>
      <x:c r="FS22" s="832" t="str">
        <x:f t="shared" si="98"/>
        <x:v/>
      </x:c>
      <x:c r="FT22" s="833" t="str">
        <x:f t="shared" si="99"/>
        <x:v/>
      </x:c>
      <x:c r="FU22" s="870">
        <x:f t="shared" si="100"/>
        <x:v>0</x:v>
      </x:c>
      <x:c r="FV22" s="871">
        <x:f t="shared" si="101"/>
        <x:v>0</x:v>
      </x:c>
      <x:c r="GA22" s="1791">
        <x:v>69</x:v>
      </x:c>
      <x:c r="GB22" s="1792">
        <x:v>2.25</x:v>
      </x:c>
      <x:c r="GC22" s="1793">
        <x:v>-0.25</x:v>
      </x:c>
      <x:c r="GD22" s="1794">
        <x:v>-0.5</x:v>
      </x:c>
      <x:c r="GE22" s="1795">
        <x:f t="shared" si="102"/>
        <x:v>0</x:v>
      </x:c>
      <x:c r="GF22" s="600" t="str">
        <x:f t="shared" si="103"/>
        <x:v>J48</x:v>
      </x:c>
      <x:c r="GG22" s="1130">
        <x:v>0</x:v>
      </x:c>
      <x:c r="GH22" s="1131">
        <x:v>0</x:v>
      </x:c>
      <x:c r="GI22" s="1130"/>
      <x:c r="GJ22" s="1131"/>
      <x:c r="GK22" s="1638">
        <x:f t="shared" si="104"/>
        <x:v>829.5</x:v>
      </x:c>
      <x:c r="GL22" s="1636">
        <x:f t="shared" si="105"/>
        <x:v>829.5</x:v>
      </x:c>
      <x:c r="GM22" s="1637">
        <x:f>IF(ABS(GK22-GL22)&gt;='Job Info.'!$L$22,ABS(GK22-GL22),0)</x:f>
        <x:v>0</x:v>
      </x:c>
      <x:c r="HA22" s="1269" t="s">
        <x:v>1478</x:v>
      </x:c>
      <x:c r="HB22" s="1270">
        <x:v>2</x:v>
      </x:c>
      <x:c r="HC22" s="1270" t="s">
        <x:v>1593</x:v>
      </x:c>
      <x:c r="HD22" s="1271">
        <x:v>69</x:v>
      </x:c>
      <x:c r="HE22" s="1272">
        <x:v>1.5</x:v>
      </x:c>
      <x:c r="HF22" s="1270" t="s">
        <x:v>116</x:v>
      </x:c>
      <x:c r="HG22" s="1270" t="s">
        <x:v>116</x:v>
      </x:c>
      <x:c r="HH22" s="1270" t="s">
        <x:v>116</x:v>
      </x:c>
      <x:c r="HI22" s="1273" t="s">
        <x:v>116</x:v>
      </x:c>
      <x:c r="HJ22" s="1270" t="s">
        <x:v>116</x:v>
      </x:c>
      <x:c r="HK22" s="1270" t="s">
        <x:v>116</x:v>
      </x:c>
      <x:c r="HL22" s="1270">
        <x:v>5</x:v>
      </x:c>
      <x:c r="HM22" s="1270">
        <x:v>5</x:v>
      </x:c>
      <x:c r="HN22" s="1270" t="s">
        <x:v>116</x:v>
      </x:c>
      <x:c r="HO22" s="1270" t="s">
        <x:v>116</x:v>
      </x:c>
      <x:c r="HP22" s="1270" t="s">
        <x:v>116</x:v>
      </x:c>
      <x:c r="HQ22" s="1273" t="s">
        <x:v>116</x:v>
      </x:c>
      <x:c r="HR22" s="1270" t="s">
        <x:v>116</x:v>
      </x:c>
      <x:c r="HS22" s="1270" t="s">
        <x:v>116</x:v>
      </x:c>
      <x:c r="HT22" s="1270">
        <x:v>0</x:v>
      </x:c>
      <x:c r="HU22" s="1270">
        <x:v>2.25</x:v>
      </x:c>
      <x:c r="HV22" s="1270">
        <x:v>0</x:v>
      </x:c>
      <x:c r="HW22" s="1272">
        <x:v>2</x:v>
      </x:c>
      <x:c r="HX22" s="1272">
        <x:v>4</x:v>
      </x:c>
      <x:c r="HY22" s="1272" t="s">
        <x:v>116</x:v>
      </x:c>
      <x:c r="HZ22" s="1272" t="s">
        <x:v>116</x:v>
      </x:c>
      <x:c r="IA22" s="1272" t="s">
        <x:v>1647</x:v>
      </x:c>
      <x:c r="IB22" s="1272"/>
      <x:c r="IC22" s="1272"/>
      <x:c r="ID22" s="1272"/>
      <x:c r="IE22" s="1272"/>
      <x:c r="IF22" s="1274"/>
    </x:row>
    <x:row r="23" spans="1:240" ht="12.6" customHeight="1" x14ac:dyDescent="0.25">
      <x:c r="A23" s="2764" t="s">
        <x:v>1479</x:v>
      </x:c>
      <x:c r="B23" s="2765">
        <x:v>2</x:v>
      </x:c>
      <x:c r="C23" s="2766" t="s">
        <x:v>1593</x:v>
      </x:c>
      <x:c r="D23" s="2767">
        <x:v>69</x:v>
      </x:c>
      <x:c r="E23" s="2768">
        <x:v>1.5</x:v>
      </x:c>
      <x:c r="F23" s="2776" t="str">
        <x:f t="shared" si="1"/>
        <x:v/>
      </x:c>
      <x:c r="G23" s="2771" t="str">
        <x:f t="shared" si="2"/>
        <x:v/>
      </x:c>
      <x:c r="H23" s="2842" t="str">
        <x:f t="shared" si="3"/>
        <x:v/>
      </x:c>
      <x:c r="I23" s="2767" t="str">
        <x:f t="shared" si="4"/>
        <x:v/>
      </x:c>
      <x:c r="J23" s="2771" t="str">
        <x:f t="shared" si="5"/>
        <x:v/>
      </x:c>
      <x:c r="K23" s="2855" t="str">
        <x:f t="shared" si="6"/>
        <x:v/>
      </x:c>
      <x:c r="L23" s="2774">
        <x:v>5</x:v>
      </x:c>
      <x:c r="M23" s="2775">
        <x:v>5</x:v>
      </x:c>
      <x:c r="N23" s="2770" t="str">
        <x:f t="shared" si="7"/>
        <x:v/>
      </x:c>
      <x:c r="O23" s="2771" t="str">
        <x:f t="shared" si="8"/>
        <x:v/>
      </x:c>
      <x:c r="P23" s="2772" t="str">
        <x:f t="shared" si="9"/>
        <x:v/>
      </x:c>
      <x:c r="Q23" s="2767" t="str">
        <x:f t="shared" si="10"/>
        <x:v/>
      </x:c>
      <x:c r="R23" s="2771" t="str">
        <x:f t="shared" si="11"/>
        <x:v/>
      </x:c>
      <x:c r="S23" s="2773" t="str">
        <x:f t="shared" si="12"/>
        <x:v/>
      </x:c>
      <x:c r="T23" s="2776">
        <x:v>0</x:v>
      </x:c>
      <x:c r="U23" s="2771">
        <x:v>2.25</x:v>
      </x:c>
      <x:c r="V23" s="2767">
        <x:v>0</x:v>
      </x:c>
      <x:c r="W23" s="2771">
        <x:v>2</x:v>
      </x:c>
      <x:c r="X23" s="2775">
        <x:v>4</x:v>
      </x:c>
      <x:c r="Y23" s="2844" t="str">
        <x:f t="shared" si="13"/>
        <x:v/>
      </x:c>
      <x:c r="Z23" s="2845" t="str">
        <x:f t="shared" si="14"/>
        <x:v/>
      </x:c>
      <x:c r="AA23" s="2846" t="s">
        <x:v>1648</x:v>
      </x:c>
      <x:c r="AB23" s="1413"/>
      <x:c r="AC23" s="964" t="b">
        <x:v>0</x:v>
      </x:c>
      <x:c r="AD23" s="441">
        <x:f t="shared" si="15"/>
        <x:v>0</x:v>
      </x:c>
      <x:c r="AE23" s="442">
        <x:f t="shared" si="16"/>
        <x:v>2</x:v>
      </x:c>
      <x:c r="AF23" s="442">
        <x:f t="shared" si="17"/>
        <x:v>0</x:v>
      </x:c>
      <x:c r="AG23" s="442">
        <x:f t="shared" si="18"/>
        <x:v>0</x:v>
      </x:c>
      <x:c r="AH23" s="443">
        <x:f t="shared" si="19"/>
        <x:v>0</x:v>
      </x:c>
      <x:c r="AI23" s="444" t="b">
        <x:v>0</x:v>
      </x:c>
      <x:c r="AJ23" s="238">
        <x:f t="shared" si="20"/>
        <x:v>44</x:v>
      </x:c>
      <x:c r="AK23" s="830" t="str">
        <x:f t="shared" si="21"/>
        <x:v>LH</x:v>
      </x:c>
      <x:c r="AL23" s="945" t="str">
        <x:f t="shared" si="22"/>
        <x:v/>
      </x:c>
      <x:c r="AM23" s="830">
        <x:f t="shared" si="23"/>
        <x:v>305</x:v>
      </x:c>
      <x:c r="AN23" s="830">
        <x:f t="shared" si="24"/>
        <x:v>180</x:v>
      </x:c>
      <x:c r="AO23" s="830" t="str">
        <x:f t="shared" si="25"/>
        <x:v/>
      </x:c>
      <x:c r="AP23" s="830" t="b">
        <x:f>IF(ISERROR(AJ23),FALSE,IF(OR(AJ23=0,ISERROR(AL23),ISERROR(AM23),ISERROR(AN23),ISERROR(AO23)),FALSE,IF(AL23&lt;&gt;"",IF(ISERROR(VLOOKUP(SUBSTITUTE(SUBSTITUTE(C23,"R",""),"A",""),TblJoistSize!$A:$A,1,FALSE)),FALSE,TRUE),TRUE)))</x:f>
        <x:v>1</x:v>
      </x:c>
      <x:c r="AQ23" s="1038">
        <x:f t="shared" si="26"/>
        <x:v>6</x:v>
      </x:c>
      <x:c r="AR23" s="945" t="b">
        <x:f t="shared" si="27"/>
        <x:v>1</x:v>
      </x:c>
      <x:c r="AS23" s="1038">
        <x:f t="shared" si="28"/>
        <x:v>6</x:v>
      </x:c>
      <x:c r="AT23" s="945" t="b">
        <x:f t="shared" si="29"/>
        <x:v>1</x:v>
      </x:c>
      <x:c r="AU23" s="946" t="str">
        <x:f t="shared" si="30"/>
        <x:v>LH</x:v>
      </x:c>
      <x:c r="AV23" s="830" t="str">
        <x:f t="shared" si="31"/>
        <x:v/>
      </x:c>
      <x:c r="AW23" s="830" t="str">
        <x:f t="shared" si="32"/>
        <x:v>LH</x:v>
      </x:c>
      <x:c r="AX23" s="830" t="str">
        <x:f t="shared" si="106"/>
        <x:v>J49</x:v>
      </x:c>
      <x:c r="AY23" s="1039" t="b">
        <x:f t="shared" si="33"/>
        <x:v>0</x:v>
      </x:c>
      <x:c r="AZ23" s="856" t="b">
        <x:f t="shared" si="34"/>
        <x:v>0</x:v>
      </x:c>
      <x:c r="BA23" s="549"/>
      <x:c r="BB23" s="672"/>
      <x:c r="BC23" s="1684"/>
      <x:c r="BD23" s="733"/>
      <x:c r="BE23" s="734"/>
      <x:c r="BF23" s="735"/>
      <x:c r="BG23" s="672"/>
      <x:c r="BH23" s="982"/>
      <x:c r="BI23" s="983"/>
      <x:c r="BJ23" s="1625"/>
      <x:c r="BK23" s="713"/>
      <x:c r="BL23" s="714"/>
      <x:c r="BM23" s="715"/>
      <x:c r="BN23" s="716"/>
      <x:c r="BO23" s="672" t="str">
        <x:f>IF(ISERROR(CU23),"",IF(CU23="","",IF(VLOOKUP(BG23,SectInfo!$B:$N,10,FALSE)="","","X")))</x:f>
        <x:v/>
      </x:c>
      <x:c r="BP23" s="738"/>
      <x:c r="BQ23" s="1551" t="str">
        <x:f t="shared" si="35"/>
        <x:v/>
      </x:c>
      <x:c r="BR23" s="910"/>
      <x:c r="BS23" s="672"/>
      <x:c r="BT23" s="713"/>
      <x:c r="BU23" s="714"/>
      <x:c r="BV23" s="1625"/>
      <x:c r="BW23" s="713"/>
      <x:c r="BX23" s="714"/>
      <x:c r="BY23" s="715"/>
      <x:c r="BZ23" s="716"/>
      <x:c r="CA23" s="680" t="str">
        <x:f>IF(ISERROR(DE23),"",IF(DE23="","",IF(VLOOKUP(BS23,SectInfo!$B:$N,10,FALSE)="","","X")))</x:f>
        <x:v/>
      </x:c>
      <x:c r="CB23" s="738"/>
      <x:c r="CC23" s="1551" t="str">
        <x:f t="shared" si="36"/>
        <x:v/>
      </x:c>
      <x:c r="CD23" s="910"/>
      <x:c r="CE23" s="717"/>
      <x:c r="CF23" s="736"/>
      <x:c r="CG23" s="737"/>
      <x:c r="CH23" s="591" t="str">
        <x:f t="shared" si="37"/>
        <x:v/>
      </x:c>
      <x:c r="CI23" s="592" t="str">
        <x:f t="shared" si="38"/>
        <x:v/>
      </x:c>
      <x:c r="CJ23" s="593" t="str">
        <x:f t="shared" si="39"/>
        <x:v/>
      </x:c>
      <x:c r="CK23" s="594" t="str">
        <x:f t="shared" si="40"/>
        <x:v/>
      </x:c>
      <x:c r="CL23" s="595" t="str">
        <x:f t="shared" si="41"/>
        <x:v/>
      </x:c>
      <x:c r="CM23" s="596" t="str">
        <x:f t="shared" si="42"/>
        <x:v/>
      </x:c>
      <x:c r="CN23" s="597" t="str">
        <x:f t="shared" si="43"/>
        <x:v/>
      </x:c>
      <x:c r="CO23" s="598" t="str">
        <x:f t="shared" si="44"/>
        <x:v/>
      </x:c>
      <x:c r="CP23" s="615" t="str">
        <x:f t="shared" si="45"/>
        <x:v/>
      </x:c>
      <x:c r="CQ23" s="616" t="str">
        <x:f t="shared" si="46"/>
        <x:v/>
      </x:c>
      <x:c r="CR23" s="750">
        <x:f t="shared" si="47"/>
        <x:v>5</x:v>
      </x:c>
      <x:c r="CS23" s="751">
        <x:f t="shared" si="48"/>
        <x:v>5</x:v>
      </x:c>
      <x:c r="CU23" s="817" t="str">
        <x:f>IF(BG23="","",VLOOKUP(BG23,SectInfo!$B:$N,12,FALSE))</x:f>
        <x:v/>
      </x:c>
      <x:c r="CV23" s="815" t="str">
        <x:f>IF(BG23="","",IF(ISBLANK(BP23),VLOOKUP(BG23,SectInfo!$B:$N,13,FALSE),BP23))</x:f>
        <x:v/>
      </x:c>
      <x:c r="CW23" s="8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8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si="49"/>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si="50"/>
        <x:v>0</x:v>
      </x:c>
      <x:c r="DO23" s="818">
        <x:f t="shared" si="51"/>
        <x:v>0</x:v>
      </x:c>
      <x:c r="DP23" s="822" t="str">
        <x:f t="shared" si="52"/>
        <x:v/>
      </x:c>
      <x:c r="DQ23" s="822" t="str">
        <x:f t="shared" si="53"/>
        <x:v/>
      </x:c>
      <x:c r="DR23" s="822" t="str">
        <x:f t="shared" si="54"/>
        <x:v/>
      </x:c>
      <x:c r="DS23" s="821">
        <x:f t="shared" si="55"/>
        <x:v>0</x:v>
      </x:c>
      <x:c r="DT23" s="821">
        <x:f t="shared" si="56"/>
        <x:v>0</x:v>
      </x:c>
      <x:c r="DU23" s="821" t="str">
        <x:f t="shared" si="57"/>
        <x:v/>
      </x:c>
      <x:c r="DV23" s="822" t="str">
        <x:f t="shared" si="58"/>
        <x:v/>
      </x:c>
      <x:c r="DW23" s="856" t="str">
        <x:f t="shared" si="59"/>
        <x:v/>
      </x:c>
      <x:c r="DX23" s="1006">
        <x:f t="shared" si="60"/>
        <x:v>0</x:v>
      </x:c>
      <x:c r="DY23" s="822">
        <x:f t="shared" si="61"/>
        <x:v>0</x:v>
      </x:c>
      <x:c r="DZ23" s="821">
        <x:f t="shared" si="62"/>
        <x:v>0</x:v>
      </x:c>
      <x:c r="EA23" s="821" t="str">
        <x:f t="shared" si="63"/>
        <x:v/>
      </x:c>
      <x:c r="EB23" s="822" t="str">
        <x:f t="shared" si="64"/>
        <x:v/>
      </x:c>
      <x:c r="EC23" s="856" t="str">
        <x:f t="shared" si="65"/>
        <x:v/>
      </x:c>
      <x:c r="ED23" s="1006">
        <x:f t="shared" si="66"/>
        <x:v>0</x:v>
      </x:c>
      <x:c r="EE23" s="1293" t="str">
        <x:f t="shared" si="67"/>
        <x:v/>
      </x:c>
      <x:c r="EF23" s="1293" t="str">
        <x:f t="shared" si="68"/>
        <x:v/>
      </x:c>
      <x:c r="EG23" s="1293" t="str">
        <x:f t="shared" si="69"/>
        <x:v/>
      </x:c>
      <x:c r="EH23" s="856" t="str">
        <x:f t="shared" si="70"/>
        <x:v>ERR</x:v>
      </x:c>
      <x:c r="EI23" s="856" t="str">
        <x:f t="shared" si="71"/>
        <x:v>ERR</x:v>
      </x:c>
      <x:c r="EJ23" s="822" t="str">
        <x:f t="shared" si="72"/>
        <x:v/>
      </x:c>
      <x:c r="EK23" s="822" t="str">
        <x:f t="shared" si="72"/>
        <x:v/>
      </x:c>
      <x:c r="EL23" s="1293" t="str">
        <x:f t="shared" si="73"/>
        <x:v/>
      </x:c>
      <x:c r="EM23" s="822" t="str">
        <x:f t="shared" si="74"/>
        <x:v/>
      </x:c>
      <x:c r="EN23" s="822" t="str">
        <x:f t="shared" si="75"/>
        <x:v/>
      </x:c>
      <x:c r="EO23" s="856" t="str">
        <x:f t="shared" si="76"/>
        <x:v>ERR</x:v>
      </x:c>
      <x:c r="EP23" s="856" t="str">
        <x:f t="shared" si="77"/>
        <x:v>ERR</x:v>
      </x:c>
      <x:c r="EQ23" s="1293" t="str">
        <x:f t="shared" si="78"/>
        <x:v/>
      </x:c>
      <x:c r="ER23" s="822" t="str">
        <x:f t="shared" si="78"/>
        <x:v/>
      </x:c>
      <x:c r="ES23" s="822" t="str">
        <x:f t="shared" si="79"/>
        <x:v/>
      </x:c>
      <x:c r="ET23" s="822" t="str">
        <x:f t="shared" si="80"/>
        <x:v/>
      </x:c>
      <x:c r="EU23" s="829">
        <x:f t="shared" si="81"/>
        <x:v>4</x:v>
      </x:c>
      <x:c r="EV23" s="824" t="str">
        <x:f t="shared" si="82"/>
        <x:v/>
      </x:c>
      <x:c r="EW23" s="829"/>
      <x:c r="EX23" s="829" t="str">
        <x:f>IF(AND(CU23="G", ISBLANK(BK23), ISBLANK(BL23)),VLOOKUP(MIN(BH23:BI23),TblJoistSize!$M$3:$N$10,2),IF(OR(CU23="B",CU23="G"),MIN(BK23:BL23),""))</x:f>
        <x:v/>
      </x:c>
      <x:c r="EY23" s="829" t="str">
        <x:f>IF(AND(CU23="G", ISBLANK(BK23), ISBLANK(BL23)),VLOOKUP(MAX(BH23:BI23),TblJoistSize!$M$3:$N$10,2),IF(OR(CU23="B",CU23="G"),MAX(BK23:BL23),""))</x:f>
        <x:v/>
      </x:c>
      <x:c r="EZ23" s="829" t="str">
        <x:f t="shared" si="83"/>
        <x:v/>
      </x:c>
      <x:c r="FA23" s="829" t="str">
        <x:f>IF(AND(DE23="G", ISBLANK(BW23), ISBLANK(BX23)),VLOOKUP(MIN(BT23:BU23),TblJoistSize!$M$3:$N$10,2),IF(OR(DE23="B", DE23="G"),MIN(BW23:BX23),""))</x:f>
        <x:v/>
      </x:c>
      <x:c r="FB23" s="829" t="str">
        <x:f>IF(AND(DE23="G", ISBLANK(BW23), ISBLANK(BX23)),VLOOKUP(MAX(BT23:BU23),TblJoistSize!$M$3:$N$10,2),IF(OR(DE23="B", DE23="G"),MAX(BW23:BX23),""))</x:f>
        <x:v/>
      </x:c>
      <x:c r="FC23" s="829" t="str">
        <x:f t="shared" si="84"/>
        <x:v/>
      </x:c>
      <x:c r="FD23" s="821">
        <x:f t="shared" si="107"/>
        <x:v>0</x:v>
      </x:c>
      <x:c r="FE23" s="821">
        <x:f t="shared" si="85"/>
        <x:v>0</x:v>
      </x:c>
      <x:c r="FF23" s="821">
        <x:f t="shared" si="86"/>
        <x:v>0</x:v>
      </x:c>
      <x:c r="FG23" s="821" t="str">
        <x:f t="shared" si="87"/>
        <x:v/>
      </x:c>
      <x:c r="FH23" s="822" t="str">
        <x:f t="shared" si="88"/>
        <x:v/>
      </x:c>
      <x:c r="FI23" s="821">
        <x:f t="shared" si="108"/>
        <x:v>0</x:v>
      </x:c>
      <x:c r="FJ23" s="821">
        <x:f t="shared" si="89"/>
        <x:v>0</x:v>
      </x:c>
      <x:c r="FK23" s="821">
        <x:f t="shared" si="90"/>
        <x:v>0</x:v>
      </x:c>
      <x:c r="FL23" s="821" t="str">
        <x:f t="shared" si="91"/>
        <x:v/>
      </x:c>
      <x:c r="FM23" s="822" t="str">
        <x:f t="shared" si="92"/>
        <x:v/>
      </x:c>
      <x:c r="FN23" s="822" t="e">
        <x:f t="shared" si="93"/>
        <x:v>#VALUE!</x:v>
      </x:c>
      <x:c r="FO23" s="940" t="e">
        <x:f t="shared" si="94"/>
        <x:v>#VALUE!</x:v>
      </x:c>
      <x:c r="FP23" s="940" t="e">
        <x:f t="shared" si="95"/>
        <x:v>#VALUE!</x:v>
      </x:c>
      <x:c r="FQ23" s="830" t="e">
        <x:f t="shared" si="96"/>
        <x:v>#VALUE!</x:v>
      </x:c>
      <x:c r="FR23" s="831" t="e">
        <x:f t="shared" si="97"/>
        <x:v>#VALUE!</x:v>
      </x:c>
      <x:c r="FS23" s="832" t="str">
        <x:f t="shared" si="98"/>
        <x:v/>
      </x:c>
      <x:c r="FT23" s="833" t="str">
        <x:f t="shared" si="99"/>
        <x:v/>
      </x:c>
      <x:c r="FU23" s="870">
        <x:f t="shared" si="100"/>
        <x:v>0</x:v>
      </x:c>
      <x:c r="FV23" s="871">
        <x:f t="shared" si="101"/>
        <x:v>0</x:v>
      </x:c>
      <x:c r="GA23" s="1791">
        <x:v>69</x:v>
      </x:c>
      <x:c r="GB23" s="1792">
        <x:v>2.25</x:v>
      </x:c>
      <x:c r="GC23" s="1793">
        <x:v>-0.25</x:v>
      </x:c>
      <x:c r="GD23" s="1794">
        <x:v>-0.5</x:v>
      </x:c>
      <x:c r="GE23" s="1795">
        <x:f t="shared" si="102"/>
        <x:v>0</x:v>
      </x:c>
      <x:c r="GF23" s="600" t="str">
        <x:f t="shared" si="103"/>
        <x:v>J49</x:v>
      </x:c>
      <x:c r="GG23" s="1130">
        <x:v>0</x:v>
      </x:c>
      <x:c r="GH23" s="1131">
        <x:v>0</x:v>
      </x:c>
      <x:c r="GI23" s="1130"/>
      <x:c r="GJ23" s="1131"/>
      <x:c r="GK23" s="1638">
        <x:f t="shared" si="104"/>
        <x:v>829.5</x:v>
      </x:c>
      <x:c r="GL23" s="1636">
        <x:f t="shared" si="105"/>
        <x:v>829.5</x:v>
      </x:c>
      <x:c r="GM23" s="1637">
        <x:f>IF(ABS(GK23-GL23)&gt;='Job Info.'!$L$22,ABS(GK23-GL23),0)</x:f>
        <x:v>0</x:v>
      </x:c>
      <x:c r="HA23" s="1269" t="s">
        <x:v>1479</x:v>
      </x:c>
      <x:c r="HB23" s="1270">
        <x:v>2</x:v>
      </x:c>
      <x:c r="HC23" s="1270" t="s">
        <x:v>1593</x:v>
      </x:c>
      <x:c r="HD23" s="1271">
        <x:v>69</x:v>
      </x:c>
      <x:c r="HE23" s="1272">
        <x:v>1.5</x:v>
      </x:c>
      <x:c r="HF23" s="1270" t="s">
        <x:v>116</x:v>
      </x:c>
      <x:c r="HG23" s="1270" t="s">
        <x:v>116</x:v>
      </x:c>
      <x:c r="HH23" s="1270" t="s">
        <x:v>116</x:v>
      </x:c>
      <x:c r="HI23" s="1273" t="s">
        <x:v>116</x:v>
      </x:c>
      <x:c r="HJ23" s="1270" t="s">
        <x:v>116</x:v>
      </x:c>
      <x:c r="HK23" s="1270" t="s">
        <x:v>116</x:v>
      </x:c>
      <x:c r="HL23" s="1270">
        <x:v>5</x:v>
      </x:c>
      <x:c r="HM23" s="1270">
        <x:v>5</x:v>
      </x:c>
      <x:c r="HN23" s="1270" t="s">
        <x:v>116</x:v>
      </x:c>
      <x:c r="HO23" s="1270" t="s">
        <x:v>116</x:v>
      </x:c>
      <x:c r="HP23" s="1270" t="s">
        <x:v>116</x:v>
      </x:c>
      <x:c r="HQ23" s="1273" t="s">
        <x:v>116</x:v>
      </x:c>
      <x:c r="HR23" s="1270" t="s">
        <x:v>116</x:v>
      </x:c>
      <x:c r="HS23" s="1270" t="s">
        <x:v>116</x:v>
      </x:c>
      <x:c r="HT23" s="1270">
        <x:v>0</x:v>
      </x:c>
      <x:c r="HU23" s="1270">
        <x:v>2.25</x:v>
      </x:c>
      <x:c r="HV23" s="1270">
        <x:v>0</x:v>
      </x:c>
      <x:c r="HW23" s="1272">
        <x:v>2</x:v>
      </x:c>
      <x:c r="HX23" s="1272">
        <x:v>4</x:v>
      </x:c>
      <x:c r="HY23" s="1272" t="s">
        <x:v>116</x:v>
      </x:c>
      <x:c r="HZ23" s="1272" t="s">
        <x:v>116</x:v>
      </x:c>
      <x:c r="IA23" s="1272" t="s">
        <x:v>1648</x:v>
      </x:c>
      <x:c r="IB23" s="1272"/>
      <x:c r="IC23" s="1272"/>
      <x:c r="ID23" s="1272"/>
      <x:c r="IE23" s="1272"/>
      <x:c r="IF23" s="1274"/>
    </x:row>
    <x:row r="24" spans="1:240" ht="12.6" customHeight="1" x14ac:dyDescent="0.25">
      <x:c r="A24" s="2764" t="s">
        <x:v>1480</x:v>
      </x:c>
      <x:c r="B24" s="2765">
        <x:v>2</x:v>
      </x:c>
      <x:c r="C24" s="2766" t="s">
        <x:v>1593</x:v>
      </x:c>
      <x:c r="D24" s="2767">
        <x:v>69</x:v>
      </x:c>
      <x:c r="E24" s="2768">
        <x:v>1.5</x:v>
      </x:c>
      <x:c r="F24" s="2776" t="str">
        <x:f t="shared" si="1"/>
        <x:v/>
      </x:c>
      <x:c r="G24" s="2771" t="str">
        <x:f t="shared" si="2"/>
        <x:v/>
      </x:c>
      <x:c r="H24" s="2842" t="str">
        <x:f t="shared" si="3"/>
        <x:v/>
      </x:c>
      <x:c r="I24" s="2767" t="str">
        <x:f t="shared" si="4"/>
        <x:v/>
      </x:c>
      <x:c r="J24" s="2771" t="str">
        <x:f t="shared" si="5"/>
        <x:v/>
      </x:c>
      <x:c r="K24" s="2855" t="str">
        <x:f t="shared" si="6"/>
        <x:v/>
      </x:c>
      <x:c r="L24" s="2774">
        <x:v>5</x:v>
      </x:c>
      <x:c r="M24" s="2775">
        <x:v>5</x:v>
      </x:c>
      <x:c r="N24" s="2770" t="str">
        <x:f t="shared" si="7"/>
        <x:v/>
      </x:c>
      <x:c r="O24" s="2771" t="str">
        <x:f t="shared" si="8"/>
        <x:v/>
      </x:c>
      <x:c r="P24" s="2772" t="str">
        <x:f t="shared" si="9"/>
        <x:v/>
      </x:c>
      <x:c r="Q24" s="2767" t="str">
        <x:f t="shared" si="10"/>
        <x:v/>
      </x:c>
      <x:c r="R24" s="2771" t="str">
        <x:f t="shared" si="11"/>
        <x:v/>
      </x:c>
      <x:c r="S24" s="2773" t="str">
        <x:f t="shared" si="12"/>
        <x:v/>
      </x:c>
      <x:c r="T24" s="2776">
        <x:v>0</x:v>
      </x:c>
      <x:c r="U24" s="2771">
        <x:v>2.25</x:v>
      </x:c>
      <x:c r="V24" s="2767">
        <x:v>0</x:v>
      </x:c>
      <x:c r="W24" s="2771">
        <x:v>2</x:v>
      </x:c>
      <x:c r="X24" s="2775">
        <x:v>4</x:v>
      </x:c>
      <x:c r="Y24" s="2844" t="str">
        <x:f t="shared" si="13"/>
        <x:v/>
      </x:c>
      <x:c r="Z24" s="2845" t="str">
        <x:f t="shared" si="14"/>
        <x:v/>
      </x:c>
      <x:c r="AA24" s="2846" t="s">
        <x:v>1649</x:v>
      </x:c>
      <x:c r="AB24" s="1413"/>
      <x:c r="AC24" s="964" t="b">
        <x:v>0</x:v>
      </x:c>
      <x:c r="AD24" s="441">
        <x:f t="shared" si="15"/>
        <x:v>0</x:v>
      </x:c>
      <x:c r="AE24" s="442">
        <x:f t="shared" si="16"/>
        <x:v>2</x:v>
      </x:c>
      <x:c r="AF24" s="442">
        <x:f t="shared" si="17"/>
        <x:v>0</x:v>
      </x:c>
      <x:c r="AG24" s="442">
        <x:f t="shared" si="18"/>
        <x:v>0</x:v>
      </x:c>
      <x:c r="AH24" s="443">
        <x:f t="shared" si="19"/>
        <x:v>0</x:v>
      </x:c>
      <x:c r="AI24" s="444" t="b">
        <x:v>0</x:v>
      </x:c>
      <x:c r="AJ24" s="238">
        <x:f t="shared" si="20"/>
        <x:v>44</x:v>
      </x:c>
      <x:c r="AK24" s="830" t="str">
        <x:f t="shared" si="21"/>
        <x:v>LH</x:v>
      </x:c>
      <x:c r="AL24" s="945" t="str">
        <x:f t="shared" si="22"/>
        <x:v/>
      </x:c>
      <x:c r="AM24" s="830">
        <x:f t="shared" si="23"/>
        <x:v>305</x:v>
      </x:c>
      <x:c r="AN24" s="830">
        <x:f t="shared" si="24"/>
        <x:v>180</x:v>
      </x:c>
      <x:c r="AO24" s="830" t="str">
        <x:f t="shared" si="25"/>
        <x:v/>
      </x:c>
      <x:c r="AP24" s="830" t="b">
        <x:f>IF(ISERROR(AJ24),FALSE,IF(OR(AJ24=0,ISERROR(AL24),ISERROR(AM24),ISERROR(AN24),ISERROR(AO24)),FALSE,IF(AL24&lt;&gt;"",IF(ISERROR(VLOOKUP(SUBSTITUTE(SUBSTITUTE(C24,"R",""),"A",""),TblJoistSize!$A:$A,1,FALSE)),FALSE,TRUE),TRUE)))</x:f>
        <x:v>1</x:v>
      </x:c>
      <x:c r="AQ24" s="1038">
        <x:f t="shared" si="26"/>
        <x:v>6</x:v>
      </x:c>
      <x:c r="AR24" s="945" t="b">
        <x:f t="shared" si="27"/>
        <x:v>1</x:v>
      </x:c>
      <x:c r="AS24" s="1038">
        <x:f t="shared" si="28"/>
        <x:v>6</x:v>
      </x:c>
      <x:c r="AT24" s="945" t="b">
        <x:f t="shared" si="29"/>
        <x:v>1</x:v>
      </x:c>
      <x:c r="AU24" s="946" t="str">
        <x:f t="shared" si="30"/>
        <x:v>LH</x:v>
      </x:c>
      <x:c r="AV24" s="830" t="str">
        <x:f t="shared" si="31"/>
        <x:v/>
      </x:c>
      <x:c r="AW24" s="830" t="str">
        <x:f t="shared" si="32"/>
        <x:v>LH</x:v>
      </x:c>
      <x:c r="AX24" s="830" t="str">
        <x:f t="shared" si="106"/>
        <x:v>J50</x:v>
      </x:c>
      <x:c r="AY24" s="1039" t="b">
        <x:f t="shared" si="33"/>
        <x:v>0</x:v>
      </x:c>
      <x:c r="AZ24" s="856" t="b">
        <x:f t="shared" si="34"/>
        <x:v>0</x:v>
      </x:c>
      <x:c r="BA24" s="549"/>
      <x:c r="BB24" s="672"/>
      <x:c r="BC24" s="1684"/>
      <x:c r="BD24" s="733"/>
      <x:c r="BE24" s="734"/>
      <x:c r="BF24" s="735"/>
      <x:c r="BG24" s="672"/>
      <x:c r="BH24" s="982"/>
      <x:c r="BI24" s="983"/>
      <x:c r="BJ24" s="1625"/>
      <x:c r="BK24" s="713"/>
      <x:c r="BL24" s="714"/>
      <x:c r="BM24" s="715"/>
      <x:c r="BN24" s="716"/>
      <x:c r="BO24" s="672" t="str">
        <x:f>IF(ISERROR(CU24),"",IF(CU24="","",IF(VLOOKUP(BG24,SectInfo!$B:$N,10,FALSE)="","","X")))</x:f>
        <x:v/>
      </x:c>
      <x:c r="BP24" s="738"/>
      <x:c r="BQ24" s="1551" t="str">
        <x:f t="shared" si="35"/>
        <x:v/>
      </x:c>
      <x:c r="BR24" s="910"/>
      <x:c r="BS24" s="672"/>
      <x:c r="BT24" s="713"/>
      <x:c r="BU24" s="714"/>
      <x:c r="BV24" s="1625"/>
      <x:c r="BW24" s="713"/>
      <x:c r="BX24" s="714"/>
      <x:c r="BY24" s="715"/>
      <x:c r="BZ24" s="716"/>
      <x:c r="CA24" s="680" t="str">
        <x:f>IF(ISERROR(DE24),"",IF(DE24="","",IF(VLOOKUP(BS24,SectInfo!$B:$N,10,FALSE)="","","X")))</x:f>
        <x:v/>
      </x:c>
      <x:c r="CB24" s="738"/>
      <x:c r="CC24" s="1551" t="str">
        <x:f t="shared" si="36"/>
        <x:v/>
      </x:c>
      <x:c r="CD24" s="910"/>
      <x:c r="CE24" s="717"/>
      <x:c r="CF24" s="736"/>
      <x:c r="CG24" s="737"/>
      <x:c r="CH24" s="591" t="str">
        <x:f t="shared" si="37"/>
        <x:v/>
      </x:c>
      <x:c r="CI24" s="592" t="str">
        <x:f t="shared" si="38"/>
        <x:v/>
      </x:c>
      <x:c r="CJ24" s="593" t="str">
        <x:f t="shared" si="39"/>
        <x:v/>
      </x:c>
      <x:c r="CK24" s="594" t="str">
        <x:f t="shared" si="40"/>
        <x:v/>
      </x:c>
      <x:c r="CL24" s="595" t="str">
        <x:f t="shared" si="41"/>
        <x:v/>
      </x:c>
      <x:c r="CM24" s="596" t="str">
        <x:f t="shared" si="42"/>
        <x:v/>
      </x:c>
      <x:c r="CN24" s="597" t="str">
        <x:f t="shared" si="43"/>
        <x:v/>
      </x:c>
      <x:c r="CO24" s="598" t="str">
        <x:f t="shared" si="44"/>
        <x:v/>
      </x:c>
      <x:c r="CP24" s="615" t="str">
        <x:f t="shared" si="45"/>
        <x:v/>
      </x:c>
      <x:c r="CQ24" s="616" t="str">
        <x:f t="shared" si="46"/>
        <x:v/>
      </x:c>
      <x:c r="CR24" s="750">
        <x:f t="shared" si="47"/>
        <x:v>5</x:v>
      </x:c>
      <x:c r="CS24" s="751">
        <x:f t="shared" si="48"/>
        <x:v>5</x:v>
      </x:c>
      <x:c r="CU24" s="817" t="str">
        <x:f>IF(BG24="","",VLOOKUP(BG24,SectInfo!$B:$N,12,FALSE))</x:f>
        <x:v/>
      </x:c>
      <x:c r="CV24" s="815" t="str">
        <x:f>IF(BG24="","",IF(ISBLANK(BP24),VLOOKUP(BG24,SectInfo!$B:$N,13,FALSE),BP24))</x:f>
        <x:v/>
      </x:c>
      <x:c r="CW24" s="8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8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49"/>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50"/>
        <x:v>0</x:v>
      </x:c>
      <x:c r="DO24" s="818">
        <x:f t="shared" si="51"/>
        <x:v>0</x:v>
      </x:c>
      <x:c r="DP24" s="822" t="str">
        <x:f t="shared" si="52"/>
        <x:v/>
      </x:c>
      <x:c r="DQ24" s="822" t="str">
        <x:f t="shared" si="53"/>
        <x:v/>
      </x:c>
      <x:c r="DR24" s="822" t="str">
        <x:f t="shared" si="54"/>
        <x:v/>
      </x:c>
      <x:c r="DS24" s="821">
        <x:f t="shared" si="55"/>
        <x:v>0</x:v>
      </x:c>
      <x:c r="DT24" s="821">
        <x:f t="shared" si="56"/>
        <x:v>0</x:v>
      </x:c>
      <x:c r="DU24" s="821" t="str">
        <x:f t="shared" si="57"/>
        <x:v/>
      </x:c>
      <x:c r="DV24" s="822" t="str">
        <x:f t="shared" si="58"/>
        <x:v/>
      </x:c>
      <x:c r="DW24" s="856" t="str">
        <x:f t="shared" si="59"/>
        <x:v/>
      </x:c>
      <x:c r="DX24" s="1006">
        <x:f t="shared" si="60"/>
        <x:v>0</x:v>
      </x:c>
      <x:c r="DY24" s="822">
        <x:f t="shared" si="61"/>
        <x:v>0</x:v>
      </x:c>
      <x:c r="DZ24" s="821">
        <x:f t="shared" si="62"/>
        <x:v>0</x:v>
      </x:c>
      <x:c r="EA24" s="821" t="str">
        <x:f t="shared" si="63"/>
        <x:v/>
      </x:c>
      <x:c r="EB24" s="822" t="str">
        <x:f t="shared" si="64"/>
        <x:v/>
      </x:c>
      <x:c r="EC24" s="856" t="str">
        <x:f t="shared" si="65"/>
        <x:v/>
      </x:c>
      <x:c r="ED24" s="1006">
        <x:f t="shared" si="66"/>
        <x:v>0</x:v>
      </x:c>
      <x:c r="EE24" s="1293" t="str">
        <x:f t="shared" si="67"/>
        <x:v/>
      </x:c>
      <x:c r="EF24" s="1293" t="str">
        <x:f t="shared" si="68"/>
        <x:v/>
      </x:c>
      <x:c r="EG24" s="1293" t="str">
        <x:f t="shared" si="69"/>
        <x:v/>
      </x:c>
      <x:c r="EH24" s="856" t="str">
        <x:f t="shared" si="70"/>
        <x:v>ERR</x:v>
      </x:c>
      <x:c r="EI24" s="856" t="str">
        <x:f t="shared" si="71"/>
        <x:v>ERR</x:v>
      </x:c>
      <x:c r="EJ24" s="822" t="str">
        <x:f t="shared" si="72"/>
        <x:v/>
      </x:c>
      <x:c r="EK24" s="822" t="str">
        <x:f t="shared" si="72"/>
        <x:v/>
      </x:c>
      <x:c r="EL24" s="1293" t="str">
        <x:f t="shared" si="73"/>
        <x:v/>
      </x:c>
      <x:c r="EM24" s="822" t="str">
        <x:f t="shared" si="74"/>
        <x:v/>
      </x:c>
      <x:c r="EN24" s="822" t="str">
        <x:f t="shared" si="75"/>
        <x:v/>
      </x:c>
      <x:c r="EO24" s="856" t="str">
        <x:f t="shared" si="76"/>
        <x:v>ERR</x:v>
      </x:c>
      <x:c r="EP24" s="856" t="str">
        <x:f t="shared" si="77"/>
        <x:v>ERR</x:v>
      </x:c>
      <x:c r="EQ24" s="1293" t="str">
        <x:f t="shared" si="78"/>
        <x:v/>
      </x:c>
      <x:c r="ER24" s="822" t="str">
        <x:f t="shared" si="78"/>
        <x:v/>
      </x:c>
      <x:c r="ES24" s="822" t="str">
        <x:f t="shared" si="79"/>
        <x:v/>
      </x:c>
      <x:c r="ET24" s="822" t="str">
        <x:f t="shared" si="80"/>
        <x:v/>
      </x:c>
      <x:c r="EU24" s="829">
        <x:f t="shared" si="81"/>
        <x:v>4</x:v>
      </x:c>
      <x:c r="EV24" s="824" t="str">
        <x:f t="shared" si="82"/>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83"/>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84"/>
        <x:v/>
      </x:c>
      <x:c r="FD24" s="821">
        <x:f t="shared" si="107"/>
        <x:v>0</x:v>
      </x:c>
      <x:c r="FE24" s="821">
        <x:f t="shared" si="85"/>
        <x:v>0</x:v>
      </x:c>
      <x:c r="FF24" s="821">
        <x:f t="shared" si="86"/>
        <x:v>0</x:v>
      </x:c>
      <x:c r="FG24" s="821" t="str">
        <x:f t="shared" si="87"/>
        <x:v/>
      </x:c>
      <x:c r="FH24" s="822" t="str">
        <x:f t="shared" si="88"/>
        <x:v/>
      </x:c>
      <x:c r="FI24" s="821">
        <x:f t="shared" si="108"/>
        <x:v>0</x:v>
      </x:c>
      <x:c r="FJ24" s="821">
        <x:f t="shared" si="89"/>
        <x:v>0</x:v>
      </x:c>
      <x:c r="FK24" s="821">
        <x:f t="shared" si="90"/>
        <x:v>0</x:v>
      </x:c>
      <x:c r="FL24" s="821" t="str">
        <x:f t="shared" si="91"/>
        <x:v/>
      </x:c>
      <x:c r="FM24" s="822" t="str">
        <x:f t="shared" si="92"/>
        <x:v/>
      </x:c>
      <x:c r="FN24" s="822" t="e">
        <x:f t="shared" si="93"/>
        <x:v>#VALUE!</x:v>
      </x:c>
      <x:c r="FO24" s="940" t="e">
        <x:f t="shared" si="94"/>
        <x:v>#VALUE!</x:v>
      </x:c>
      <x:c r="FP24" s="940" t="e">
        <x:f t="shared" si="95"/>
        <x:v>#VALUE!</x:v>
      </x:c>
      <x:c r="FQ24" s="830" t="e">
        <x:f t="shared" si="96"/>
        <x:v>#VALUE!</x:v>
      </x:c>
      <x:c r="FR24" s="831" t="e">
        <x:f t="shared" si="97"/>
        <x:v>#VALUE!</x:v>
      </x:c>
      <x:c r="FS24" s="832" t="str">
        <x:f t="shared" si="98"/>
        <x:v/>
      </x:c>
      <x:c r="FT24" s="833" t="str">
        <x:f t="shared" si="99"/>
        <x:v/>
      </x:c>
      <x:c r="FU24" s="870">
        <x:f t="shared" si="100"/>
        <x:v>0</x:v>
      </x:c>
      <x:c r="FV24" s="871">
        <x:f t="shared" si="101"/>
        <x:v>0</x:v>
      </x:c>
      <x:c r="GA24" s="1791">
        <x:v>69</x:v>
      </x:c>
      <x:c r="GB24" s="1792">
        <x:v>2.25</x:v>
      </x:c>
      <x:c r="GC24" s="1793">
        <x:v>-0.25</x:v>
      </x:c>
      <x:c r="GD24" s="1794">
        <x:v>-0.5</x:v>
      </x:c>
      <x:c r="GE24" s="1795">
        <x:f t="shared" si="102"/>
        <x:v>0</x:v>
      </x:c>
      <x:c r="GF24" s="600" t="str">
        <x:f t="shared" si="103"/>
        <x:v>J50</x:v>
      </x:c>
      <x:c r="GG24" s="1130">
        <x:v>0</x:v>
      </x:c>
      <x:c r="GH24" s="1131">
        <x:v>0</x:v>
      </x:c>
      <x:c r="GI24" s="1130"/>
      <x:c r="GJ24" s="1131"/>
      <x:c r="GK24" s="1638">
        <x:f t="shared" si="104"/>
        <x:v>829.5</x:v>
      </x:c>
      <x:c r="GL24" s="1636">
        <x:f t="shared" si="105"/>
        <x:v>829.5</x:v>
      </x:c>
      <x:c r="GM24" s="1637">
        <x:f>IF(ABS(GK24-GL24)&gt;='Job Info.'!$L$22,ABS(GK24-GL24),0)</x:f>
        <x:v>0</x:v>
      </x:c>
      <x:c r="HA24" s="1269" t="s">
        <x:v>1480</x:v>
      </x:c>
      <x:c r="HB24" s="1270">
        <x:v>2</x:v>
      </x:c>
      <x:c r="HC24" s="1270" t="s">
        <x:v>1593</x:v>
      </x:c>
      <x:c r="HD24" s="1271">
        <x:v>69</x:v>
      </x:c>
      <x:c r="HE24" s="1272">
        <x:v>1.5</x:v>
      </x:c>
      <x:c r="HF24" s="1270" t="s">
        <x:v>116</x:v>
      </x:c>
      <x:c r="HG24" s="1270" t="s">
        <x:v>116</x:v>
      </x:c>
      <x:c r="HH24" s="1270" t="s">
        <x:v>116</x:v>
      </x:c>
      <x:c r="HI24" s="1273" t="s">
        <x:v>116</x:v>
      </x:c>
      <x:c r="HJ24" s="1270" t="s">
        <x:v>116</x:v>
      </x:c>
      <x:c r="HK24" s="1270" t="s">
        <x:v>116</x:v>
      </x:c>
      <x:c r="HL24" s="1270">
        <x:v>5</x:v>
      </x:c>
      <x:c r="HM24" s="1270">
        <x:v>5</x:v>
      </x:c>
      <x:c r="HN24" s="1270" t="s">
        <x:v>116</x:v>
      </x:c>
      <x:c r="HO24" s="1270" t="s">
        <x:v>116</x:v>
      </x:c>
      <x:c r="HP24" s="1270" t="s">
        <x:v>116</x:v>
      </x:c>
      <x:c r="HQ24" s="1273" t="s">
        <x:v>116</x:v>
      </x:c>
      <x:c r="HR24" s="1270" t="s">
        <x:v>116</x:v>
      </x:c>
      <x:c r="HS24" s="1270" t="s">
        <x:v>116</x:v>
      </x:c>
      <x:c r="HT24" s="1270">
        <x:v>0</x:v>
      </x:c>
      <x:c r="HU24" s="1270">
        <x:v>2.25</x:v>
      </x:c>
      <x:c r="HV24" s="1270">
        <x:v>0</x:v>
      </x:c>
      <x:c r="HW24" s="1272">
        <x:v>2</x:v>
      </x:c>
      <x:c r="HX24" s="1272">
        <x:v>4</x:v>
      </x:c>
      <x:c r="HY24" s="1272" t="s">
        <x:v>116</x:v>
      </x:c>
      <x:c r="HZ24" s="1272" t="s">
        <x:v>116</x:v>
      </x:c>
      <x:c r="IA24" s="1272" t="s">
        <x:v>1649</x:v>
      </x:c>
      <x:c r="IB24" s="1272"/>
      <x:c r="IC24" s="1272"/>
      <x:c r="ID24" s="1272"/>
      <x:c r="IE24" s="1272"/>
      <x:c r="IF24" s="1274"/>
    </x:row>
    <x:row r="25" spans="1:240" ht="12.6" customHeight="1" x14ac:dyDescent="0.25">
      <x:c r="A25" s="2764" t="s">
        <x:v>1481</x:v>
      </x:c>
      <x:c r="B25" s="2765">
        <x:v>1</x:v>
      </x:c>
      <x:c r="C25" s="2766" t="s">
        <x:v>1593</x:v>
      </x:c>
      <x:c r="D25" s="2767">
        <x:v>69</x:v>
      </x:c>
      <x:c r="E25" s="2768">
        <x:v>1.5</x:v>
      </x:c>
      <x:c r="F25" s="2776" t="str">
        <x:f t="shared" si="1"/>
        <x:v/>
      </x:c>
      <x:c r="G25" s="2771" t="str">
        <x:f t="shared" si="2"/>
        <x:v/>
      </x:c>
      <x:c r="H25" s="2842" t="str">
        <x:f t="shared" si="3"/>
        <x:v/>
      </x:c>
      <x:c r="I25" s="2767" t="str">
        <x:f t="shared" si="4"/>
        <x:v/>
      </x:c>
      <x:c r="J25" s="2771" t="str">
        <x:f t="shared" si="5"/>
        <x:v/>
      </x:c>
      <x:c r="K25" s="2855" t="str">
        <x:f t="shared" si="6"/>
        <x:v/>
      </x:c>
      <x:c r="L25" s="2774">
        <x:v>5</x:v>
      </x:c>
      <x:c r="M25" s="2775">
        <x:v>5</x:v>
      </x:c>
      <x:c r="N25" s="2770" t="str">
        <x:f t="shared" si="7"/>
        <x:v/>
      </x:c>
      <x:c r="O25" s="2771" t="str">
        <x:f t="shared" si="8"/>
        <x:v/>
      </x:c>
      <x:c r="P25" s="2772" t="str">
        <x:f t="shared" si="9"/>
        <x:v/>
      </x:c>
      <x:c r="Q25" s="2767" t="str">
        <x:f t="shared" si="10"/>
        <x:v/>
      </x:c>
      <x:c r="R25" s="2771" t="str">
        <x:f t="shared" si="11"/>
        <x:v/>
      </x:c>
      <x:c r="S25" s="2773" t="str">
        <x:f t="shared" si="12"/>
        <x:v/>
      </x:c>
      <x:c r="T25" s="2776">
        <x:v>0</x:v>
      </x:c>
      <x:c r="U25" s="2771">
        <x:v>2.25</x:v>
      </x:c>
      <x:c r="V25" s="2767">
        <x:v>0</x:v>
      </x:c>
      <x:c r="W25" s="2771">
        <x:v>2</x:v>
      </x:c>
      <x:c r="X25" s="2775">
        <x:v>4</x:v>
      </x:c>
      <x:c r="Y25" s="2844" t="str">
        <x:f t="shared" si="13"/>
        <x:v/>
      </x:c>
      <x:c r="Z25" s="2845" t="str">
        <x:f t="shared" si="14"/>
        <x:v/>
      </x:c>
      <x:c r="AA25" s="2846" t="s">
        <x:v>1650</x:v>
      </x:c>
      <x:c r="AB25" s="1413"/>
      <x:c r="AC25" s="964" t="b">
        <x:v>0</x:v>
      </x:c>
      <x:c r="AD25" s="441">
        <x:f t="shared" si="15"/>
        <x:v>0</x:v>
      </x:c>
      <x:c r="AE25" s="442">
        <x:f t="shared" si="16"/>
        <x:v>1</x:v>
      </x:c>
      <x:c r="AF25" s="442">
        <x:f t="shared" si="17"/>
        <x:v>0</x:v>
      </x:c>
      <x:c r="AG25" s="442">
        <x:f t="shared" si="18"/>
        <x:v>0</x:v>
      </x:c>
      <x:c r="AH25" s="443">
        <x:f t="shared" si="19"/>
        <x:v>0</x:v>
      </x:c>
      <x:c r="AI25" s="444" t="b">
        <x:v>0</x:v>
      </x:c>
      <x:c r="AJ25" s="238">
        <x:f t="shared" si="20"/>
        <x:v>44</x:v>
      </x:c>
      <x:c r="AK25" s="830" t="str">
        <x:f t="shared" si="21"/>
        <x:v>LH</x:v>
      </x:c>
      <x:c r="AL25" s="945" t="str">
        <x:f t="shared" si="22"/>
        <x:v/>
      </x:c>
      <x:c r="AM25" s="830">
        <x:f t="shared" si="23"/>
        <x:v>305</x:v>
      </x:c>
      <x:c r="AN25" s="830">
        <x:f t="shared" si="24"/>
        <x:v>180</x:v>
      </x:c>
      <x:c r="AO25" s="830" t="str">
        <x:f t="shared" si="25"/>
        <x:v/>
      </x:c>
      <x:c r="AP25" s="830" t="b">
        <x:f>IF(ISERROR(AJ25),FALSE,IF(OR(AJ25=0,ISERROR(AL25),ISERROR(AM25),ISERROR(AN25),ISERROR(AO25)),FALSE,IF(AL25&lt;&gt;"",IF(ISERROR(VLOOKUP(SUBSTITUTE(SUBSTITUTE(C25,"R",""),"A",""),TblJoistSize!$A:$A,1,FALSE)),FALSE,TRUE),TRUE)))</x:f>
        <x:v>1</x:v>
      </x:c>
      <x:c r="AQ25" s="1038">
        <x:f t="shared" si="26"/>
        <x:v>6</x:v>
      </x:c>
      <x:c r="AR25" s="945" t="b">
        <x:f t="shared" si="27"/>
        <x:v>1</x:v>
      </x:c>
      <x:c r="AS25" s="1038">
        <x:f t="shared" si="28"/>
        <x:v>6</x:v>
      </x:c>
      <x:c r="AT25" s="945" t="b">
        <x:f t="shared" si="29"/>
        <x:v>1</x:v>
      </x:c>
      <x:c r="AU25" s="946" t="str">
        <x:f t="shared" si="30"/>
        <x:v>LH</x:v>
      </x:c>
      <x:c r="AV25" s="830" t="str">
        <x:f t="shared" si="31"/>
        <x:v/>
      </x:c>
      <x:c r="AW25" s="830" t="str">
        <x:f t="shared" si="32"/>
        <x:v>LH</x:v>
      </x:c>
      <x:c r="AX25" s="830" t="str">
        <x:f t="shared" si="106"/>
        <x:v>J51</x:v>
      </x:c>
      <x:c r="AY25" s="1039" t="b">
        <x:f t="shared" si="33"/>
        <x:v>0</x:v>
      </x:c>
      <x:c r="AZ25" s="856" t="b">
        <x:f t="shared" si="34"/>
        <x:v>0</x:v>
      </x:c>
      <x:c r="BA25" s="549"/>
      <x:c r="BB25" s="672"/>
      <x:c r="BC25" s="1684"/>
      <x:c r="BD25" s="733"/>
      <x:c r="BE25" s="734"/>
      <x:c r="BF25" s="735"/>
      <x:c r="BG25" s="672"/>
      <x:c r="BH25" s="982"/>
      <x:c r="BI25" s="983"/>
      <x:c r="BJ25" s="1625"/>
      <x:c r="BK25" s="713"/>
      <x:c r="BL25" s="714"/>
      <x:c r="BM25" s="715"/>
      <x:c r="BN25" s="716"/>
      <x:c r="BO25" s="672" t="str">
        <x:f>IF(ISERROR(CU25),"",IF(CU25="","",IF(VLOOKUP(BG25,SectInfo!$B:$N,10,FALSE)="","","X")))</x:f>
        <x:v/>
      </x:c>
      <x:c r="BP25" s="738"/>
      <x:c r="BQ25" s="1551" t="str">
        <x:f t="shared" si="35"/>
        <x:v/>
      </x:c>
      <x:c r="BR25" s="910"/>
      <x:c r="BS25" s="672"/>
      <x:c r="BT25" s="713"/>
      <x:c r="BU25" s="714"/>
      <x:c r="BV25" s="1625"/>
      <x:c r="BW25" s="713"/>
      <x:c r="BX25" s="714"/>
      <x:c r="BY25" s="715"/>
      <x:c r="BZ25" s="716"/>
      <x:c r="CA25" s="680" t="str">
        <x:f>IF(ISERROR(DE25),"",IF(DE25="","",IF(VLOOKUP(BS25,SectInfo!$B:$N,10,FALSE)="","","X")))</x:f>
        <x:v/>
      </x:c>
      <x:c r="CB25" s="738"/>
      <x:c r="CC25" s="1551" t="str">
        <x:f t="shared" si="36"/>
        <x:v/>
      </x:c>
      <x:c r="CD25" s="910"/>
      <x:c r="CE25" s="717"/>
      <x:c r="CF25" s="736"/>
      <x:c r="CG25" s="737"/>
      <x:c r="CH25" s="591" t="str">
        <x:f t="shared" si="37"/>
        <x:v/>
      </x:c>
      <x:c r="CI25" s="592" t="str">
        <x:f t="shared" si="38"/>
        <x:v/>
      </x:c>
      <x:c r="CJ25" s="593" t="str">
        <x:f t="shared" si="39"/>
        <x:v/>
      </x:c>
      <x:c r="CK25" s="594" t="str">
        <x:f t="shared" si="40"/>
        <x:v/>
      </x:c>
      <x:c r="CL25" s="595" t="str">
        <x:f t="shared" si="41"/>
        <x:v/>
      </x:c>
      <x:c r="CM25" s="596" t="str">
        <x:f t="shared" si="42"/>
        <x:v/>
      </x:c>
      <x:c r="CN25" s="597" t="str">
        <x:f t="shared" si="43"/>
        <x:v/>
      </x:c>
      <x:c r="CO25" s="598" t="str">
        <x:f t="shared" si="44"/>
        <x:v/>
      </x:c>
      <x:c r="CP25" s="615" t="str">
        <x:f t="shared" si="45"/>
        <x:v/>
      </x:c>
      <x:c r="CQ25" s="616" t="str">
        <x:f t="shared" si="46"/>
        <x:v/>
      </x:c>
      <x:c r="CR25" s="750">
        <x:f t="shared" si="47"/>
        <x:v>5</x:v>
      </x:c>
      <x:c r="CS25" s="751">
        <x:f t="shared" si="48"/>
        <x:v>5</x:v>
      </x:c>
      <x:c r="CU25" s="817" t="str">
        <x:f>IF(BG25="","",VLOOKUP(BG25,SectInfo!$B:$N,12,FALSE))</x:f>
        <x:v/>
      </x:c>
      <x:c r="CV25" s="815" t="str">
        <x:f>IF(BG25="","",IF(ISBLANK(BP25),VLOOKUP(BG25,SectInfo!$B:$N,13,FALSE),BP25))</x:f>
        <x:v/>
      </x:c>
      <x:c r="CW25" s="8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8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49"/>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50"/>
        <x:v>0</x:v>
      </x:c>
      <x:c r="DO25" s="818">
        <x:f t="shared" si="51"/>
        <x:v>0</x:v>
      </x:c>
      <x:c r="DP25" s="822" t="str">
        <x:f t="shared" si="52"/>
        <x:v/>
      </x:c>
      <x:c r="DQ25" s="822" t="str">
        <x:f t="shared" si="53"/>
        <x:v/>
      </x:c>
      <x:c r="DR25" s="822" t="str">
        <x:f t="shared" si="54"/>
        <x:v/>
      </x:c>
      <x:c r="DS25" s="821">
        <x:f t="shared" si="55"/>
        <x:v>0</x:v>
      </x:c>
      <x:c r="DT25" s="821">
        <x:f t="shared" si="56"/>
        <x:v>0</x:v>
      </x:c>
      <x:c r="DU25" s="821" t="str">
        <x:f t="shared" si="57"/>
        <x:v/>
      </x:c>
      <x:c r="DV25" s="822" t="str">
        <x:f t="shared" si="58"/>
        <x:v/>
      </x:c>
      <x:c r="DW25" s="856" t="str">
        <x:f t="shared" si="59"/>
        <x:v/>
      </x:c>
      <x:c r="DX25" s="1006">
        <x:f t="shared" si="60"/>
        <x:v>0</x:v>
      </x:c>
      <x:c r="DY25" s="822">
        <x:f t="shared" si="61"/>
        <x:v>0</x:v>
      </x:c>
      <x:c r="DZ25" s="821">
        <x:f t="shared" si="62"/>
        <x:v>0</x:v>
      </x:c>
      <x:c r="EA25" s="821" t="str">
        <x:f t="shared" si="63"/>
        <x:v/>
      </x:c>
      <x:c r="EB25" s="822" t="str">
        <x:f t="shared" si="64"/>
        <x:v/>
      </x:c>
      <x:c r="EC25" s="856" t="str">
        <x:f t="shared" si="65"/>
        <x:v/>
      </x:c>
      <x:c r="ED25" s="1006">
        <x:f t="shared" si="66"/>
        <x:v>0</x:v>
      </x:c>
      <x:c r="EE25" s="1293" t="str">
        <x:f t="shared" si="67"/>
        <x:v/>
      </x:c>
      <x:c r="EF25" s="1293" t="str">
        <x:f t="shared" si="68"/>
        <x:v/>
      </x:c>
      <x:c r="EG25" s="1293" t="str">
        <x:f t="shared" si="69"/>
        <x:v/>
      </x:c>
      <x:c r="EH25" s="856" t="str">
        <x:f t="shared" si="70"/>
        <x:v>ERR</x:v>
      </x:c>
      <x:c r="EI25" s="856" t="str">
        <x:f t="shared" si="71"/>
        <x:v>ERR</x:v>
      </x:c>
      <x:c r="EJ25" s="822" t="str">
        <x:f t="shared" si="72"/>
        <x:v/>
      </x:c>
      <x:c r="EK25" s="822" t="str">
        <x:f t="shared" si="72"/>
        <x:v/>
      </x:c>
      <x:c r="EL25" s="1293" t="str">
        <x:f t="shared" si="73"/>
        <x:v/>
      </x:c>
      <x:c r="EM25" s="822" t="str">
        <x:f t="shared" si="74"/>
        <x:v/>
      </x:c>
      <x:c r="EN25" s="822" t="str">
        <x:f t="shared" si="75"/>
        <x:v/>
      </x:c>
      <x:c r="EO25" s="856" t="str">
        <x:f t="shared" si="76"/>
        <x:v>ERR</x:v>
      </x:c>
      <x:c r="EP25" s="856" t="str">
        <x:f t="shared" si="77"/>
        <x:v>ERR</x:v>
      </x:c>
      <x:c r="EQ25" s="1293" t="str">
        <x:f t="shared" si="78"/>
        <x:v/>
      </x:c>
      <x:c r="ER25" s="822" t="str">
        <x:f t="shared" si="78"/>
        <x:v/>
      </x:c>
      <x:c r="ES25" s="822" t="str">
        <x:f t="shared" si="79"/>
        <x:v/>
      </x:c>
      <x:c r="ET25" s="822" t="str">
        <x:f t="shared" si="80"/>
        <x:v/>
      </x:c>
      <x:c r="EU25" s="829">
        <x:f t="shared" si="81"/>
        <x:v>4</x:v>
      </x:c>
      <x:c r="EV25" s="824" t="str">
        <x:f t="shared" si="82"/>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83"/>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84"/>
        <x:v/>
      </x:c>
      <x:c r="FD25" s="821">
        <x:f t="shared" si="107"/>
        <x:v>0</x:v>
      </x:c>
      <x:c r="FE25" s="821">
        <x:f t="shared" si="85"/>
        <x:v>0</x:v>
      </x:c>
      <x:c r="FF25" s="821">
        <x:f t="shared" si="86"/>
        <x:v>0</x:v>
      </x:c>
      <x:c r="FG25" s="821" t="str">
        <x:f t="shared" si="87"/>
        <x:v/>
      </x:c>
      <x:c r="FH25" s="822" t="str">
        <x:f t="shared" si="88"/>
        <x:v/>
      </x:c>
      <x:c r="FI25" s="821">
        <x:f t="shared" si="108"/>
        <x:v>0</x:v>
      </x:c>
      <x:c r="FJ25" s="821">
        <x:f t="shared" si="89"/>
        <x:v>0</x:v>
      </x:c>
      <x:c r="FK25" s="821">
        <x:f t="shared" si="90"/>
        <x:v>0</x:v>
      </x:c>
      <x:c r="FL25" s="821" t="str">
        <x:f t="shared" si="91"/>
        <x:v/>
      </x:c>
      <x:c r="FM25" s="822" t="str">
        <x:f t="shared" si="92"/>
        <x:v/>
      </x:c>
      <x:c r="FN25" s="822" t="e">
        <x:f t="shared" si="93"/>
        <x:v>#VALUE!</x:v>
      </x:c>
      <x:c r="FO25" s="940" t="e">
        <x:f t="shared" si="94"/>
        <x:v>#VALUE!</x:v>
      </x:c>
      <x:c r="FP25" s="940" t="e">
        <x:f t="shared" si="95"/>
        <x:v>#VALUE!</x:v>
      </x:c>
      <x:c r="FQ25" s="830" t="e">
        <x:f t="shared" si="96"/>
        <x:v>#VALUE!</x:v>
      </x:c>
      <x:c r="FR25" s="831" t="e">
        <x:f t="shared" si="97"/>
        <x:v>#VALUE!</x:v>
      </x:c>
      <x:c r="FS25" s="832" t="str">
        <x:f t="shared" si="98"/>
        <x:v/>
      </x:c>
      <x:c r="FT25" s="833" t="str">
        <x:f t="shared" si="99"/>
        <x:v/>
      </x:c>
      <x:c r="FU25" s="870">
        <x:f t="shared" si="100"/>
        <x:v>0</x:v>
      </x:c>
      <x:c r="FV25" s="871">
        <x:f t="shared" si="101"/>
        <x:v>0</x:v>
      </x:c>
      <x:c r="GA25" s="1791">
        <x:v>69</x:v>
      </x:c>
      <x:c r="GB25" s="1792">
        <x:v>2.25</x:v>
      </x:c>
      <x:c r="GC25" s="1793">
        <x:v>-0.25</x:v>
      </x:c>
      <x:c r="GD25" s="1794">
        <x:v>-0.5</x:v>
      </x:c>
      <x:c r="GE25" s="1795">
        <x:f t="shared" si="102"/>
        <x:v>0</x:v>
      </x:c>
      <x:c r="GF25" s="600" t="str">
        <x:f t="shared" si="103"/>
        <x:v>J51</x:v>
      </x:c>
      <x:c r="GG25" s="1130">
        <x:v>0</x:v>
      </x:c>
      <x:c r="GH25" s="1131">
        <x:v>0</x:v>
      </x:c>
      <x:c r="GI25" s="1130"/>
      <x:c r="GJ25" s="1131"/>
      <x:c r="GK25" s="1638">
        <x:f t="shared" si="104"/>
        <x:v>829.5</x:v>
      </x:c>
      <x:c r="GL25" s="1636">
        <x:f t="shared" si="105"/>
        <x:v>829.5</x:v>
      </x:c>
      <x:c r="GM25" s="1637">
        <x:f>IF(ABS(GK25-GL25)&gt;='Job Info.'!$L$22,ABS(GK25-GL25),0)</x:f>
        <x:v>0</x:v>
      </x:c>
      <x:c r="HA25" s="1269" t="s">
        <x:v>1481</x:v>
      </x:c>
      <x:c r="HB25" s="1270">
        <x:v>1</x:v>
      </x:c>
      <x:c r="HC25" s="1270" t="s">
        <x:v>1593</x:v>
      </x:c>
      <x:c r="HD25" s="1271">
        <x:v>69</x:v>
      </x:c>
      <x:c r="HE25" s="1272">
        <x:v>1.5</x:v>
      </x:c>
      <x:c r="HF25" s="1270" t="s">
        <x:v>116</x:v>
      </x:c>
      <x:c r="HG25" s="1270" t="s">
        <x:v>116</x:v>
      </x:c>
      <x:c r="HH25" s="1270" t="s">
        <x:v>116</x:v>
      </x:c>
      <x:c r="HI25" s="1273" t="s">
        <x:v>116</x:v>
      </x:c>
      <x:c r="HJ25" s="1270" t="s">
        <x:v>116</x:v>
      </x:c>
      <x:c r="HK25" s="1270" t="s">
        <x:v>116</x:v>
      </x:c>
      <x:c r="HL25" s="1270">
        <x:v>5</x:v>
      </x:c>
      <x:c r="HM25" s="1270">
        <x:v>5</x:v>
      </x:c>
      <x:c r="HN25" s="1270" t="s">
        <x:v>116</x:v>
      </x:c>
      <x:c r="HO25" s="1270" t="s">
        <x:v>116</x:v>
      </x:c>
      <x:c r="HP25" s="1270" t="s">
        <x:v>116</x:v>
      </x:c>
      <x:c r="HQ25" s="1273" t="s">
        <x:v>116</x:v>
      </x:c>
      <x:c r="HR25" s="1270" t="s">
        <x:v>116</x:v>
      </x:c>
      <x:c r="HS25" s="1270" t="s">
        <x:v>116</x:v>
      </x:c>
      <x:c r="HT25" s="1270">
        <x:v>0</x:v>
      </x:c>
      <x:c r="HU25" s="1270">
        <x:v>2.25</x:v>
      </x:c>
      <x:c r="HV25" s="1270">
        <x:v>0</x:v>
      </x:c>
      <x:c r="HW25" s="1272">
        <x:v>2</x:v>
      </x:c>
      <x:c r="HX25" s="1272">
        <x:v>4</x:v>
      </x:c>
      <x:c r="HY25" s="1272" t="s">
        <x:v>116</x:v>
      </x:c>
      <x:c r="HZ25" s="1272" t="s">
        <x:v>116</x:v>
      </x:c>
      <x:c r="IA25" s="1272" t="s">
        <x:v>1650</x:v>
      </x:c>
      <x:c r="IB25" s="1272"/>
      <x:c r="IC25" s="1272"/>
      <x:c r="ID25" s="1272"/>
      <x:c r="IE25" s="1272"/>
      <x:c r="IF25" s="1274"/>
    </x:row>
    <x:row r="26" spans="1:240" ht="12.6" customHeight="1" x14ac:dyDescent="0.25">
      <x:c r="A26" s="2764" t="s">
        <x:v>1482</x:v>
      </x:c>
      <x:c r="B26" s="2765">
        <x:v>2</x:v>
      </x:c>
      <x:c r="C26" s="2766" t="s">
        <x:v>1593</x:v>
      </x:c>
      <x:c r="D26" s="2767">
        <x:v>69</x:v>
      </x:c>
      <x:c r="E26" s="2768">
        <x:v>1.5</x:v>
      </x:c>
      <x:c r="F26" s="2776" t="str">
        <x:f t="shared" si="1"/>
        <x:v/>
      </x:c>
      <x:c r="G26" s="2771" t="str">
        <x:f t="shared" si="2"/>
        <x:v/>
      </x:c>
      <x:c r="H26" s="2842" t="str">
        <x:f t="shared" si="3"/>
        <x:v/>
      </x:c>
      <x:c r="I26" s="2767" t="str">
        <x:f t="shared" si="4"/>
        <x:v/>
      </x:c>
      <x:c r="J26" s="2771" t="str">
        <x:f t="shared" si="5"/>
        <x:v/>
      </x:c>
      <x:c r="K26" s="2855" t="str">
        <x:f t="shared" si="6"/>
        <x:v/>
      </x:c>
      <x:c r="L26" s="2774">
        <x:v>5</x:v>
      </x:c>
      <x:c r="M26" s="2775">
        <x:v>5</x:v>
      </x:c>
      <x:c r="N26" s="2770" t="str">
        <x:f t="shared" si="7"/>
        <x:v/>
      </x:c>
      <x:c r="O26" s="2771" t="str">
        <x:f t="shared" si="8"/>
        <x:v/>
      </x:c>
      <x:c r="P26" s="2772" t="str">
        <x:f t="shared" si="9"/>
        <x:v/>
      </x:c>
      <x:c r="Q26" s="2767" t="str">
        <x:f t="shared" si="10"/>
        <x:v/>
      </x:c>
      <x:c r="R26" s="2771" t="str">
        <x:f t="shared" si="11"/>
        <x:v/>
      </x:c>
      <x:c r="S26" s="2773" t="str">
        <x:f t="shared" si="12"/>
        <x:v/>
      </x:c>
      <x:c r="T26" s="2776">
        <x:v>0</x:v>
      </x:c>
      <x:c r="U26" s="2771">
        <x:v>2.25</x:v>
      </x:c>
      <x:c r="V26" s="2767">
        <x:v>0</x:v>
      </x:c>
      <x:c r="W26" s="2771">
        <x:v>2</x:v>
      </x:c>
      <x:c r="X26" s="2775">
        <x:v>4</x:v>
      </x:c>
      <x:c r="Y26" s="2844" t="str">
        <x:f t="shared" si="13"/>
        <x:v/>
      </x:c>
      <x:c r="Z26" s="2845" t="str">
        <x:f t="shared" si="14"/>
        <x:v/>
      </x:c>
      <x:c r="AA26" s="2846" t="s">
        <x:v>1651</x:v>
      </x:c>
      <x:c r="AB26" s="1413"/>
      <x:c r="AC26" s="964" t="b">
        <x:v>0</x:v>
      </x:c>
      <x:c r="AD26" s="441">
        <x:f t="shared" si="15"/>
        <x:v>0</x:v>
      </x:c>
      <x:c r="AE26" s="442">
        <x:f t="shared" si="16"/>
        <x:v>2</x:v>
      </x:c>
      <x:c r="AF26" s="442">
        <x:f t="shared" si="17"/>
        <x:v>0</x:v>
      </x:c>
      <x:c r="AG26" s="442">
        <x:f t="shared" si="18"/>
        <x:v>0</x:v>
      </x:c>
      <x:c r="AH26" s="443">
        <x:f t="shared" si="19"/>
        <x:v>0</x:v>
      </x:c>
      <x:c r="AI26" s="444" t="b">
        <x:v>0</x:v>
      </x:c>
      <x:c r="AJ26" s="238">
        <x:f t="shared" si="20"/>
        <x:v>44</x:v>
      </x:c>
      <x:c r="AK26" s="830" t="str">
        <x:f t="shared" si="21"/>
        <x:v>LH</x:v>
      </x:c>
      <x:c r="AL26" s="945" t="str">
        <x:f t="shared" si="22"/>
        <x:v/>
      </x:c>
      <x:c r="AM26" s="830">
        <x:f t="shared" si="23"/>
        <x:v>305</x:v>
      </x:c>
      <x:c r="AN26" s="830">
        <x:f t="shared" si="24"/>
        <x:v>180</x:v>
      </x:c>
      <x:c r="AO26" s="830" t="str">
        <x:f t="shared" si="25"/>
        <x:v/>
      </x:c>
      <x:c r="AP26" s="830" t="b">
        <x:f>IF(ISERROR(AJ26),FALSE,IF(OR(AJ26=0,ISERROR(AL26),ISERROR(AM26),ISERROR(AN26),ISERROR(AO26)),FALSE,IF(AL26&lt;&gt;"",IF(ISERROR(VLOOKUP(SUBSTITUTE(SUBSTITUTE(C26,"R",""),"A",""),TblJoistSize!$A:$A,1,FALSE)),FALSE,TRUE),TRUE)))</x:f>
        <x:v>1</x:v>
      </x:c>
      <x:c r="AQ26" s="1038">
        <x:f t="shared" si="26"/>
        <x:v>6</x:v>
      </x:c>
      <x:c r="AR26" s="945" t="b">
        <x:f t="shared" si="27"/>
        <x:v>1</x:v>
      </x:c>
      <x:c r="AS26" s="1038">
        <x:f t="shared" si="28"/>
        <x:v>6</x:v>
      </x:c>
      <x:c r="AT26" s="945" t="b">
        <x:f t="shared" si="29"/>
        <x:v>1</x:v>
      </x:c>
      <x:c r="AU26" s="946" t="str">
        <x:f t="shared" si="30"/>
        <x:v>LH</x:v>
      </x:c>
      <x:c r="AV26" s="830" t="str">
        <x:f t="shared" si="31"/>
        <x:v/>
      </x:c>
      <x:c r="AW26" s="830" t="str">
        <x:f t="shared" si="32"/>
        <x:v>LH</x:v>
      </x:c>
      <x:c r="AX26" s="830" t="str">
        <x:f t="shared" si="106"/>
        <x:v>J52</x:v>
      </x:c>
      <x:c r="AY26" s="1039" t="b">
        <x:f t="shared" si="33"/>
        <x:v>0</x:v>
      </x:c>
      <x:c r="AZ26" s="856" t="b">
        <x:f t="shared" si="34"/>
        <x:v>0</x:v>
      </x:c>
      <x:c r="BA26" s="549"/>
      <x:c r="BB26" s="672"/>
      <x:c r="BC26" s="1684"/>
      <x:c r="BD26" s="733"/>
      <x:c r="BE26" s="734"/>
      <x:c r="BF26" s="735"/>
      <x:c r="BG26" s="672"/>
      <x:c r="BH26" s="982"/>
      <x:c r="BI26" s="983"/>
      <x:c r="BJ26" s="1625"/>
      <x:c r="BK26" s="713"/>
      <x:c r="BL26" s="714"/>
      <x:c r="BM26" s="715"/>
      <x:c r="BN26" s="716"/>
      <x:c r="BO26" s="672" t="str">
        <x:f>IF(ISERROR(CU26),"",IF(CU26="","",IF(VLOOKUP(BG26,SectInfo!$B:$N,10,FALSE)="","","X")))</x:f>
        <x:v/>
      </x:c>
      <x:c r="BP26" s="738"/>
      <x:c r="BQ26" s="1551" t="str">
        <x:f t="shared" si="35"/>
        <x:v/>
      </x:c>
      <x:c r="BR26" s="910"/>
      <x:c r="BS26" s="672"/>
      <x:c r="BT26" s="713"/>
      <x:c r="BU26" s="714"/>
      <x:c r="BV26" s="1625"/>
      <x:c r="BW26" s="713"/>
      <x:c r="BX26" s="714"/>
      <x:c r="BY26" s="715"/>
      <x:c r="BZ26" s="716"/>
      <x:c r="CA26" s="680" t="str">
        <x:f>IF(ISERROR(DE26),"",IF(DE26="","",IF(VLOOKUP(BS26,SectInfo!$B:$N,10,FALSE)="","","X")))</x:f>
        <x:v/>
      </x:c>
      <x:c r="CB26" s="738"/>
      <x:c r="CC26" s="1551" t="str">
        <x:f t="shared" si="36"/>
        <x:v/>
      </x:c>
      <x:c r="CD26" s="910"/>
      <x:c r="CE26" s="717"/>
      <x:c r="CF26" s="736"/>
      <x:c r="CG26" s="737"/>
      <x:c r="CH26" s="591" t="str">
        <x:f t="shared" si="37"/>
        <x:v/>
      </x:c>
      <x:c r="CI26" s="592" t="str">
        <x:f t="shared" si="38"/>
        <x:v/>
      </x:c>
      <x:c r="CJ26" s="593" t="str">
        <x:f t="shared" si="39"/>
        <x:v/>
      </x:c>
      <x:c r="CK26" s="594" t="str">
        <x:f t="shared" si="40"/>
        <x:v/>
      </x:c>
      <x:c r="CL26" s="595" t="str">
        <x:f t="shared" si="41"/>
        <x:v/>
      </x:c>
      <x:c r="CM26" s="596" t="str">
        <x:f t="shared" si="42"/>
        <x:v/>
      </x:c>
      <x:c r="CN26" s="597" t="str">
        <x:f t="shared" si="43"/>
        <x:v/>
      </x:c>
      <x:c r="CO26" s="598" t="str">
        <x:f t="shared" si="44"/>
        <x:v/>
      </x:c>
      <x:c r="CP26" s="615" t="str">
        <x:f t="shared" si="45"/>
        <x:v/>
      </x:c>
      <x:c r="CQ26" s="616" t="str">
        <x:f t="shared" si="46"/>
        <x:v/>
      </x:c>
      <x:c r="CR26" s="750">
        <x:f t="shared" si="47"/>
        <x:v>5</x:v>
      </x:c>
      <x:c r="CS26" s="751">
        <x:f t="shared" si="48"/>
        <x:v>5</x:v>
      </x:c>
      <x:c r="CU26" s="817" t="str">
        <x:f>IF(BG26="","",VLOOKUP(BG26,SectInfo!$B:$N,12,FALSE))</x:f>
        <x:v/>
      </x:c>
      <x:c r="CV26" s="815" t="str">
        <x:f>IF(BG26="","",IF(ISBLANK(BP26),VLOOKUP(BG26,SectInfo!$B:$N,13,FALSE),BP26))</x:f>
        <x:v/>
      </x:c>
      <x:c r="CW26" s="8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8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49"/>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50"/>
        <x:v>0</x:v>
      </x:c>
      <x:c r="DO26" s="818">
        <x:f t="shared" si="51"/>
        <x:v>0</x:v>
      </x:c>
      <x:c r="DP26" s="822" t="str">
        <x:f t="shared" si="52"/>
        <x:v/>
      </x:c>
      <x:c r="DQ26" s="822" t="str">
        <x:f t="shared" si="53"/>
        <x:v/>
      </x:c>
      <x:c r="DR26" s="822" t="str">
        <x:f t="shared" si="54"/>
        <x:v/>
      </x:c>
      <x:c r="DS26" s="821">
        <x:f t="shared" si="55"/>
        <x:v>0</x:v>
      </x:c>
      <x:c r="DT26" s="821">
        <x:f t="shared" si="56"/>
        <x:v>0</x:v>
      </x:c>
      <x:c r="DU26" s="821" t="str">
        <x:f t="shared" si="57"/>
        <x:v/>
      </x:c>
      <x:c r="DV26" s="822" t="str">
        <x:f t="shared" si="58"/>
        <x:v/>
      </x:c>
      <x:c r="DW26" s="856" t="str">
        <x:f t="shared" si="59"/>
        <x:v/>
      </x:c>
      <x:c r="DX26" s="1006">
        <x:f t="shared" si="60"/>
        <x:v>0</x:v>
      </x:c>
      <x:c r="DY26" s="822">
        <x:f t="shared" si="61"/>
        <x:v>0</x:v>
      </x:c>
      <x:c r="DZ26" s="821">
        <x:f t="shared" si="62"/>
        <x:v>0</x:v>
      </x:c>
      <x:c r="EA26" s="821" t="str">
        <x:f t="shared" si="63"/>
        <x:v/>
      </x:c>
      <x:c r="EB26" s="822" t="str">
        <x:f t="shared" si="64"/>
        <x:v/>
      </x:c>
      <x:c r="EC26" s="856" t="str">
        <x:f t="shared" si="65"/>
        <x:v/>
      </x:c>
      <x:c r="ED26" s="1006">
        <x:f t="shared" si="66"/>
        <x:v>0</x:v>
      </x:c>
      <x:c r="EE26" s="1293" t="str">
        <x:f t="shared" si="67"/>
        <x:v/>
      </x:c>
      <x:c r="EF26" s="1293" t="str">
        <x:f t="shared" si="68"/>
        <x:v/>
      </x:c>
      <x:c r="EG26" s="1293" t="str">
        <x:f t="shared" si="69"/>
        <x:v/>
      </x:c>
      <x:c r="EH26" s="856" t="str">
        <x:f t="shared" si="70"/>
        <x:v>ERR</x:v>
      </x:c>
      <x:c r="EI26" s="856" t="str">
        <x:f t="shared" si="71"/>
        <x:v>ERR</x:v>
      </x:c>
      <x:c r="EJ26" s="822" t="str">
        <x:f t="shared" si="72"/>
        <x:v/>
      </x:c>
      <x:c r="EK26" s="822" t="str">
        <x:f t="shared" si="72"/>
        <x:v/>
      </x:c>
      <x:c r="EL26" s="1293" t="str">
        <x:f t="shared" si="73"/>
        <x:v/>
      </x:c>
      <x:c r="EM26" s="822" t="str">
        <x:f t="shared" si="74"/>
        <x:v/>
      </x:c>
      <x:c r="EN26" s="822" t="str">
        <x:f t="shared" si="75"/>
        <x:v/>
      </x:c>
      <x:c r="EO26" s="856" t="str">
        <x:f t="shared" si="76"/>
        <x:v>ERR</x:v>
      </x:c>
      <x:c r="EP26" s="856" t="str">
        <x:f t="shared" si="77"/>
        <x:v>ERR</x:v>
      </x:c>
      <x:c r="EQ26" s="1293" t="str">
        <x:f t="shared" si="78"/>
        <x:v/>
      </x:c>
      <x:c r="ER26" s="822" t="str">
        <x:f t="shared" si="78"/>
        <x:v/>
      </x:c>
      <x:c r="ES26" s="822" t="str">
        <x:f t="shared" si="79"/>
        <x:v/>
      </x:c>
      <x:c r="ET26" s="822" t="str">
        <x:f t="shared" si="80"/>
        <x:v/>
      </x:c>
      <x:c r="EU26" s="829">
        <x:f t="shared" si="81"/>
        <x:v>4</x:v>
      </x:c>
      <x:c r="EV26" s="824" t="str">
        <x:f t="shared" si="82"/>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83"/>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84"/>
        <x:v/>
      </x:c>
      <x:c r="FD26" s="821">
        <x:f t="shared" si="107"/>
        <x:v>0</x:v>
      </x:c>
      <x:c r="FE26" s="821">
        <x:f t="shared" si="85"/>
        <x:v>0</x:v>
      </x:c>
      <x:c r="FF26" s="821">
        <x:f t="shared" si="86"/>
        <x:v>0</x:v>
      </x:c>
      <x:c r="FG26" s="821" t="str">
        <x:f t="shared" si="87"/>
        <x:v/>
      </x:c>
      <x:c r="FH26" s="822" t="str">
        <x:f t="shared" si="88"/>
        <x:v/>
      </x:c>
      <x:c r="FI26" s="821">
        <x:f t="shared" si="108"/>
        <x:v>0</x:v>
      </x:c>
      <x:c r="FJ26" s="821">
        <x:f t="shared" si="89"/>
        <x:v>0</x:v>
      </x:c>
      <x:c r="FK26" s="821">
        <x:f t="shared" si="90"/>
        <x:v>0</x:v>
      </x:c>
      <x:c r="FL26" s="821" t="str">
        <x:f t="shared" si="91"/>
        <x:v/>
      </x:c>
      <x:c r="FM26" s="822" t="str">
        <x:f t="shared" si="92"/>
        <x:v/>
      </x:c>
      <x:c r="FN26" s="822" t="e">
        <x:f t="shared" si="93"/>
        <x:v>#VALUE!</x:v>
      </x:c>
      <x:c r="FO26" s="940" t="e">
        <x:f t="shared" si="94"/>
        <x:v>#VALUE!</x:v>
      </x:c>
      <x:c r="FP26" s="940" t="e">
        <x:f t="shared" si="95"/>
        <x:v>#VALUE!</x:v>
      </x:c>
      <x:c r="FQ26" s="830" t="e">
        <x:f t="shared" si="96"/>
        <x:v>#VALUE!</x:v>
      </x:c>
      <x:c r="FR26" s="831" t="e">
        <x:f t="shared" si="97"/>
        <x:v>#VALUE!</x:v>
      </x:c>
      <x:c r="FS26" s="832" t="str">
        <x:f t="shared" si="98"/>
        <x:v/>
      </x:c>
      <x:c r="FT26" s="833" t="str">
        <x:f t="shared" si="99"/>
        <x:v/>
      </x:c>
      <x:c r="FU26" s="870">
        <x:f t="shared" si="100"/>
        <x:v>0</x:v>
      </x:c>
      <x:c r="FV26" s="871">
        <x:f t="shared" si="101"/>
        <x:v>0</x:v>
      </x:c>
      <x:c r="GA26" s="1791">
        <x:v>69</x:v>
      </x:c>
      <x:c r="GB26" s="1792">
        <x:v>2.25</x:v>
      </x:c>
      <x:c r="GC26" s="1793">
        <x:v>-0.25</x:v>
      </x:c>
      <x:c r="GD26" s="1794">
        <x:v>-0.5</x:v>
      </x:c>
      <x:c r="GE26" s="1795">
        <x:f t="shared" si="102"/>
        <x:v>0</x:v>
      </x:c>
      <x:c r="GF26" s="600" t="str">
        <x:f t="shared" si="103"/>
        <x:v>J52</x:v>
      </x:c>
      <x:c r="GG26" s="1130">
        <x:v>0</x:v>
      </x:c>
      <x:c r="GH26" s="1131">
        <x:v>0</x:v>
      </x:c>
      <x:c r="GI26" s="1130"/>
      <x:c r="GJ26" s="1131"/>
      <x:c r="GK26" s="1638">
        <x:f t="shared" si="104"/>
        <x:v>829.5</x:v>
      </x:c>
      <x:c r="GL26" s="1636">
        <x:f t="shared" si="105"/>
        <x:v>829.5</x:v>
      </x:c>
      <x:c r="GM26" s="1637">
        <x:f>IF(ABS(GK26-GL26)&gt;='Job Info.'!$L$22,ABS(GK26-GL26),0)</x:f>
        <x:v>0</x:v>
      </x:c>
      <x:c r="HA26" s="1269" t="s">
        <x:v>1482</x:v>
      </x:c>
      <x:c r="HB26" s="1270">
        <x:v>2</x:v>
      </x:c>
      <x:c r="HC26" s="1270" t="s">
        <x:v>1593</x:v>
      </x:c>
      <x:c r="HD26" s="1271">
        <x:v>69</x:v>
      </x:c>
      <x:c r="HE26" s="1272">
        <x:v>1.5</x:v>
      </x:c>
      <x:c r="HF26" s="1270" t="s">
        <x:v>116</x:v>
      </x:c>
      <x:c r="HG26" s="1270" t="s">
        <x:v>116</x:v>
      </x:c>
      <x:c r="HH26" s="1270" t="s">
        <x:v>116</x:v>
      </x:c>
      <x:c r="HI26" s="1273" t="s">
        <x:v>116</x:v>
      </x:c>
      <x:c r="HJ26" s="1270" t="s">
        <x:v>116</x:v>
      </x:c>
      <x:c r="HK26" s="1270" t="s">
        <x:v>116</x:v>
      </x:c>
      <x:c r="HL26" s="1270">
        <x:v>5</x:v>
      </x:c>
      <x:c r="HM26" s="1270">
        <x:v>5</x:v>
      </x:c>
      <x:c r="HN26" s="1270" t="s">
        <x:v>116</x:v>
      </x:c>
      <x:c r="HO26" s="1270" t="s">
        <x:v>116</x:v>
      </x:c>
      <x:c r="HP26" s="1270" t="s">
        <x:v>116</x:v>
      </x:c>
      <x:c r="HQ26" s="1273" t="s">
        <x:v>116</x:v>
      </x:c>
      <x:c r="HR26" s="1270" t="s">
        <x:v>116</x:v>
      </x:c>
      <x:c r="HS26" s="1270" t="s">
        <x:v>116</x:v>
      </x:c>
      <x:c r="HT26" s="1270">
        <x:v>0</x:v>
      </x:c>
      <x:c r="HU26" s="1270">
        <x:v>2.25</x:v>
      </x:c>
      <x:c r="HV26" s="1270">
        <x:v>0</x:v>
      </x:c>
      <x:c r="HW26" s="1272">
        <x:v>2</x:v>
      </x:c>
      <x:c r="HX26" s="1272">
        <x:v>4</x:v>
      </x:c>
      <x:c r="HY26" s="1272" t="s">
        <x:v>116</x:v>
      </x:c>
      <x:c r="HZ26" s="1272" t="s">
        <x:v>116</x:v>
      </x:c>
      <x:c r="IA26" s="1272" t="s">
        <x:v>1651</x:v>
      </x:c>
      <x:c r="IB26" s="1272"/>
      <x:c r="IC26" s="1272"/>
      <x:c r="ID26" s="1272"/>
      <x:c r="IE26" s="1272"/>
      <x:c r="IF26" s="1274"/>
    </x:row>
    <x:row r="27" spans="1:240" ht="12.6" customHeight="1" x14ac:dyDescent="0.25">
      <x:c r="A27" s="2764" t="s">
        <x:v>1483</x:v>
      </x:c>
      <x:c r="B27" s="2765">
        <x:v>50</x:v>
      </x:c>
      <x:c r="C27" s="2766" t="s">
        <x:v>1593</x:v>
      </x:c>
      <x:c r="D27" s="2767">
        <x:v>69</x:v>
      </x:c>
      <x:c r="E27" s="2768">
        <x:v>1.5</x:v>
      </x:c>
      <x:c r="F27" s="2776" t="str">
        <x:f t="shared" si="1"/>
        <x:v/>
      </x:c>
      <x:c r="G27" s="2771" t="str">
        <x:f t="shared" si="2"/>
        <x:v/>
      </x:c>
      <x:c r="H27" s="2842" t="str">
        <x:f t="shared" si="3"/>
        <x:v/>
      </x:c>
      <x:c r="I27" s="2767" t="str">
        <x:f t="shared" si="4"/>
        <x:v/>
      </x:c>
      <x:c r="J27" s="2771" t="str">
        <x:f t="shared" si="5"/>
        <x:v/>
      </x:c>
      <x:c r="K27" s="2855" t="str">
        <x:f t="shared" si="6"/>
        <x:v/>
      </x:c>
      <x:c r="L27" s="2774">
        <x:v>5</x:v>
      </x:c>
      <x:c r="M27" s="2775">
        <x:v>5</x:v>
      </x:c>
      <x:c r="N27" s="2770" t="str">
        <x:f t="shared" si="7"/>
        <x:v/>
      </x:c>
      <x:c r="O27" s="2771" t="str">
        <x:f t="shared" si="8"/>
        <x:v/>
      </x:c>
      <x:c r="P27" s="2772" t="str">
        <x:f t="shared" si="9"/>
        <x:v/>
      </x:c>
      <x:c r="Q27" s="2767" t="str">
        <x:f t="shared" si="10"/>
        <x:v/>
      </x:c>
      <x:c r="R27" s="2771" t="str">
        <x:f t="shared" si="11"/>
        <x:v/>
      </x:c>
      <x:c r="S27" s="2773" t="str">
        <x:f t="shared" si="12"/>
        <x:v/>
      </x:c>
      <x:c r="T27" s="2776">
        <x:v>0</x:v>
      </x:c>
      <x:c r="U27" s="2771">
        <x:v>2.25</x:v>
      </x:c>
      <x:c r="V27" s="2767">
        <x:v>0</x:v>
      </x:c>
      <x:c r="W27" s="2771">
        <x:v>2</x:v>
      </x:c>
      <x:c r="X27" s="2775">
        <x:v>4</x:v>
      </x:c>
      <x:c r="Y27" s="2844" t="str">
        <x:f t="shared" si="13"/>
        <x:v/>
      </x:c>
      <x:c r="Z27" s="2845" t="str">
        <x:f t="shared" si="14"/>
        <x:v/>
      </x:c>
      <x:c r="AA27" s="2846" t="s">
        <x:v>1653</x:v>
      </x:c>
      <x:c r="AB27" s="1413"/>
      <x:c r="AC27" s="964" t="b">
        <x:v>0</x:v>
      </x:c>
      <x:c r="AD27" s="441">
        <x:f t="shared" si="15"/>
        <x:v>0</x:v>
      </x:c>
      <x:c r="AE27" s="442">
        <x:f t="shared" si="16"/>
        <x:v>50</x:v>
      </x:c>
      <x:c r="AF27" s="442">
        <x:f t="shared" si="17"/>
        <x:v>0</x:v>
      </x:c>
      <x:c r="AG27" s="442">
        <x:f t="shared" si="18"/>
        <x:v>0</x:v>
      </x:c>
      <x:c r="AH27" s="443">
        <x:f t="shared" si="19"/>
        <x:v>0</x:v>
      </x:c>
      <x:c r="AI27" s="444" t="b">
        <x:v>0</x:v>
      </x:c>
      <x:c r="AJ27" s="238">
        <x:f t="shared" si="20"/>
        <x:v>44</x:v>
      </x:c>
      <x:c r="AK27" s="830" t="str">
        <x:f t="shared" si="21"/>
        <x:v>LH</x:v>
      </x:c>
      <x:c r="AL27" s="945" t="str">
        <x:f t="shared" si="22"/>
        <x:v/>
      </x:c>
      <x:c r="AM27" s="830">
        <x:f t="shared" si="23"/>
        <x:v>305</x:v>
      </x:c>
      <x:c r="AN27" s="830">
        <x:f t="shared" si="24"/>
        <x:v>180</x:v>
      </x:c>
      <x:c r="AO27" s="830" t="str">
        <x:f t="shared" si="25"/>
        <x:v/>
      </x:c>
      <x:c r="AP27" s="830" t="b">
        <x:f>IF(ISERROR(AJ27),FALSE,IF(OR(AJ27=0,ISERROR(AL27),ISERROR(AM27),ISERROR(AN27),ISERROR(AO27)),FALSE,IF(AL27&lt;&gt;"",IF(ISERROR(VLOOKUP(SUBSTITUTE(SUBSTITUTE(C27,"R",""),"A",""),TblJoistSize!$A:$A,1,FALSE)),FALSE,TRUE),TRUE)))</x:f>
        <x:v>1</x:v>
      </x:c>
      <x:c r="AQ27" s="1038">
        <x:f t="shared" si="26"/>
        <x:v>6</x:v>
      </x:c>
      <x:c r="AR27" s="945" t="b">
        <x:f t="shared" si="27"/>
        <x:v>1</x:v>
      </x:c>
      <x:c r="AS27" s="1038">
        <x:f t="shared" si="28"/>
        <x:v>6</x:v>
      </x:c>
      <x:c r="AT27" s="945" t="b">
        <x:f t="shared" si="29"/>
        <x:v>1</x:v>
      </x:c>
      <x:c r="AU27" s="946" t="str">
        <x:f t="shared" si="30"/>
        <x:v>LH</x:v>
      </x:c>
      <x:c r="AV27" s="830" t="str">
        <x:f t="shared" si="31"/>
        <x:v/>
      </x:c>
      <x:c r="AW27" s="830" t="str">
        <x:f t="shared" si="32"/>
        <x:v>LH</x:v>
      </x:c>
      <x:c r="AX27" s="830" t="str">
        <x:f t="shared" si="106"/>
        <x:v>J53</x:v>
      </x:c>
      <x:c r="AY27" s="1039" t="b">
        <x:f t="shared" si="33"/>
        <x:v>0</x:v>
      </x:c>
      <x:c r="AZ27" s="856" t="b">
        <x:f t="shared" si="34"/>
        <x:v>0</x:v>
      </x:c>
      <x:c r="BA27" s="549"/>
      <x:c r="BB27" s="672"/>
      <x:c r="BC27" s="1684"/>
      <x:c r="BD27" s="733"/>
      <x:c r="BE27" s="734"/>
      <x:c r="BF27" s="735"/>
      <x:c r="BG27" s="672"/>
      <x:c r="BH27" s="982"/>
      <x:c r="BI27" s="983"/>
      <x:c r="BJ27" s="1625"/>
      <x:c r="BK27" s="713"/>
      <x:c r="BL27" s="714"/>
      <x:c r="BM27" s="715"/>
      <x:c r="BN27" s="716"/>
      <x:c r="BO27" s="672" t="str">
        <x:f>IF(ISERROR(CU27),"",IF(CU27="","",IF(VLOOKUP(BG27,SectInfo!$B:$N,10,FALSE)="","","X")))</x:f>
        <x:v/>
      </x:c>
      <x:c r="BP27" s="738"/>
      <x:c r="BQ27" s="1551" t="str">
        <x:f t="shared" si="35"/>
        <x:v/>
      </x:c>
      <x:c r="BR27" s="910"/>
      <x:c r="BS27" s="672"/>
      <x:c r="BT27" s="713"/>
      <x:c r="BU27" s="714"/>
      <x:c r="BV27" s="1625"/>
      <x:c r="BW27" s="713"/>
      <x:c r="BX27" s="714"/>
      <x:c r="BY27" s="715"/>
      <x:c r="BZ27" s="716"/>
      <x:c r="CA27" s="680" t="str">
        <x:f>IF(ISERROR(DE27),"",IF(DE27="","",IF(VLOOKUP(BS27,SectInfo!$B:$N,10,FALSE)="","","X")))</x:f>
        <x:v/>
      </x:c>
      <x:c r="CB27" s="738"/>
      <x:c r="CC27" s="1551" t="str">
        <x:f t="shared" si="36"/>
        <x:v/>
      </x:c>
      <x:c r="CD27" s="910"/>
      <x:c r="CE27" s="717"/>
      <x:c r="CF27" s="736"/>
      <x:c r="CG27" s="737"/>
      <x:c r="CH27" s="591" t="str">
        <x:f t="shared" si="37"/>
        <x:v/>
      </x:c>
      <x:c r="CI27" s="592" t="str">
        <x:f t="shared" si="38"/>
        <x:v/>
      </x:c>
      <x:c r="CJ27" s="593" t="str">
        <x:f t="shared" si="39"/>
        <x:v/>
      </x:c>
      <x:c r="CK27" s="594" t="str">
        <x:f t="shared" si="40"/>
        <x:v/>
      </x:c>
      <x:c r="CL27" s="595" t="str">
        <x:f t="shared" si="41"/>
        <x:v/>
      </x:c>
      <x:c r="CM27" s="596" t="str">
        <x:f t="shared" si="42"/>
        <x:v/>
      </x:c>
      <x:c r="CN27" s="597" t="str">
        <x:f t="shared" si="43"/>
        <x:v/>
      </x:c>
      <x:c r="CO27" s="598" t="str">
        <x:f t="shared" si="44"/>
        <x:v/>
      </x:c>
      <x:c r="CP27" s="615" t="str">
        <x:f t="shared" si="45"/>
        <x:v/>
      </x:c>
      <x:c r="CQ27" s="616" t="str">
        <x:f t="shared" si="46"/>
        <x:v/>
      </x:c>
      <x:c r="CR27" s="750">
        <x:f t="shared" si="47"/>
        <x:v>5</x:v>
      </x:c>
      <x:c r="CS27" s="751">
        <x:f t="shared" si="48"/>
        <x:v>5</x:v>
      </x:c>
      <x:c r="CU27" s="817" t="str">
        <x:f>IF(BG27="","",VLOOKUP(BG27,SectInfo!$B:$N,12,FALSE))</x:f>
        <x:v/>
      </x:c>
      <x:c r="CV27" s="815" t="str">
        <x:f>IF(BG27="","",IF(ISBLANK(BP27),VLOOKUP(BG27,SectInfo!$B:$N,13,FALSE),BP27))</x:f>
        <x:v/>
      </x:c>
      <x:c r="CW27" s="8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8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49"/>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50"/>
        <x:v>0</x:v>
      </x:c>
      <x:c r="DO27" s="818">
        <x:f t="shared" si="51"/>
        <x:v>0</x:v>
      </x:c>
      <x:c r="DP27" s="822" t="str">
        <x:f t="shared" si="52"/>
        <x:v/>
      </x:c>
      <x:c r="DQ27" s="822" t="str">
        <x:f t="shared" si="53"/>
        <x:v/>
      </x:c>
      <x:c r="DR27" s="822" t="str">
        <x:f t="shared" si="54"/>
        <x:v/>
      </x:c>
      <x:c r="DS27" s="821">
        <x:f t="shared" si="55"/>
        <x:v>0</x:v>
      </x:c>
      <x:c r="DT27" s="821">
        <x:f t="shared" si="56"/>
        <x:v>0</x:v>
      </x:c>
      <x:c r="DU27" s="821" t="str">
        <x:f t="shared" si="57"/>
        <x:v/>
      </x:c>
      <x:c r="DV27" s="822" t="str">
        <x:f t="shared" si="58"/>
        <x:v/>
      </x:c>
      <x:c r="DW27" s="856" t="str">
        <x:f t="shared" si="59"/>
        <x:v/>
      </x:c>
      <x:c r="DX27" s="1006">
        <x:f t="shared" si="60"/>
        <x:v>0</x:v>
      </x:c>
      <x:c r="DY27" s="822">
        <x:f t="shared" si="61"/>
        <x:v>0</x:v>
      </x:c>
      <x:c r="DZ27" s="821">
        <x:f t="shared" si="62"/>
        <x:v>0</x:v>
      </x:c>
      <x:c r="EA27" s="821" t="str">
        <x:f t="shared" si="63"/>
        <x:v/>
      </x:c>
      <x:c r="EB27" s="822" t="str">
        <x:f t="shared" si="64"/>
        <x:v/>
      </x:c>
      <x:c r="EC27" s="856" t="str">
        <x:f t="shared" si="65"/>
        <x:v/>
      </x:c>
      <x:c r="ED27" s="1006">
        <x:f t="shared" si="66"/>
        <x:v>0</x:v>
      </x:c>
      <x:c r="EE27" s="1293" t="str">
        <x:f t="shared" si="67"/>
        <x:v/>
      </x:c>
      <x:c r="EF27" s="1293" t="str">
        <x:f t="shared" si="68"/>
        <x:v/>
      </x:c>
      <x:c r="EG27" s="1293" t="str">
        <x:f t="shared" si="69"/>
        <x:v/>
      </x:c>
      <x:c r="EH27" s="856" t="str">
        <x:f t="shared" si="70"/>
        <x:v>ERR</x:v>
      </x:c>
      <x:c r="EI27" s="856" t="str">
        <x:f t="shared" si="71"/>
        <x:v>ERR</x:v>
      </x:c>
      <x:c r="EJ27" s="822" t="str">
        <x:f t="shared" si="72"/>
        <x:v/>
      </x:c>
      <x:c r="EK27" s="822" t="str">
        <x:f t="shared" si="72"/>
        <x:v/>
      </x:c>
      <x:c r="EL27" s="1293" t="str">
        <x:f t="shared" si="73"/>
        <x:v/>
      </x:c>
      <x:c r="EM27" s="822" t="str">
        <x:f t="shared" si="74"/>
        <x:v/>
      </x:c>
      <x:c r="EN27" s="822" t="str">
        <x:f t="shared" si="75"/>
        <x:v/>
      </x:c>
      <x:c r="EO27" s="856" t="str">
        <x:f t="shared" si="76"/>
        <x:v>ERR</x:v>
      </x:c>
      <x:c r="EP27" s="856" t="str">
        <x:f t="shared" si="77"/>
        <x:v>ERR</x:v>
      </x:c>
      <x:c r="EQ27" s="1293" t="str">
        <x:f t="shared" si="78"/>
        <x:v/>
      </x:c>
      <x:c r="ER27" s="822" t="str">
        <x:f t="shared" si="78"/>
        <x:v/>
      </x:c>
      <x:c r="ES27" s="822" t="str">
        <x:f t="shared" si="79"/>
        <x:v/>
      </x:c>
      <x:c r="ET27" s="822" t="str">
        <x:f t="shared" si="80"/>
        <x:v/>
      </x:c>
      <x:c r="EU27" s="829">
        <x:f t="shared" si="81"/>
        <x:v>4</x:v>
      </x:c>
      <x:c r="EV27" s="824" t="str">
        <x:f t="shared" si="82"/>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83"/>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84"/>
        <x:v/>
      </x:c>
      <x:c r="FD27" s="821">
        <x:f t="shared" si="107"/>
        <x:v>0</x:v>
      </x:c>
      <x:c r="FE27" s="821">
        <x:f t="shared" si="85"/>
        <x:v>0</x:v>
      </x:c>
      <x:c r="FF27" s="821">
        <x:f t="shared" si="86"/>
        <x:v>0</x:v>
      </x:c>
      <x:c r="FG27" s="821" t="str">
        <x:f t="shared" si="87"/>
        <x:v/>
      </x:c>
      <x:c r="FH27" s="822" t="str">
        <x:f t="shared" si="88"/>
        <x:v/>
      </x:c>
      <x:c r="FI27" s="821">
        <x:f t="shared" si="108"/>
        <x:v>0</x:v>
      </x:c>
      <x:c r="FJ27" s="821">
        <x:f t="shared" si="89"/>
        <x:v>0</x:v>
      </x:c>
      <x:c r="FK27" s="821">
        <x:f t="shared" si="90"/>
        <x:v>0</x:v>
      </x:c>
      <x:c r="FL27" s="821" t="str">
        <x:f t="shared" si="91"/>
        <x:v/>
      </x:c>
      <x:c r="FM27" s="822" t="str">
        <x:f t="shared" si="92"/>
        <x:v/>
      </x:c>
      <x:c r="FN27" s="822" t="e">
        <x:f t="shared" si="93"/>
        <x:v>#VALUE!</x:v>
      </x:c>
      <x:c r="FO27" s="940" t="e">
        <x:f t="shared" si="94"/>
        <x:v>#VALUE!</x:v>
      </x:c>
      <x:c r="FP27" s="940" t="e">
        <x:f t="shared" si="95"/>
        <x:v>#VALUE!</x:v>
      </x:c>
      <x:c r="FQ27" s="830" t="e">
        <x:f t="shared" si="96"/>
        <x:v>#VALUE!</x:v>
      </x:c>
      <x:c r="FR27" s="831" t="e">
        <x:f t="shared" si="97"/>
        <x:v>#VALUE!</x:v>
      </x:c>
      <x:c r="FS27" s="832" t="str">
        <x:f t="shared" si="98"/>
        <x:v/>
      </x:c>
      <x:c r="FT27" s="833" t="str">
        <x:f t="shared" si="99"/>
        <x:v/>
      </x:c>
      <x:c r="FU27" s="870">
        <x:f t="shared" si="100"/>
        <x:v>0</x:v>
      </x:c>
      <x:c r="FV27" s="871">
        <x:f t="shared" si="101"/>
        <x:v>0</x:v>
      </x:c>
      <x:c r="GA27" s="1791">
        <x:v>69</x:v>
      </x:c>
      <x:c r="GB27" s="1792">
        <x:v>2.25</x:v>
      </x:c>
      <x:c r="GC27" s="1793">
        <x:v>-0.25</x:v>
      </x:c>
      <x:c r="GD27" s="1794">
        <x:v>-0.5</x:v>
      </x:c>
      <x:c r="GE27" s="1795">
        <x:f t="shared" si="102"/>
        <x:v>0</x:v>
      </x:c>
      <x:c r="GF27" s="600" t="str">
        <x:f t="shared" si="103"/>
        <x:v>J53</x:v>
      </x:c>
      <x:c r="GG27" s="1130">
        <x:v>0</x:v>
      </x:c>
      <x:c r="GH27" s="1131">
        <x:v>0</x:v>
      </x:c>
      <x:c r="GI27" s="1130"/>
      <x:c r="GJ27" s="1131"/>
      <x:c r="GK27" s="1638">
        <x:f t="shared" si="104"/>
        <x:v>829.5</x:v>
      </x:c>
      <x:c r="GL27" s="1636">
        <x:f t="shared" si="105"/>
        <x:v>829.5</x:v>
      </x:c>
      <x:c r="GM27" s="1637">
        <x:f>IF(ABS(GK27-GL27)&gt;='Job Info.'!$L$22,ABS(GK27-GL27),0)</x:f>
        <x:v>0</x:v>
      </x:c>
      <x:c r="HA27" s="1269" t="s">
        <x:v>1483</x:v>
      </x:c>
      <x:c r="HB27" s="1270">
        <x:v>50</x:v>
      </x:c>
      <x:c r="HC27" s="1270" t="s">
        <x:v>1593</x:v>
      </x:c>
      <x:c r="HD27" s="1271">
        <x:v>69</x:v>
      </x:c>
      <x:c r="HE27" s="1272">
        <x:v>1.5</x:v>
      </x:c>
      <x:c r="HF27" s="1270" t="s">
        <x:v>116</x:v>
      </x:c>
      <x:c r="HG27" s="1270" t="s">
        <x:v>116</x:v>
      </x:c>
      <x:c r="HH27" s="1270" t="s">
        <x:v>116</x:v>
      </x:c>
      <x:c r="HI27" s="1273" t="s">
        <x:v>116</x:v>
      </x:c>
      <x:c r="HJ27" s="1270" t="s">
        <x:v>116</x:v>
      </x:c>
      <x:c r="HK27" s="1270" t="s">
        <x:v>116</x:v>
      </x:c>
      <x:c r="HL27" s="1270">
        <x:v>5</x:v>
      </x:c>
      <x:c r="HM27" s="1270">
        <x:v>5</x:v>
      </x:c>
      <x:c r="HN27" s="1270" t="s">
        <x:v>116</x:v>
      </x:c>
      <x:c r="HO27" s="1270" t="s">
        <x:v>116</x:v>
      </x:c>
      <x:c r="HP27" s="1270" t="s">
        <x:v>116</x:v>
      </x:c>
      <x:c r="HQ27" s="1273" t="s">
        <x:v>116</x:v>
      </x:c>
      <x:c r="HR27" s="1270" t="s">
        <x:v>116</x:v>
      </x:c>
      <x:c r="HS27" s="1270" t="s">
        <x:v>116</x:v>
      </x:c>
      <x:c r="HT27" s="1270">
        <x:v>0</x:v>
      </x:c>
      <x:c r="HU27" s="1270">
        <x:v>2.25</x:v>
      </x:c>
      <x:c r="HV27" s="1270">
        <x:v>0</x:v>
      </x:c>
      <x:c r="HW27" s="1272">
        <x:v>2</x:v>
      </x:c>
      <x:c r="HX27" s="1272">
        <x:v>4</x:v>
      </x:c>
      <x:c r="HY27" s="1272" t="s">
        <x:v>116</x:v>
      </x:c>
      <x:c r="HZ27" s="1272" t="s">
        <x:v>116</x:v>
      </x:c>
      <x:c r="IA27" s="1272" t="s">
        <x:v>1653</x:v>
      </x:c>
      <x:c r="IB27" s="1272"/>
      <x:c r="IC27" s="1272"/>
      <x:c r="ID27" s="1272"/>
      <x:c r="IE27" s="1272"/>
      <x:c r="IF27" s="1274"/>
    </x:row>
    <x:row r="28" spans="1:240" ht="12.6" customHeight="1" x14ac:dyDescent="0.25">
      <x:c r="A28" s="2764" t="s">
        <x:v>1484</x:v>
      </x:c>
      <x:c r="B28" s="2765">
        <x:v>6</x:v>
      </x:c>
      <x:c r="C28" s="2766" t="s">
        <x:v>1593</x:v>
      </x:c>
      <x:c r="D28" s="2767">
        <x:v>69</x:v>
      </x:c>
      <x:c r="E28" s="2768">
        <x:v>1.5</x:v>
      </x:c>
      <x:c r="F28" s="2776" t="str">
        <x:f t="shared" si="1"/>
        <x:v/>
      </x:c>
      <x:c r="G28" s="2771" t="str">
        <x:f t="shared" si="2"/>
        <x:v/>
      </x:c>
      <x:c r="H28" s="2842" t="str">
        <x:f t="shared" si="3"/>
        <x:v/>
      </x:c>
      <x:c r="I28" s="2767" t="str">
        <x:f t="shared" si="4"/>
        <x:v/>
      </x:c>
      <x:c r="J28" s="2771" t="str">
        <x:f t="shared" si="5"/>
        <x:v/>
      </x:c>
      <x:c r="K28" s="2855" t="str">
        <x:f t="shared" si="6"/>
        <x:v/>
      </x:c>
      <x:c r="L28" s="2774">
        <x:v>5</x:v>
      </x:c>
      <x:c r="M28" s="2775">
        <x:v>5</x:v>
      </x:c>
      <x:c r="N28" s="2770">
        <x:v>0</x:v>
      </x:c>
      <x:c r="O28" s="2771">
        <x:v>6.75</x:v>
      </x:c>
      <x:c r="P28" s="2772">
        <x:v>2</x:v>
      </x:c>
      <x:c r="Q28" s="2767" t="str">
        <x:f t="shared" si="10"/>
        <x:v/>
      </x:c>
      <x:c r="R28" s="2771" t="str">
        <x:f t="shared" si="11"/>
        <x:v/>
      </x:c>
      <x:c r="S28" s="2773" t="str">
        <x:f t="shared" si="12"/>
        <x:v/>
      </x:c>
      <x:c r="T28" s="2776">
        <x:v>0</x:v>
      </x:c>
      <x:c r="U28" s="2771">
        <x:v>2.25</x:v>
      </x:c>
      <x:c r="V28" s="2767">
        <x:v>0</x:v>
      </x:c>
      <x:c r="W28" s="2771">
        <x:v>2</x:v>
      </x:c>
      <x:c r="X28" s="2775">
        <x:v>4</x:v>
      </x:c>
      <x:c r="Y28" s="2844" t="str">
        <x:f t="shared" si="13"/>
        <x:v/>
      </x:c>
      <x:c r="Z28" s="2845" t="str">
        <x:f t="shared" si="14"/>
        <x:v/>
      </x:c>
      <x:c r="AA28" s="2846" t="s">
        <x:v>1653</x:v>
      </x:c>
      <x:c r="AB28" s="1413"/>
      <x:c r="AC28" s="964" t="b">
        <x:v>0</x:v>
      </x:c>
      <x:c r="AD28" s="441">
        <x:f t="shared" si="15"/>
        <x:v>0</x:v>
      </x:c>
      <x:c r="AE28" s="442">
        <x:f t="shared" si="16"/>
        <x:v>6</x:v>
      </x:c>
      <x:c r="AF28" s="442">
        <x:f t="shared" si="17"/>
        <x:v>0</x:v>
      </x:c>
      <x:c r="AG28" s="442">
        <x:f t="shared" si="18"/>
        <x:v>0</x:v>
      </x:c>
      <x:c r="AH28" s="443">
        <x:f t="shared" si="19"/>
        <x:v>0</x:v>
      </x:c>
      <x:c r="AI28" s="444" t="b">
        <x:v>0</x:v>
      </x:c>
      <x:c r="AJ28" s="238">
        <x:f t="shared" si="20"/>
        <x:v>44</x:v>
      </x:c>
      <x:c r="AK28" s="830" t="str">
        <x:f t="shared" si="21"/>
        <x:v>LH</x:v>
      </x:c>
      <x:c r="AL28" s="945" t="str">
        <x:f t="shared" si="22"/>
        <x:v/>
      </x:c>
      <x:c r="AM28" s="830">
        <x:f t="shared" si="23"/>
        <x:v>305</x:v>
      </x:c>
      <x:c r="AN28" s="830">
        <x:f t="shared" si="24"/>
        <x:v>180</x:v>
      </x:c>
      <x:c r="AO28" s="830" t="str">
        <x:f t="shared" si="25"/>
        <x:v/>
      </x:c>
      <x:c r="AP28" s="830" t="b">
        <x:f>IF(ISERROR(AJ28),FALSE,IF(OR(AJ28=0,ISERROR(AL28),ISERROR(AM28),ISERROR(AN28),ISERROR(AO28)),FALSE,IF(AL28&lt;&gt;"",IF(ISERROR(VLOOKUP(SUBSTITUTE(SUBSTITUTE(C28,"R",""),"A",""),TblJoistSize!$A:$A,1,FALSE)),FALSE,TRUE),TRUE)))</x:f>
        <x:v>1</x:v>
      </x:c>
      <x:c r="AQ28" s="1038">
        <x:f t="shared" si="26"/>
        <x:v>6</x:v>
      </x:c>
      <x:c r="AR28" s="945" t="b">
        <x:f t="shared" si="27"/>
        <x:v>1</x:v>
      </x:c>
      <x:c r="AS28" s="1038">
        <x:f t="shared" si="28"/>
        <x:v>6</x:v>
      </x:c>
      <x:c r="AT28" s="945" t="b">
        <x:f t="shared" si="29"/>
        <x:v>1</x:v>
      </x:c>
      <x:c r="AU28" s="946" t="str">
        <x:f t="shared" si="30"/>
        <x:v>LH</x:v>
      </x:c>
      <x:c r="AV28" s="830" t="str">
        <x:f t="shared" si="31"/>
        <x:v/>
      </x:c>
      <x:c r="AW28" s="830" t="str">
        <x:f t="shared" si="32"/>
        <x:v>LH</x:v>
      </x:c>
      <x:c r="AX28" s="830" t="str">
        <x:f t="shared" si="106"/>
        <x:v>TJ54</x:v>
      </x:c>
      <x:c r="AY28" s="1039" t="b">
        <x:f t="shared" si="33"/>
        <x:v>0</x:v>
      </x:c>
      <x:c r="AZ28" s="856" t="b">
        <x:f t="shared" si="34"/>
        <x:v>0</x:v>
      </x:c>
      <x:c r="BA28" s="549"/>
      <x:c r="BB28" s="672"/>
      <x:c r="BC28" s="1684"/>
      <x:c r="BD28" s="733"/>
      <x:c r="BE28" s="734"/>
      <x:c r="BF28" s="735"/>
      <x:c r="BG28" s="672"/>
      <x:c r="BH28" s="982"/>
      <x:c r="BI28" s="983"/>
      <x:c r="BJ28" s="1625"/>
      <x:c r="BK28" s="713"/>
      <x:c r="BL28" s="714"/>
      <x:c r="BM28" s="715"/>
      <x:c r="BN28" s="716"/>
      <x:c r="BO28" s="672" t="str">
        <x:f>IF(ISERROR(CU28),"",IF(CU28="","",IF(VLOOKUP(BG28,SectInfo!$B:$N,10,FALSE)="","","X")))</x:f>
        <x:v/>
      </x:c>
      <x:c r="BP28" s="738"/>
      <x:c r="BQ28" s="1551" t="str">
        <x:f t="shared" si="35"/>
        <x:v/>
      </x:c>
      <x:c r="BR28" s="910"/>
      <x:c r="BS28" s="672"/>
      <x:c r="BT28" s="713"/>
      <x:c r="BU28" s="714"/>
      <x:c r="BV28" s="1625"/>
      <x:c r="BW28" s="713"/>
      <x:c r="BX28" s="714"/>
      <x:c r="BY28" s="715"/>
      <x:c r="BZ28" s="716"/>
      <x:c r="CA28" s="680" t="str">
        <x:f>IF(ISERROR(DE28),"",IF(DE28="","",IF(VLOOKUP(BS28,SectInfo!$B:$N,10,FALSE)="","","X")))</x:f>
        <x:v/>
      </x:c>
      <x:c r="CB28" s="738"/>
      <x:c r="CC28" s="1551" t="str">
        <x:f t="shared" si="36"/>
        <x:v/>
      </x:c>
      <x:c r="CD28" s="910"/>
      <x:c r="CE28" s="717"/>
      <x:c r="CF28" s="736"/>
      <x:c r="CG28" s="737"/>
      <x:c r="CH28" s="591" t="str">
        <x:f t="shared" si="37"/>
        <x:v/>
      </x:c>
      <x:c r="CI28" s="592" t="str">
        <x:f t="shared" si="38"/>
        <x:v/>
      </x:c>
      <x:c r="CJ28" s="593" t="str">
        <x:f t="shared" si="39"/>
        <x:v/>
      </x:c>
      <x:c r="CK28" s="594" t="str">
        <x:f t="shared" si="40"/>
        <x:v/>
      </x:c>
      <x:c r="CL28" s="595" t="str">
        <x:f t="shared" si="41"/>
        <x:v/>
      </x:c>
      <x:c r="CM28" s="596" t="str">
        <x:f t="shared" si="42"/>
        <x:v/>
      </x:c>
      <x:c r="CN28" s="597" t="str">
        <x:f t="shared" si="43"/>
        <x:v/>
      </x:c>
      <x:c r="CO28" s="598" t="str">
        <x:f t="shared" si="44"/>
        <x:v/>
      </x:c>
      <x:c r="CP28" s="615" t="str">
        <x:f t="shared" si="45"/>
        <x:v/>
      </x:c>
      <x:c r="CQ28" s="616" t="str">
        <x:f t="shared" si="46"/>
        <x:v/>
      </x:c>
      <x:c r="CR28" s="750">
        <x:f t="shared" si="47"/>
        <x:v>5</x:v>
      </x:c>
      <x:c r="CS28" s="751">
        <x:f t="shared" si="48"/>
        <x:v>5</x:v>
      </x:c>
      <x:c r="CU28" s="817" t="str">
        <x:f>IF(BG28="","",VLOOKUP(BG28,SectInfo!$B:$N,12,FALSE))</x:f>
        <x:v/>
      </x:c>
      <x:c r="CV28" s="815" t="str">
        <x:f>IF(BG28="","",IF(ISBLANK(BP28),VLOOKUP(BG28,SectInfo!$B:$N,13,FALSE),BP28))</x:f>
        <x:v/>
      </x:c>
      <x:c r="CW28" s="8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8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49"/>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50"/>
        <x:v>0</x:v>
      </x:c>
      <x:c r="DO28" s="818">
        <x:f t="shared" si="51"/>
        <x:v>0</x:v>
      </x:c>
      <x:c r="DP28" s="822" t="str">
        <x:f t="shared" si="52"/>
        <x:v/>
      </x:c>
      <x:c r="DQ28" s="822" t="str">
        <x:f t="shared" si="53"/>
        <x:v/>
      </x:c>
      <x:c r="DR28" s="822" t="str">
        <x:f t="shared" si="54"/>
        <x:v/>
      </x:c>
      <x:c r="DS28" s="821">
        <x:f t="shared" si="55"/>
        <x:v>0</x:v>
      </x:c>
      <x:c r="DT28" s="821">
        <x:f t="shared" si="56"/>
        <x:v>0</x:v>
      </x:c>
      <x:c r="DU28" s="821" t="str">
        <x:f t="shared" si="57"/>
        <x:v/>
      </x:c>
      <x:c r="DV28" s="822" t="str">
        <x:f t="shared" si="58"/>
        <x:v/>
      </x:c>
      <x:c r="DW28" s="856" t="str">
        <x:f t="shared" si="59"/>
        <x:v/>
      </x:c>
      <x:c r="DX28" s="1006">
        <x:f t="shared" si="60"/>
        <x:v>0</x:v>
      </x:c>
      <x:c r="DY28" s="822">
        <x:f t="shared" si="61"/>
        <x:v>0</x:v>
      </x:c>
      <x:c r="DZ28" s="821">
        <x:f t="shared" si="62"/>
        <x:v>0</x:v>
      </x:c>
      <x:c r="EA28" s="821" t="str">
        <x:f t="shared" si="63"/>
        <x:v/>
      </x:c>
      <x:c r="EB28" s="822" t="str">
        <x:f t="shared" si="64"/>
        <x:v/>
      </x:c>
      <x:c r="EC28" s="856" t="str">
        <x:f t="shared" si="65"/>
        <x:v/>
      </x:c>
      <x:c r="ED28" s="1006">
        <x:f t="shared" si="66"/>
        <x:v>0</x:v>
      </x:c>
      <x:c r="EE28" s="1293" t="str">
        <x:f t="shared" si="67"/>
        <x:v/>
      </x:c>
      <x:c r="EF28" s="1293" t="str">
        <x:f t="shared" si="68"/>
        <x:v/>
      </x:c>
      <x:c r="EG28" s="1293" t="str">
        <x:f t="shared" si="69"/>
        <x:v/>
      </x:c>
      <x:c r="EH28" s="856" t="str">
        <x:f t="shared" si="70"/>
        <x:v>ERR</x:v>
      </x:c>
      <x:c r="EI28" s="856" t="str">
        <x:f t="shared" si="71"/>
        <x:v>ERR</x:v>
      </x:c>
      <x:c r="EJ28" s="822" t="str">
        <x:f t="shared" si="72"/>
        <x:v/>
      </x:c>
      <x:c r="EK28" s="822" t="str">
        <x:f t="shared" si="72"/>
        <x:v/>
      </x:c>
      <x:c r="EL28" s="1293" t="str">
        <x:f t="shared" si="73"/>
        <x:v/>
      </x:c>
      <x:c r="EM28" s="822" t="str">
        <x:f t="shared" si="74"/>
        <x:v/>
      </x:c>
      <x:c r="EN28" s="822" t="str">
        <x:f t="shared" si="75"/>
        <x:v/>
      </x:c>
      <x:c r="EO28" s="856" t="str">
        <x:f t="shared" si="76"/>
        <x:v>ERR</x:v>
      </x:c>
      <x:c r="EP28" s="856" t="str">
        <x:f t="shared" si="77"/>
        <x:v>ERR</x:v>
      </x:c>
      <x:c r="EQ28" s="1293" t="str">
        <x:f t="shared" si="78"/>
        <x:v/>
      </x:c>
      <x:c r="ER28" s="822" t="str">
        <x:f t="shared" si="78"/>
        <x:v/>
      </x:c>
      <x:c r="ES28" s="822" t="str">
        <x:f t="shared" si="79"/>
        <x:v/>
      </x:c>
      <x:c r="ET28" s="822" t="str">
        <x:f t="shared" si="80"/>
        <x:v/>
      </x:c>
      <x:c r="EU28" s="829">
        <x:f t="shared" si="81"/>
        <x:v>4</x:v>
      </x:c>
      <x:c r="EV28" s="824" t="str">
        <x:f t="shared" si="82"/>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83"/>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84"/>
        <x:v/>
      </x:c>
      <x:c r="FD28" s="821">
        <x:f t="shared" si="107"/>
        <x:v>0</x:v>
      </x:c>
      <x:c r="FE28" s="821">
        <x:f t="shared" si="85"/>
        <x:v>0</x:v>
      </x:c>
      <x:c r="FF28" s="821">
        <x:f t="shared" si="86"/>
        <x:v>0</x:v>
      </x:c>
      <x:c r="FG28" s="821" t="str">
        <x:f t="shared" si="87"/>
        <x:v/>
      </x:c>
      <x:c r="FH28" s="822" t="str">
        <x:f t="shared" si="88"/>
        <x:v/>
      </x:c>
      <x:c r="FI28" s="821">
        <x:f t="shared" si="108"/>
        <x:v>0</x:v>
      </x:c>
      <x:c r="FJ28" s="821">
        <x:f t="shared" si="89"/>
        <x:v>0</x:v>
      </x:c>
      <x:c r="FK28" s="821">
        <x:f t="shared" si="90"/>
        <x:v>0</x:v>
      </x:c>
      <x:c r="FL28" s="821" t="str">
        <x:f t="shared" si="91"/>
        <x:v/>
      </x:c>
      <x:c r="FM28" s="822" t="str">
        <x:f t="shared" si="92"/>
        <x:v/>
      </x:c>
      <x:c r="FN28" s="822" t="e">
        <x:f t="shared" si="93"/>
        <x:v>#VALUE!</x:v>
      </x:c>
      <x:c r="FO28" s="940" t="e">
        <x:f t="shared" si="94"/>
        <x:v>#VALUE!</x:v>
      </x:c>
      <x:c r="FP28" s="940" t="e">
        <x:f t="shared" si="95"/>
        <x:v>#VALUE!</x:v>
      </x:c>
      <x:c r="FQ28" s="830" t="e">
        <x:f t="shared" si="96"/>
        <x:v>#VALUE!</x:v>
      </x:c>
      <x:c r="FR28" s="831" t="e">
        <x:f t="shared" si="97"/>
        <x:v>#VALUE!</x:v>
      </x:c>
      <x:c r="FS28" s="832" t="str">
        <x:f t="shared" si="98"/>
        <x:v/>
      </x:c>
      <x:c r="FT28" s="833" t="str">
        <x:f t="shared" si="99"/>
        <x:v/>
      </x:c>
      <x:c r="FU28" s="870">
        <x:f t="shared" si="100"/>
        <x:v>0</x:v>
      </x:c>
      <x:c r="FV28" s="871">
        <x:f t="shared" si="101"/>
        <x:v>0</x:v>
      </x:c>
      <x:c r="GA28" s="1791">
        <x:v>69</x:v>
      </x:c>
      <x:c r="GB28" s="1792">
        <x:v>2.25</x:v>
      </x:c>
      <x:c r="GC28" s="1793">
        <x:v>-0.25</x:v>
      </x:c>
      <x:c r="GD28" s="1794">
        <x:v>-0.5</x:v>
      </x:c>
      <x:c r="GE28" s="1795">
        <x:f t="shared" si="102"/>
        <x:v>0</x:v>
      </x:c>
      <x:c r="GF28" s="600" t="str">
        <x:f t="shared" si="103"/>
        <x:v>TJ54</x:v>
      </x:c>
      <x:c r="GG28" s="1130">
        <x:v>0</x:v>
      </x:c>
      <x:c r="GH28" s="1131">
        <x:v>0</x:v>
      </x:c>
      <x:c r="GI28" s="1130"/>
      <x:c r="GJ28" s="1131"/>
      <x:c r="GK28" s="1638">
        <x:f t="shared" si="104"/>
        <x:v>829.5</x:v>
      </x:c>
      <x:c r="GL28" s="1636">
        <x:f t="shared" si="105"/>
        <x:v>829.5</x:v>
      </x:c>
      <x:c r="GM28" s="1637">
        <x:f>IF(ABS(GK28-GL28)&gt;='Job Info.'!$L$22,ABS(GK28-GL28),0)</x:f>
        <x:v>0</x:v>
      </x:c>
      <x:c r="HA28" s="1269" t="s">
        <x:v>1484</x:v>
      </x:c>
      <x:c r="HB28" s="1270">
        <x:v>6</x:v>
      </x:c>
      <x:c r="HC28" s="1270" t="s">
        <x:v>1593</x:v>
      </x:c>
      <x:c r="HD28" s="1271">
        <x:v>69</x:v>
      </x:c>
      <x:c r="HE28" s="1272">
        <x:v>1.5</x:v>
      </x:c>
      <x:c r="HF28" s="1270" t="s">
        <x:v>116</x:v>
      </x:c>
      <x:c r="HG28" s="1270" t="s">
        <x:v>116</x:v>
      </x:c>
      <x:c r="HH28" s="1270" t="s">
        <x:v>116</x:v>
      </x:c>
      <x:c r="HI28" s="1273" t="s">
        <x:v>116</x:v>
      </x:c>
      <x:c r="HJ28" s="1270" t="s">
        <x:v>116</x:v>
      </x:c>
      <x:c r="HK28" s="1270" t="s">
        <x:v>116</x:v>
      </x:c>
      <x:c r="HL28" s="1270">
        <x:v>5</x:v>
      </x:c>
      <x:c r="HM28" s="1270">
        <x:v>5</x:v>
      </x:c>
      <x:c r="HN28" s="1270">
        <x:v>0</x:v>
      </x:c>
      <x:c r="HO28" s="1270">
        <x:v>6.75</x:v>
      </x:c>
      <x:c r="HP28" s="1270">
        <x:v>2</x:v>
      </x:c>
      <x:c r="HQ28" s="1273" t="s">
        <x:v>116</x:v>
      </x:c>
      <x:c r="HR28" s="1270" t="s">
        <x:v>116</x:v>
      </x:c>
      <x:c r="HS28" s="1270" t="s">
        <x:v>116</x:v>
      </x:c>
      <x:c r="HT28" s="1270">
        <x:v>0</x:v>
      </x:c>
      <x:c r="HU28" s="1270">
        <x:v>2.25</x:v>
      </x:c>
      <x:c r="HV28" s="1270">
        <x:v>0</x:v>
      </x:c>
      <x:c r="HW28" s="1272">
        <x:v>2</x:v>
      </x:c>
      <x:c r="HX28" s="1272">
        <x:v>4</x:v>
      </x:c>
      <x:c r="HY28" s="1272" t="s">
        <x:v>116</x:v>
      </x:c>
      <x:c r="HZ28" s="1272" t="s">
        <x:v>116</x:v>
      </x:c>
      <x:c r="IA28" s="1272" t="s">
        <x:v>1653</x:v>
      </x:c>
      <x:c r="IB28" s="1272"/>
      <x:c r="IC28" s="1272"/>
      <x:c r="ID28" s="1272"/>
      <x:c r="IE28" s="1272"/>
      <x:c r="IF28" s="1274"/>
    </x:row>
    <x:row r="29" spans="1:240" ht="12.6" customHeight="1" x14ac:dyDescent="0.25">
      <x:c r="A29" s="2764" t="s">
        <x:v>1485</x:v>
      </x:c>
      <x:c r="B29" s="2765">
        <x:v>7</x:v>
      </x:c>
      <x:c r="C29" s="2766" t="s">
        <x:v>1593</x:v>
      </x:c>
      <x:c r="D29" s="2767">
        <x:v>69</x:v>
      </x:c>
      <x:c r="E29" s="2768">
        <x:v>1.5</x:v>
      </x:c>
      <x:c r="F29" s="2776" t="str">
        <x:f t="shared" si="1"/>
        <x:v/>
      </x:c>
      <x:c r="G29" s="2771" t="str">
        <x:f t="shared" si="2"/>
        <x:v/>
      </x:c>
      <x:c r="H29" s="2842" t="str">
        <x:f t="shared" si="3"/>
        <x:v/>
      </x:c>
      <x:c r="I29" s="2767" t="str">
        <x:f t="shared" si="4"/>
        <x:v/>
      </x:c>
      <x:c r="J29" s="2771" t="str">
        <x:f t="shared" si="5"/>
        <x:v/>
      </x:c>
      <x:c r="K29" s="2855" t="str">
        <x:f t="shared" si="6"/>
        <x:v/>
      </x:c>
      <x:c r="L29" s="2774">
        <x:v>5</x:v>
      </x:c>
      <x:c r="M29" s="2775">
        <x:v>5</x:v>
      </x:c>
      <x:c r="N29" s="2770" t="str">
        <x:f t="shared" si="7"/>
        <x:v/>
      </x:c>
      <x:c r="O29" s="2771" t="str">
        <x:f t="shared" si="8"/>
        <x:v/>
      </x:c>
      <x:c r="P29" s="2772" t="str">
        <x:f t="shared" si="9"/>
        <x:v/>
      </x:c>
      <x:c r="Q29" s="2767" t="str">
        <x:f t="shared" si="10"/>
        <x:v/>
      </x:c>
      <x:c r="R29" s="2771" t="str">
        <x:f t="shared" si="11"/>
        <x:v/>
      </x:c>
      <x:c r="S29" s="2773" t="str">
        <x:f t="shared" si="12"/>
        <x:v/>
      </x:c>
      <x:c r="T29" s="2776">
        <x:v>0</x:v>
      </x:c>
      <x:c r="U29" s="2771">
        <x:v>2.25</x:v>
      </x:c>
      <x:c r="V29" s="2767">
        <x:v>0</x:v>
      </x:c>
      <x:c r="W29" s="2771">
        <x:v>2</x:v>
      </x:c>
      <x:c r="X29" s="2775">
        <x:v>4</x:v>
      </x:c>
      <x:c r="Y29" s="2844" t="str">
        <x:f t="shared" si="13"/>
        <x:v/>
      </x:c>
      <x:c r="Z29" s="2845" t="str">
        <x:f t="shared" si="14"/>
        <x:v/>
      </x:c>
      <x:c r="AA29" s="2846" t="s">
        <x:v>1654</x:v>
      </x:c>
      <x:c r="AB29" s="1413"/>
      <x:c r="AC29" s="964" t="b">
        <x:v>0</x:v>
      </x:c>
      <x:c r="AD29" s="441">
        <x:f t="shared" si="15"/>
        <x:v>0</x:v>
      </x:c>
      <x:c r="AE29" s="442">
        <x:f t="shared" si="16"/>
        <x:v>7</x:v>
      </x:c>
      <x:c r="AF29" s="442">
        <x:f t="shared" si="17"/>
        <x:v>0</x:v>
      </x:c>
      <x:c r="AG29" s="442">
        <x:f t="shared" si="18"/>
        <x:v>0</x:v>
      </x:c>
      <x:c r="AH29" s="443">
        <x:f t="shared" si="19"/>
        <x:v>0</x:v>
      </x:c>
      <x:c r="AI29" s="444" t="b">
        <x:v>0</x:v>
      </x:c>
      <x:c r="AJ29" s="238">
        <x:f t="shared" si="20"/>
        <x:v>44</x:v>
      </x:c>
      <x:c r="AK29" s="830" t="str">
        <x:f t="shared" si="21"/>
        <x:v>LH</x:v>
      </x:c>
      <x:c r="AL29" s="945" t="str">
        <x:f t="shared" si="22"/>
        <x:v/>
      </x:c>
      <x:c r="AM29" s="830">
        <x:f t="shared" si="23"/>
        <x:v>305</x:v>
      </x:c>
      <x:c r="AN29" s="830">
        <x:f t="shared" si="24"/>
        <x:v>180</x:v>
      </x:c>
      <x:c r="AO29" s="830" t="str">
        <x:f t="shared" si="25"/>
        <x:v/>
      </x:c>
      <x:c r="AP29" s="830" t="b">
        <x:f>IF(ISERROR(AJ29),FALSE,IF(OR(AJ29=0,ISERROR(AL29),ISERROR(AM29),ISERROR(AN29),ISERROR(AO29)),FALSE,IF(AL29&lt;&gt;"",IF(ISERROR(VLOOKUP(SUBSTITUTE(SUBSTITUTE(C29,"R",""),"A",""),TblJoistSize!$A:$A,1,FALSE)),FALSE,TRUE),TRUE)))</x:f>
        <x:v>1</x:v>
      </x:c>
      <x:c r="AQ29" s="1038">
        <x:f t="shared" si="26"/>
        <x:v>6</x:v>
      </x:c>
      <x:c r="AR29" s="945" t="b">
        <x:f t="shared" si="27"/>
        <x:v>1</x:v>
      </x:c>
      <x:c r="AS29" s="1038">
        <x:f t="shared" si="28"/>
        <x:v>6</x:v>
      </x:c>
      <x:c r="AT29" s="945" t="b">
        <x:f t="shared" si="29"/>
        <x:v>1</x:v>
      </x:c>
      <x:c r="AU29" s="946" t="str">
        <x:f t="shared" si="30"/>
        <x:v>LH</x:v>
      </x:c>
      <x:c r="AV29" s="830" t="str">
        <x:f t="shared" si="31"/>
        <x:v/>
      </x:c>
      <x:c r="AW29" s="830" t="str">
        <x:f t="shared" si="32"/>
        <x:v>LH</x:v>
      </x:c>
      <x:c r="AX29" s="830" t="str">
        <x:f t="shared" si="106"/>
        <x:v>J55</x:v>
      </x:c>
      <x:c r="AY29" s="1039" t="b">
        <x:f t="shared" si="33"/>
        <x:v>0</x:v>
      </x:c>
      <x:c r="AZ29" s="856" t="b">
        <x:f t="shared" si="34"/>
        <x:v>0</x:v>
      </x:c>
      <x:c r="BA29" s="549"/>
      <x:c r="BB29" s="672"/>
      <x:c r="BC29" s="1684"/>
      <x:c r="BD29" s="733"/>
      <x:c r="BE29" s="734"/>
      <x:c r="BF29" s="735"/>
      <x:c r="BG29" s="672"/>
      <x:c r="BH29" s="982"/>
      <x:c r="BI29" s="983"/>
      <x:c r="BJ29" s="1625"/>
      <x:c r="BK29" s="713"/>
      <x:c r="BL29" s="714"/>
      <x:c r="BM29" s="715"/>
      <x:c r="BN29" s="716"/>
      <x:c r="BO29" s="672" t="str">
        <x:f>IF(ISERROR(CU29),"",IF(CU29="","",IF(VLOOKUP(BG29,SectInfo!$B:$N,10,FALSE)="","","X")))</x:f>
        <x:v/>
      </x:c>
      <x:c r="BP29" s="738"/>
      <x:c r="BQ29" s="1551" t="str">
        <x:f t="shared" si="35"/>
        <x:v/>
      </x:c>
      <x:c r="BR29" s="910"/>
      <x:c r="BS29" s="672"/>
      <x:c r="BT29" s="713"/>
      <x:c r="BU29" s="714"/>
      <x:c r="BV29" s="1625"/>
      <x:c r="BW29" s="713"/>
      <x:c r="BX29" s="714"/>
      <x:c r="BY29" s="715"/>
      <x:c r="BZ29" s="716"/>
      <x:c r="CA29" s="680" t="str">
        <x:f>IF(ISERROR(DE29),"",IF(DE29="","",IF(VLOOKUP(BS29,SectInfo!$B:$N,10,FALSE)="","","X")))</x:f>
        <x:v/>
      </x:c>
      <x:c r="CB29" s="738"/>
      <x:c r="CC29" s="1551" t="str">
        <x:f t="shared" si="36"/>
        <x:v/>
      </x:c>
      <x:c r="CD29" s="910"/>
      <x:c r="CE29" s="717"/>
      <x:c r="CF29" s="736"/>
      <x:c r="CG29" s="737"/>
      <x:c r="CH29" s="591" t="str">
        <x:f t="shared" si="37"/>
        <x:v/>
      </x:c>
      <x:c r="CI29" s="592" t="str">
        <x:f t="shared" si="38"/>
        <x:v/>
      </x:c>
      <x:c r="CJ29" s="593" t="str">
        <x:f t="shared" si="39"/>
        <x:v/>
      </x:c>
      <x:c r="CK29" s="594" t="str">
        <x:f t="shared" si="40"/>
        <x:v/>
      </x:c>
      <x:c r="CL29" s="595" t="str">
        <x:f t="shared" si="41"/>
        <x:v/>
      </x:c>
      <x:c r="CM29" s="596" t="str">
        <x:f t="shared" si="42"/>
        <x:v/>
      </x:c>
      <x:c r="CN29" s="597" t="str">
        <x:f t="shared" si="43"/>
        <x:v/>
      </x:c>
      <x:c r="CO29" s="598" t="str">
        <x:f t="shared" si="44"/>
        <x:v/>
      </x:c>
      <x:c r="CP29" s="615" t="str">
        <x:f t="shared" si="45"/>
        <x:v/>
      </x:c>
      <x:c r="CQ29" s="616" t="str">
        <x:f t="shared" si="46"/>
        <x:v/>
      </x:c>
      <x:c r="CR29" s="750">
        <x:f t="shared" si="47"/>
        <x:v>5</x:v>
      </x:c>
      <x:c r="CS29" s="751">
        <x:f t="shared" si="48"/>
        <x:v>5</x:v>
      </x:c>
      <x:c r="CU29" s="817" t="str">
        <x:f>IF(BG29="","",VLOOKUP(BG29,SectInfo!$B:$N,12,FALSE))</x:f>
        <x:v/>
      </x:c>
      <x:c r="CV29" s="815" t="str">
        <x:f>IF(BG29="","",IF(ISBLANK(BP29),VLOOKUP(BG29,SectInfo!$B:$N,13,FALSE),BP29))</x:f>
        <x:v/>
      </x:c>
      <x:c r="CW29" s="8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8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49"/>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50"/>
        <x:v>0</x:v>
      </x:c>
      <x:c r="DO29" s="818">
        <x:f t="shared" si="51"/>
        <x:v>0</x:v>
      </x:c>
      <x:c r="DP29" s="822" t="str">
        <x:f t="shared" si="52"/>
        <x:v/>
      </x:c>
      <x:c r="DQ29" s="822" t="str">
        <x:f t="shared" si="53"/>
        <x:v/>
      </x:c>
      <x:c r="DR29" s="822" t="str">
        <x:f t="shared" si="54"/>
        <x:v/>
      </x:c>
      <x:c r="DS29" s="821">
        <x:f t="shared" si="55"/>
        <x:v>0</x:v>
      </x:c>
      <x:c r="DT29" s="821">
        <x:f t="shared" si="56"/>
        <x:v>0</x:v>
      </x:c>
      <x:c r="DU29" s="821" t="str">
        <x:f t="shared" si="57"/>
        <x:v/>
      </x:c>
      <x:c r="DV29" s="822" t="str">
        <x:f t="shared" si="58"/>
        <x:v/>
      </x:c>
      <x:c r="DW29" s="856" t="str">
        <x:f t="shared" si="59"/>
        <x:v/>
      </x:c>
      <x:c r="DX29" s="1006">
        <x:f t="shared" si="60"/>
        <x:v>0</x:v>
      </x:c>
      <x:c r="DY29" s="822">
        <x:f t="shared" si="61"/>
        <x:v>0</x:v>
      </x:c>
      <x:c r="DZ29" s="821">
        <x:f t="shared" si="62"/>
        <x:v>0</x:v>
      </x:c>
      <x:c r="EA29" s="821" t="str">
        <x:f t="shared" si="63"/>
        <x:v/>
      </x:c>
      <x:c r="EB29" s="822" t="str">
        <x:f t="shared" si="64"/>
        <x:v/>
      </x:c>
      <x:c r="EC29" s="856" t="str">
        <x:f t="shared" si="65"/>
        <x:v/>
      </x:c>
      <x:c r="ED29" s="1006">
        <x:f t="shared" si="66"/>
        <x:v>0</x:v>
      </x:c>
      <x:c r="EE29" s="1293" t="str">
        <x:f t="shared" si="67"/>
        <x:v/>
      </x:c>
      <x:c r="EF29" s="1293" t="str">
        <x:f t="shared" si="68"/>
        <x:v/>
      </x:c>
      <x:c r="EG29" s="1293" t="str">
        <x:f t="shared" si="69"/>
        <x:v/>
      </x:c>
      <x:c r="EH29" s="856" t="str">
        <x:f t="shared" si="70"/>
        <x:v>ERR</x:v>
      </x:c>
      <x:c r="EI29" s="856" t="str">
        <x:f t="shared" si="71"/>
        <x:v>ERR</x:v>
      </x:c>
      <x:c r="EJ29" s="822" t="str">
        <x:f t="shared" si="72"/>
        <x:v/>
      </x:c>
      <x:c r="EK29" s="822" t="str">
        <x:f t="shared" si="72"/>
        <x:v/>
      </x:c>
      <x:c r="EL29" s="1293" t="str">
        <x:f t="shared" si="73"/>
        <x:v/>
      </x:c>
      <x:c r="EM29" s="822" t="str">
        <x:f t="shared" si="74"/>
        <x:v/>
      </x:c>
      <x:c r="EN29" s="822" t="str">
        <x:f t="shared" si="75"/>
        <x:v/>
      </x:c>
      <x:c r="EO29" s="856" t="str">
        <x:f t="shared" si="76"/>
        <x:v>ERR</x:v>
      </x:c>
      <x:c r="EP29" s="856" t="str">
        <x:f t="shared" si="77"/>
        <x:v>ERR</x:v>
      </x:c>
      <x:c r="EQ29" s="1293" t="str">
        <x:f t="shared" si="78"/>
        <x:v/>
      </x:c>
      <x:c r="ER29" s="822" t="str">
        <x:f t="shared" si="78"/>
        <x:v/>
      </x:c>
      <x:c r="ES29" s="822" t="str">
        <x:f t="shared" si="79"/>
        <x:v/>
      </x:c>
      <x:c r="ET29" s="822" t="str">
        <x:f t="shared" si="80"/>
        <x:v/>
      </x:c>
      <x:c r="EU29" s="829">
        <x:f t="shared" si="81"/>
        <x:v>4</x:v>
      </x:c>
      <x:c r="EV29" s="824" t="str">
        <x:f t="shared" si="82"/>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83"/>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84"/>
        <x:v/>
      </x:c>
      <x:c r="FD29" s="821">
        <x:f t="shared" si="107"/>
        <x:v>0</x:v>
      </x:c>
      <x:c r="FE29" s="821">
        <x:f t="shared" si="85"/>
        <x:v>0</x:v>
      </x:c>
      <x:c r="FF29" s="821">
        <x:f t="shared" si="86"/>
        <x:v>0</x:v>
      </x:c>
      <x:c r="FG29" s="821" t="str">
        <x:f t="shared" si="87"/>
        <x:v/>
      </x:c>
      <x:c r="FH29" s="822" t="str">
        <x:f t="shared" si="88"/>
        <x:v/>
      </x:c>
      <x:c r="FI29" s="821">
        <x:f t="shared" si="108"/>
        <x:v>0</x:v>
      </x:c>
      <x:c r="FJ29" s="821">
        <x:f t="shared" si="89"/>
        <x:v>0</x:v>
      </x:c>
      <x:c r="FK29" s="821">
        <x:f t="shared" si="90"/>
        <x:v>0</x:v>
      </x:c>
      <x:c r="FL29" s="821" t="str">
        <x:f t="shared" si="91"/>
        <x:v/>
      </x:c>
      <x:c r="FM29" s="822" t="str">
        <x:f t="shared" si="92"/>
        <x:v/>
      </x:c>
      <x:c r="FN29" s="822" t="e">
        <x:f t="shared" si="93"/>
        <x:v>#VALUE!</x:v>
      </x:c>
      <x:c r="FO29" s="940" t="e">
        <x:f t="shared" si="94"/>
        <x:v>#VALUE!</x:v>
      </x:c>
      <x:c r="FP29" s="940" t="e">
        <x:f t="shared" si="95"/>
        <x:v>#VALUE!</x:v>
      </x:c>
      <x:c r="FQ29" s="830" t="e">
        <x:f t="shared" si="96"/>
        <x:v>#VALUE!</x:v>
      </x:c>
      <x:c r="FR29" s="831" t="e">
        <x:f t="shared" si="97"/>
        <x:v>#VALUE!</x:v>
      </x:c>
      <x:c r="FS29" s="832" t="str">
        <x:f t="shared" si="98"/>
        <x:v/>
      </x:c>
      <x:c r="FT29" s="833" t="str">
        <x:f t="shared" si="99"/>
        <x:v/>
      </x:c>
      <x:c r="FU29" s="870">
        <x:f t="shared" si="100"/>
        <x:v>0</x:v>
      </x:c>
      <x:c r="FV29" s="871">
        <x:f t="shared" si="101"/>
        <x:v>0</x:v>
      </x:c>
      <x:c r="GA29" s="1791">
        <x:v>69</x:v>
      </x:c>
      <x:c r="GB29" s="1792">
        <x:v>2.25</x:v>
      </x:c>
      <x:c r="GC29" s="1793">
        <x:v>-0.25</x:v>
      </x:c>
      <x:c r="GD29" s="1794">
        <x:v>-0.5</x:v>
      </x:c>
      <x:c r="GE29" s="1795">
        <x:f t="shared" si="102"/>
        <x:v>0</x:v>
      </x:c>
      <x:c r="GF29" s="600" t="str">
        <x:f t="shared" si="103"/>
        <x:v>J55</x:v>
      </x:c>
      <x:c r="GG29" s="1130">
        <x:v>0</x:v>
      </x:c>
      <x:c r="GH29" s="1131">
        <x:v>0</x:v>
      </x:c>
      <x:c r="GI29" s="1130"/>
      <x:c r="GJ29" s="1131"/>
      <x:c r="GK29" s="1638">
        <x:f t="shared" si="104"/>
        <x:v>829.5</x:v>
      </x:c>
      <x:c r="GL29" s="1636">
        <x:f t="shared" si="105"/>
        <x:v>829.5</x:v>
      </x:c>
      <x:c r="GM29" s="1637">
        <x:f>IF(ABS(GK29-GL29)&gt;='Job Info.'!$L$22,ABS(GK29-GL29),0)</x:f>
        <x:v>0</x:v>
      </x:c>
      <x:c r="HA29" s="1269" t="s">
        <x:v>1485</x:v>
      </x:c>
      <x:c r="HB29" s="1270">
        <x:v>7</x:v>
      </x:c>
      <x:c r="HC29" s="1270" t="s">
        <x:v>1593</x:v>
      </x:c>
      <x:c r="HD29" s="1271">
        <x:v>69</x:v>
      </x:c>
      <x:c r="HE29" s="1272">
        <x:v>1.5</x:v>
      </x:c>
      <x:c r="HF29" s="1270" t="s">
        <x:v>116</x:v>
      </x:c>
      <x:c r="HG29" s="1270" t="s">
        <x:v>116</x:v>
      </x:c>
      <x:c r="HH29" s="1270" t="s">
        <x:v>116</x:v>
      </x:c>
      <x:c r="HI29" s="1273" t="s">
        <x:v>116</x:v>
      </x:c>
      <x:c r="HJ29" s="1270" t="s">
        <x:v>116</x:v>
      </x:c>
      <x:c r="HK29" s="1270" t="s">
        <x:v>116</x:v>
      </x:c>
      <x:c r="HL29" s="1270">
        <x:v>5</x:v>
      </x:c>
      <x:c r="HM29" s="1270">
        <x:v>5</x:v>
      </x:c>
      <x:c r="HN29" s="1270" t="s">
        <x:v>116</x:v>
      </x:c>
      <x:c r="HO29" s="1270" t="s">
        <x:v>116</x:v>
      </x:c>
      <x:c r="HP29" s="1270" t="s">
        <x:v>116</x:v>
      </x:c>
      <x:c r="HQ29" s="1273" t="s">
        <x:v>116</x:v>
      </x:c>
      <x:c r="HR29" s="1270" t="s">
        <x:v>116</x:v>
      </x:c>
      <x:c r="HS29" s="1270" t="s">
        <x:v>116</x:v>
      </x:c>
      <x:c r="HT29" s="1270">
        <x:v>0</x:v>
      </x:c>
      <x:c r="HU29" s="1270">
        <x:v>2.25</x:v>
      </x:c>
      <x:c r="HV29" s="1270">
        <x:v>0</x:v>
      </x:c>
      <x:c r="HW29" s="1272">
        <x:v>2</x:v>
      </x:c>
      <x:c r="HX29" s="1272">
        <x:v>4</x:v>
      </x:c>
      <x:c r="HY29" s="1272" t="s">
        <x:v>116</x:v>
      </x:c>
      <x:c r="HZ29" s="1272" t="s">
        <x:v>116</x:v>
      </x:c>
      <x:c r="IA29" s="1272" t="s">
        <x:v>1654</x:v>
      </x:c>
      <x:c r="IB29" s="1272"/>
      <x:c r="IC29" s="1272"/>
      <x:c r="ID29" s="1272"/>
      <x:c r="IE29" s="1272"/>
      <x:c r="IF29" s="1274"/>
    </x:row>
    <x:row r="30" spans="1:240" ht="12.6" customHeight="1" x14ac:dyDescent="0.25">
      <x:c r="A30" s="2764" t="s">
        <x:v>1486</x:v>
      </x:c>
      <x:c r="B30" s="2765">
        <x:v>7</x:v>
      </x:c>
      <x:c r="C30" s="2766" t="s">
        <x:v>1593</x:v>
      </x:c>
      <x:c r="D30" s="2767">
        <x:v>69</x:v>
      </x:c>
      <x:c r="E30" s="2768">
        <x:v>1.5</x:v>
      </x:c>
      <x:c r="F30" s="2776" t="str">
        <x:f t="shared" si="1"/>
        <x:v/>
      </x:c>
      <x:c r="G30" s="2771" t="str">
        <x:f t="shared" si="2"/>
        <x:v/>
      </x:c>
      <x:c r="H30" s="2842" t="str">
        <x:f t="shared" si="3"/>
        <x:v/>
      </x:c>
      <x:c r="I30" s="2767" t="str">
        <x:f t="shared" si="4"/>
        <x:v/>
      </x:c>
      <x:c r="J30" s="2771" t="str">
        <x:f t="shared" si="5"/>
        <x:v/>
      </x:c>
      <x:c r="K30" s="2855" t="str">
        <x:f t="shared" si="6"/>
        <x:v/>
      </x:c>
      <x:c r="L30" s="2774">
        <x:v>5</x:v>
      </x:c>
      <x:c r="M30" s="2775">
        <x:v>5</x:v>
      </x:c>
      <x:c r="N30" s="2770" t="str">
        <x:f t="shared" si="7"/>
        <x:v/>
      </x:c>
      <x:c r="O30" s="2771" t="str">
        <x:f t="shared" si="8"/>
        <x:v/>
      </x:c>
      <x:c r="P30" s="2772" t="str">
        <x:f t="shared" si="9"/>
        <x:v/>
      </x:c>
      <x:c r="Q30" s="2767" t="str">
        <x:f t="shared" si="10"/>
        <x:v/>
      </x:c>
      <x:c r="R30" s="2771" t="str">
        <x:f t="shared" si="11"/>
        <x:v/>
      </x:c>
      <x:c r="S30" s="2773" t="str">
        <x:f t="shared" si="12"/>
        <x:v/>
      </x:c>
      <x:c r="T30" s="2776">
        <x:v>0</x:v>
      </x:c>
      <x:c r="U30" s="2771">
        <x:v>2.25</x:v>
      </x:c>
      <x:c r="V30" s="2767">
        <x:v>0</x:v>
      </x:c>
      <x:c r="W30" s="2771">
        <x:v>2</x:v>
      </x:c>
      <x:c r="X30" s="2775">
        <x:v>4</x:v>
      </x:c>
      <x:c r="Y30" s="2844" t="str">
        <x:f t="shared" si="13"/>
        <x:v/>
      </x:c>
      <x:c r="Z30" s="2845" t="str">
        <x:f t="shared" si="14"/>
        <x:v/>
      </x:c>
      <x:c r="AA30" s="2846" t="s">
        <x:v>1655</x:v>
      </x:c>
      <x:c r="AB30" s="1413"/>
      <x:c r="AC30" s="964" t="b">
        <x:v>0</x:v>
      </x:c>
      <x:c r="AD30" s="441">
        <x:f t="shared" si="15"/>
        <x:v>0</x:v>
      </x:c>
      <x:c r="AE30" s="442">
        <x:f t="shared" si="16"/>
        <x:v>7</x:v>
      </x:c>
      <x:c r="AF30" s="442">
        <x:f t="shared" si="17"/>
        <x:v>0</x:v>
      </x:c>
      <x:c r="AG30" s="442">
        <x:f t="shared" si="18"/>
        <x:v>0</x:v>
      </x:c>
      <x:c r="AH30" s="443">
        <x:f t="shared" si="19"/>
        <x:v>0</x:v>
      </x:c>
      <x:c r="AI30" s="444" t="b">
        <x:v>0</x:v>
      </x:c>
      <x:c r="AJ30" s="238">
        <x:f t="shared" si="20"/>
        <x:v>44</x:v>
      </x:c>
      <x:c r="AK30" s="830" t="str">
        <x:f t="shared" si="21"/>
        <x:v>LH</x:v>
      </x:c>
      <x:c r="AL30" s="945" t="str">
        <x:f t="shared" si="22"/>
        <x:v/>
      </x:c>
      <x:c r="AM30" s="830">
        <x:f t="shared" si="23"/>
        <x:v>305</x:v>
      </x:c>
      <x:c r="AN30" s="830">
        <x:f t="shared" si="24"/>
        <x:v>180</x:v>
      </x:c>
      <x:c r="AO30" s="830" t="str">
        <x:f t="shared" si="25"/>
        <x:v/>
      </x:c>
      <x:c r="AP30" s="830" t="b">
        <x:f>IF(ISERROR(AJ30),FALSE,IF(OR(AJ30=0,ISERROR(AL30),ISERROR(AM30),ISERROR(AN30),ISERROR(AO30)),FALSE,IF(AL30&lt;&gt;"",IF(ISERROR(VLOOKUP(SUBSTITUTE(SUBSTITUTE(C30,"R",""),"A",""),TblJoistSize!$A:$A,1,FALSE)),FALSE,TRUE),TRUE)))</x:f>
        <x:v>1</x:v>
      </x:c>
      <x:c r="AQ30" s="1038">
        <x:f t="shared" si="26"/>
        <x:v>6</x:v>
      </x:c>
      <x:c r="AR30" s="945" t="b">
        <x:f t="shared" si="27"/>
        <x:v>1</x:v>
      </x:c>
      <x:c r="AS30" s="1038">
        <x:f t="shared" si="28"/>
        <x:v>6</x:v>
      </x:c>
      <x:c r="AT30" s="945" t="b">
        <x:f t="shared" si="29"/>
        <x:v>1</x:v>
      </x:c>
      <x:c r="AU30" s="946" t="str">
        <x:f t="shared" si="30"/>
        <x:v>LH</x:v>
      </x:c>
      <x:c r="AV30" s="830" t="str">
        <x:f t="shared" si="31"/>
        <x:v/>
      </x:c>
      <x:c r="AW30" s="830" t="str">
        <x:f t="shared" si="32"/>
        <x:v>LH</x:v>
      </x:c>
      <x:c r="AX30" s="830" t="str">
        <x:f t="shared" si="106"/>
        <x:v>J56</x:v>
      </x:c>
      <x:c r="AY30" s="1039" t="b">
        <x:f t="shared" si="33"/>
        <x:v>0</x:v>
      </x:c>
      <x:c r="AZ30" s="856" t="b">
        <x:f t="shared" si="34"/>
        <x:v>0</x:v>
      </x:c>
      <x:c r="BA30" s="549"/>
      <x:c r="BB30" s="672"/>
      <x:c r="BC30" s="1684"/>
      <x:c r="BD30" s="733"/>
      <x:c r="BE30" s="734"/>
      <x:c r="BF30" s="735"/>
      <x:c r="BG30" s="672"/>
      <x:c r="BH30" s="982"/>
      <x:c r="BI30" s="983"/>
      <x:c r="BJ30" s="1625"/>
      <x:c r="BK30" s="713"/>
      <x:c r="BL30" s="714"/>
      <x:c r="BM30" s="715"/>
      <x:c r="BN30" s="716"/>
      <x:c r="BO30" s="672" t="str">
        <x:f>IF(ISERROR(CU30),"",IF(CU30="","",IF(VLOOKUP(BG30,SectInfo!$B:$N,10,FALSE)="","","X")))</x:f>
        <x:v/>
      </x:c>
      <x:c r="BP30" s="738"/>
      <x:c r="BQ30" s="1551" t="str">
        <x:f t="shared" si="35"/>
        <x:v/>
      </x:c>
      <x:c r="BR30" s="910"/>
      <x:c r="BS30" s="672"/>
      <x:c r="BT30" s="713"/>
      <x:c r="BU30" s="714"/>
      <x:c r="BV30" s="1625"/>
      <x:c r="BW30" s="713"/>
      <x:c r="BX30" s="714"/>
      <x:c r="BY30" s="715"/>
      <x:c r="BZ30" s="716"/>
      <x:c r="CA30" s="680" t="str">
        <x:f>IF(ISERROR(DE30),"",IF(DE30="","",IF(VLOOKUP(BS30,SectInfo!$B:$N,10,FALSE)="","","X")))</x:f>
        <x:v/>
      </x:c>
      <x:c r="CB30" s="738"/>
      <x:c r="CC30" s="1551" t="str">
        <x:f t="shared" si="36"/>
        <x:v/>
      </x:c>
      <x:c r="CD30" s="910"/>
      <x:c r="CE30" s="717"/>
      <x:c r="CF30" s="736"/>
      <x:c r="CG30" s="737"/>
      <x:c r="CH30" s="591" t="str">
        <x:f t="shared" si="37"/>
        <x:v/>
      </x:c>
      <x:c r="CI30" s="592" t="str">
        <x:f t="shared" si="38"/>
        <x:v/>
      </x:c>
      <x:c r="CJ30" s="593" t="str">
        <x:f t="shared" si="39"/>
        <x:v/>
      </x:c>
      <x:c r="CK30" s="594" t="str">
        <x:f t="shared" si="40"/>
        <x:v/>
      </x:c>
      <x:c r="CL30" s="595" t="str">
        <x:f t="shared" si="41"/>
        <x:v/>
      </x:c>
      <x:c r="CM30" s="596" t="str">
        <x:f t="shared" si="42"/>
        <x:v/>
      </x:c>
      <x:c r="CN30" s="597" t="str">
        <x:f t="shared" si="43"/>
        <x:v/>
      </x:c>
      <x:c r="CO30" s="598" t="str">
        <x:f t="shared" si="44"/>
        <x:v/>
      </x:c>
      <x:c r="CP30" s="615" t="str">
        <x:f t="shared" si="45"/>
        <x:v/>
      </x:c>
      <x:c r="CQ30" s="616" t="str">
        <x:f t="shared" si="46"/>
        <x:v/>
      </x:c>
      <x:c r="CR30" s="750">
        <x:f t="shared" si="47"/>
        <x:v>5</x:v>
      </x:c>
      <x:c r="CS30" s="751">
        <x:f t="shared" si="48"/>
        <x:v>5</x:v>
      </x:c>
      <x:c r="CU30" s="817" t="str">
        <x:f>IF(BG30="","",VLOOKUP(BG30,SectInfo!$B:$N,12,FALSE))</x:f>
        <x:v/>
      </x:c>
      <x:c r="CV30" s="815" t="str">
        <x:f>IF(BG30="","",IF(ISBLANK(BP30),VLOOKUP(BG30,SectInfo!$B:$N,13,FALSE),BP30))</x:f>
        <x:v/>
      </x:c>
      <x:c r="CW30" s="8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8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49"/>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50"/>
        <x:v>0</x:v>
      </x:c>
      <x:c r="DO30" s="818">
        <x:f t="shared" si="51"/>
        <x:v>0</x:v>
      </x:c>
      <x:c r="DP30" s="822" t="str">
        <x:f t="shared" si="52"/>
        <x:v/>
      </x:c>
      <x:c r="DQ30" s="822" t="str">
        <x:f t="shared" si="53"/>
        <x:v/>
      </x:c>
      <x:c r="DR30" s="822" t="str">
        <x:f t="shared" si="54"/>
        <x:v/>
      </x:c>
      <x:c r="DS30" s="821">
        <x:f t="shared" si="55"/>
        <x:v>0</x:v>
      </x:c>
      <x:c r="DT30" s="821">
        <x:f t="shared" si="56"/>
        <x:v>0</x:v>
      </x:c>
      <x:c r="DU30" s="821" t="str">
        <x:f t="shared" si="57"/>
        <x:v/>
      </x:c>
      <x:c r="DV30" s="822" t="str">
        <x:f t="shared" si="58"/>
        <x:v/>
      </x:c>
      <x:c r="DW30" s="856" t="str">
        <x:f t="shared" si="59"/>
        <x:v/>
      </x:c>
      <x:c r="DX30" s="1006">
        <x:f t="shared" si="60"/>
        <x:v>0</x:v>
      </x:c>
      <x:c r="DY30" s="822">
        <x:f t="shared" si="61"/>
        <x:v>0</x:v>
      </x:c>
      <x:c r="DZ30" s="821">
        <x:f t="shared" si="62"/>
        <x:v>0</x:v>
      </x:c>
      <x:c r="EA30" s="821" t="str">
        <x:f t="shared" si="63"/>
        <x:v/>
      </x:c>
      <x:c r="EB30" s="822" t="str">
        <x:f t="shared" si="64"/>
        <x:v/>
      </x:c>
      <x:c r="EC30" s="856" t="str">
        <x:f t="shared" si="65"/>
        <x:v/>
      </x:c>
      <x:c r="ED30" s="1006">
        <x:f t="shared" si="66"/>
        <x:v>0</x:v>
      </x:c>
      <x:c r="EE30" s="1293" t="str">
        <x:f t="shared" si="67"/>
        <x:v/>
      </x:c>
      <x:c r="EF30" s="1293" t="str">
        <x:f t="shared" si="68"/>
        <x:v/>
      </x:c>
      <x:c r="EG30" s="1293" t="str">
        <x:f t="shared" si="69"/>
        <x:v/>
      </x:c>
      <x:c r="EH30" s="856" t="str">
        <x:f t="shared" si="70"/>
        <x:v>ERR</x:v>
      </x:c>
      <x:c r="EI30" s="856" t="str">
        <x:f t="shared" si="71"/>
        <x:v>ERR</x:v>
      </x:c>
      <x:c r="EJ30" s="822" t="str">
        <x:f t="shared" si="72"/>
        <x:v/>
      </x:c>
      <x:c r="EK30" s="822" t="str">
        <x:f t="shared" si="72"/>
        <x:v/>
      </x:c>
      <x:c r="EL30" s="1293" t="str">
        <x:f t="shared" si="73"/>
        <x:v/>
      </x:c>
      <x:c r="EM30" s="822" t="str">
        <x:f t="shared" si="74"/>
        <x:v/>
      </x:c>
      <x:c r="EN30" s="822" t="str">
        <x:f t="shared" si="75"/>
        <x:v/>
      </x:c>
      <x:c r="EO30" s="856" t="str">
        <x:f t="shared" si="76"/>
        <x:v>ERR</x:v>
      </x:c>
      <x:c r="EP30" s="856" t="str">
        <x:f t="shared" si="77"/>
        <x:v>ERR</x:v>
      </x:c>
      <x:c r="EQ30" s="1293" t="str">
        <x:f t="shared" si="78"/>
        <x:v/>
      </x:c>
      <x:c r="ER30" s="822" t="str">
        <x:f t="shared" si="78"/>
        <x:v/>
      </x:c>
      <x:c r="ES30" s="822" t="str">
        <x:f t="shared" si="79"/>
        <x:v/>
      </x:c>
      <x:c r="ET30" s="822" t="str">
        <x:f t="shared" si="80"/>
        <x:v/>
      </x:c>
      <x:c r="EU30" s="829">
        <x:f t="shared" si="81"/>
        <x:v>4</x:v>
      </x:c>
      <x:c r="EV30" s="824" t="str">
        <x:f t="shared" si="82"/>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83"/>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84"/>
        <x:v/>
      </x:c>
      <x:c r="FD30" s="821">
        <x:f t="shared" si="107"/>
        <x:v>0</x:v>
      </x:c>
      <x:c r="FE30" s="821">
        <x:f t="shared" si="85"/>
        <x:v>0</x:v>
      </x:c>
      <x:c r="FF30" s="821">
        <x:f t="shared" si="86"/>
        <x:v>0</x:v>
      </x:c>
      <x:c r="FG30" s="821" t="str">
        <x:f t="shared" si="87"/>
        <x:v/>
      </x:c>
      <x:c r="FH30" s="822" t="str">
        <x:f t="shared" si="88"/>
        <x:v/>
      </x:c>
      <x:c r="FI30" s="821">
        <x:f t="shared" si="108"/>
        <x:v>0</x:v>
      </x:c>
      <x:c r="FJ30" s="821">
        <x:f t="shared" si="89"/>
        <x:v>0</x:v>
      </x:c>
      <x:c r="FK30" s="821">
        <x:f t="shared" si="90"/>
        <x:v>0</x:v>
      </x:c>
      <x:c r="FL30" s="821" t="str">
        <x:f t="shared" si="91"/>
        <x:v/>
      </x:c>
      <x:c r="FM30" s="822" t="str">
        <x:f t="shared" si="92"/>
        <x:v/>
      </x:c>
      <x:c r="FN30" s="822" t="e">
        <x:f t="shared" si="93"/>
        <x:v>#VALUE!</x:v>
      </x:c>
      <x:c r="FO30" s="940" t="e">
        <x:f t="shared" si="94"/>
        <x:v>#VALUE!</x:v>
      </x:c>
      <x:c r="FP30" s="940" t="e">
        <x:f t="shared" si="95"/>
        <x:v>#VALUE!</x:v>
      </x:c>
      <x:c r="FQ30" s="830" t="e">
        <x:f t="shared" si="96"/>
        <x:v>#VALUE!</x:v>
      </x:c>
      <x:c r="FR30" s="831" t="e">
        <x:f t="shared" si="97"/>
        <x:v>#VALUE!</x:v>
      </x:c>
      <x:c r="FS30" s="832" t="str">
        <x:f t="shared" si="98"/>
        <x:v/>
      </x:c>
      <x:c r="FT30" s="833" t="str">
        <x:f t="shared" si="99"/>
        <x:v/>
      </x:c>
      <x:c r="FU30" s="870">
        <x:f t="shared" si="100"/>
        <x:v>0</x:v>
      </x:c>
      <x:c r="FV30" s="871">
        <x:f t="shared" si="101"/>
        <x:v>0</x:v>
      </x:c>
      <x:c r="GA30" s="1791">
        <x:v>69</x:v>
      </x:c>
      <x:c r="GB30" s="1792">
        <x:v>2.25</x:v>
      </x:c>
      <x:c r="GC30" s="1793">
        <x:v>-0.25</x:v>
      </x:c>
      <x:c r="GD30" s="1794">
        <x:v>-0.5</x:v>
      </x:c>
      <x:c r="GE30" s="1795">
        <x:f t="shared" si="102"/>
        <x:v>0</x:v>
      </x:c>
      <x:c r="GF30" s="600" t="str">
        <x:f t="shared" si="103"/>
        <x:v>J56</x:v>
      </x:c>
      <x:c r="GG30" s="1130">
        <x:v>0</x:v>
      </x:c>
      <x:c r="GH30" s="1131">
        <x:v>0</x:v>
      </x:c>
      <x:c r="GI30" s="1130"/>
      <x:c r="GJ30" s="1131"/>
      <x:c r="GK30" s="1638">
        <x:f t="shared" si="104"/>
        <x:v>829.5</x:v>
      </x:c>
      <x:c r="GL30" s="1636">
        <x:f t="shared" si="105"/>
        <x:v>829.5</x:v>
      </x:c>
      <x:c r="GM30" s="1637">
        <x:f>IF(ABS(GK30-GL30)&gt;='Job Info.'!$L$22,ABS(GK30-GL30),0)</x:f>
        <x:v>0</x:v>
      </x:c>
      <x:c r="HA30" s="1269" t="s">
        <x:v>1486</x:v>
      </x:c>
      <x:c r="HB30" s="1270">
        <x:v>7</x:v>
      </x:c>
      <x:c r="HC30" s="1270" t="s">
        <x:v>1593</x:v>
      </x:c>
      <x:c r="HD30" s="1271">
        <x:v>69</x:v>
      </x:c>
      <x:c r="HE30" s="1272">
        <x:v>1.5</x:v>
      </x:c>
      <x:c r="HF30" s="1270" t="s">
        <x:v>116</x:v>
      </x:c>
      <x:c r="HG30" s="1270" t="s">
        <x:v>116</x:v>
      </x:c>
      <x:c r="HH30" s="1270" t="s">
        <x:v>116</x:v>
      </x:c>
      <x:c r="HI30" s="1273" t="s">
        <x:v>116</x:v>
      </x:c>
      <x:c r="HJ30" s="1270" t="s">
        <x:v>116</x:v>
      </x:c>
      <x:c r="HK30" s="1270" t="s">
        <x:v>116</x:v>
      </x:c>
      <x:c r="HL30" s="1270">
        <x:v>5</x:v>
      </x:c>
      <x:c r="HM30" s="1270">
        <x:v>5</x:v>
      </x:c>
      <x:c r="HN30" s="1270" t="s">
        <x:v>116</x:v>
      </x:c>
      <x:c r="HO30" s="1270" t="s">
        <x:v>116</x:v>
      </x:c>
      <x:c r="HP30" s="1270" t="s">
        <x:v>116</x:v>
      </x:c>
      <x:c r="HQ30" s="1273" t="s">
        <x:v>116</x:v>
      </x:c>
      <x:c r="HR30" s="1270" t="s">
        <x:v>116</x:v>
      </x:c>
      <x:c r="HS30" s="1270" t="s">
        <x:v>116</x:v>
      </x:c>
      <x:c r="HT30" s="1270">
        <x:v>0</x:v>
      </x:c>
      <x:c r="HU30" s="1270">
        <x:v>2.25</x:v>
      </x:c>
      <x:c r="HV30" s="1270">
        <x:v>0</x:v>
      </x:c>
      <x:c r="HW30" s="1272">
        <x:v>2</x:v>
      </x:c>
      <x:c r="HX30" s="1272">
        <x:v>4</x:v>
      </x:c>
      <x:c r="HY30" s="1272" t="s">
        <x:v>116</x:v>
      </x:c>
      <x:c r="HZ30" s="1272" t="s">
        <x:v>116</x:v>
      </x:c>
      <x:c r="IA30" s="1272" t="s">
        <x:v>1655</x:v>
      </x:c>
      <x:c r="IB30" s="1272"/>
      <x:c r="IC30" s="1272"/>
      <x:c r="ID30" s="1272"/>
      <x:c r="IE30" s="1272"/>
      <x:c r="IF30" s="1274"/>
    </x:row>
    <x:row r="31" spans="1:240" ht="12.6" customHeight="1" x14ac:dyDescent="0.25">
      <x:c r="A31" s="2764" t="s">
        <x:v>1487</x:v>
      </x:c>
      <x:c r="B31" s="2765">
        <x:v>2</x:v>
      </x:c>
      <x:c r="C31" s="2766" t="s">
        <x:v>1593</x:v>
      </x:c>
      <x:c r="D31" s="2767">
        <x:v>69</x:v>
      </x:c>
      <x:c r="E31" s="2768">
        <x:v>1.5</x:v>
      </x:c>
      <x:c r="F31" s="2776" t="str">
        <x:f t="shared" si="1"/>
        <x:v/>
      </x:c>
      <x:c r="G31" s="2771" t="str">
        <x:f t="shared" si="2"/>
        <x:v/>
      </x:c>
      <x:c r="H31" s="2842" t="str">
        <x:f t="shared" si="3"/>
        <x:v/>
      </x:c>
      <x:c r="I31" s="2767" t="str">
        <x:f t="shared" si="4"/>
        <x:v/>
      </x:c>
      <x:c r="J31" s="2771" t="str">
        <x:f t="shared" si="5"/>
        <x:v/>
      </x:c>
      <x:c r="K31" s="2855" t="str">
        <x:f t="shared" si="6"/>
        <x:v/>
      </x:c>
      <x:c r="L31" s="2774">
        <x:v>5</x:v>
      </x:c>
      <x:c r="M31" s="2775">
        <x:v>5</x:v>
      </x:c>
      <x:c r="N31" s="2770" t="str">
        <x:f t="shared" si="7"/>
        <x:v/>
      </x:c>
      <x:c r="O31" s="2771" t="str">
        <x:f t="shared" si="8"/>
        <x:v/>
      </x:c>
      <x:c r="P31" s="2772" t="str">
        <x:f t="shared" si="9"/>
        <x:v/>
      </x:c>
      <x:c r="Q31" s="2767" t="str">
        <x:f t="shared" si="10"/>
        <x:v/>
      </x:c>
      <x:c r="R31" s="2771" t="str">
        <x:f t="shared" si="11"/>
        <x:v/>
      </x:c>
      <x:c r="S31" s="2773" t="str">
        <x:f t="shared" si="12"/>
        <x:v/>
      </x:c>
      <x:c r="T31" s="2776">
        <x:v>0</x:v>
      </x:c>
      <x:c r="U31" s="2771">
        <x:v>2.25</x:v>
      </x:c>
      <x:c r="V31" s="2767">
        <x:v>0</x:v>
      </x:c>
      <x:c r="W31" s="2771">
        <x:v>2</x:v>
      </x:c>
      <x:c r="X31" s="2775">
        <x:v>4</x:v>
      </x:c>
      <x:c r="Y31" s="2844" t="str">
        <x:f t="shared" si="13"/>
        <x:v/>
      </x:c>
      <x:c r="Z31" s="2845" t="str">
        <x:f t="shared" si="14"/>
        <x:v/>
      </x:c>
      <x:c r="AA31" s="2846" t="s">
        <x:v>1680</x:v>
      </x:c>
      <x:c r="AB31" s="1413"/>
      <x:c r="AC31" s="964" t="b">
        <x:v>0</x:v>
      </x:c>
      <x:c r="AD31" s="441">
        <x:f t="shared" si="15"/>
        <x:v>0</x:v>
      </x:c>
      <x:c r="AE31" s="442">
        <x:f t="shared" si="16"/>
        <x:v>2</x:v>
      </x:c>
      <x:c r="AF31" s="442">
        <x:f t="shared" si="17"/>
        <x:v>0</x:v>
      </x:c>
      <x:c r="AG31" s="442">
        <x:f t="shared" si="18"/>
        <x:v>0</x:v>
      </x:c>
      <x:c r="AH31" s="443">
        <x:f t="shared" si="19"/>
        <x:v>0</x:v>
      </x:c>
      <x:c r="AI31" s="444" t="b">
        <x:v>0</x:v>
      </x:c>
      <x:c r="AJ31" s="238">
        <x:f t="shared" si="20"/>
        <x:v>44</x:v>
      </x:c>
      <x:c r="AK31" s="830" t="str">
        <x:f t="shared" si="21"/>
        <x:v>LH</x:v>
      </x:c>
      <x:c r="AL31" s="945" t="str">
        <x:f t="shared" si="22"/>
        <x:v/>
      </x:c>
      <x:c r="AM31" s="830">
        <x:f t="shared" si="23"/>
        <x:v>305</x:v>
      </x:c>
      <x:c r="AN31" s="830">
        <x:f t="shared" si="24"/>
        <x:v>180</x:v>
      </x:c>
      <x:c r="AO31" s="830" t="str">
        <x:f t="shared" si="25"/>
        <x:v/>
      </x:c>
      <x:c r="AP31" s="830" t="b">
        <x:f>IF(ISERROR(AJ31),FALSE,IF(OR(AJ31=0,ISERROR(AL31),ISERROR(AM31),ISERROR(AN31),ISERROR(AO31)),FALSE,IF(AL31&lt;&gt;"",IF(ISERROR(VLOOKUP(SUBSTITUTE(SUBSTITUTE(C31,"R",""),"A",""),TblJoistSize!$A:$A,1,FALSE)),FALSE,TRUE),TRUE)))</x:f>
        <x:v>1</x:v>
      </x:c>
      <x:c r="AQ31" s="1038">
        <x:f t="shared" si="26"/>
        <x:v>6</x:v>
      </x:c>
      <x:c r="AR31" s="945" t="b">
        <x:f t="shared" si="27"/>
        <x:v>1</x:v>
      </x:c>
      <x:c r="AS31" s="1038">
        <x:f t="shared" si="28"/>
        <x:v>6</x:v>
      </x:c>
      <x:c r="AT31" s="945" t="b">
        <x:f t="shared" si="29"/>
        <x:v>1</x:v>
      </x:c>
      <x:c r="AU31" s="946" t="str">
        <x:f t="shared" si="30"/>
        <x:v>LH</x:v>
      </x:c>
      <x:c r="AV31" s="830" t="str">
        <x:f t="shared" si="31"/>
        <x:v/>
      </x:c>
      <x:c r="AW31" s="830" t="str">
        <x:f t="shared" si="32"/>
        <x:v>LH</x:v>
      </x:c>
      <x:c r="AX31" s="830" t="str">
        <x:f t="shared" si="106"/>
        <x:v>J57</x:v>
      </x:c>
      <x:c r="AY31" s="1039" t="b">
        <x:f t="shared" si="33"/>
        <x:v>0</x:v>
      </x:c>
      <x:c r="AZ31" s="856" t="b">
        <x:f t="shared" si="34"/>
        <x:v>0</x:v>
      </x:c>
      <x:c r="BA31" s="549"/>
      <x:c r="BB31" s="672"/>
      <x:c r="BC31" s="1684"/>
      <x:c r="BD31" s="733"/>
      <x:c r="BE31" s="734"/>
      <x:c r="BF31" s="735"/>
      <x:c r="BG31" s="672"/>
      <x:c r="BH31" s="982"/>
      <x:c r="BI31" s="983"/>
      <x:c r="BJ31" s="1625"/>
      <x:c r="BK31" s="713"/>
      <x:c r="BL31" s="714"/>
      <x:c r="BM31" s="715"/>
      <x:c r="BN31" s="716"/>
      <x:c r="BO31" s="672" t="str">
        <x:f>IF(ISERROR(CU31),"",IF(CU31="","",IF(VLOOKUP(BG31,SectInfo!$B:$N,10,FALSE)="","","X")))</x:f>
        <x:v/>
      </x:c>
      <x:c r="BP31" s="738"/>
      <x:c r="BQ31" s="1551" t="str">
        <x:f t="shared" si="35"/>
        <x:v/>
      </x:c>
      <x:c r="BR31" s="910"/>
      <x:c r="BS31" s="672"/>
      <x:c r="BT31" s="713"/>
      <x:c r="BU31" s="714"/>
      <x:c r="BV31" s="1625"/>
      <x:c r="BW31" s="713"/>
      <x:c r="BX31" s="714"/>
      <x:c r="BY31" s="715"/>
      <x:c r="BZ31" s="716"/>
      <x:c r="CA31" s="680" t="str">
        <x:f>IF(ISERROR(DE31),"",IF(DE31="","",IF(VLOOKUP(BS31,SectInfo!$B:$N,10,FALSE)="","","X")))</x:f>
        <x:v/>
      </x:c>
      <x:c r="CB31" s="738"/>
      <x:c r="CC31" s="1551" t="str">
        <x:f t="shared" si="36"/>
        <x:v/>
      </x:c>
      <x:c r="CD31" s="910"/>
      <x:c r="CE31" s="717"/>
      <x:c r="CF31" s="736"/>
      <x:c r="CG31" s="737"/>
      <x:c r="CH31" s="591" t="str">
        <x:f t="shared" si="37"/>
        <x:v/>
      </x:c>
      <x:c r="CI31" s="592" t="str">
        <x:f t="shared" si="38"/>
        <x:v/>
      </x:c>
      <x:c r="CJ31" s="593" t="str">
        <x:f t="shared" si="39"/>
        <x:v/>
      </x:c>
      <x:c r="CK31" s="594" t="str">
        <x:f t="shared" si="40"/>
        <x:v/>
      </x:c>
      <x:c r="CL31" s="595" t="str">
        <x:f t="shared" si="41"/>
        <x:v/>
      </x:c>
      <x:c r="CM31" s="596" t="str">
        <x:f t="shared" si="42"/>
        <x:v/>
      </x:c>
      <x:c r="CN31" s="597" t="str">
        <x:f t="shared" si="43"/>
        <x:v/>
      </x:c>
      <x:c r="CO31" s="598" t="str">
        <x:f t="shared" si="44"/>
        <x:v/>
      </x:c>
      <x:c r="CP31" s="615" t="str">
        <x:f t="shared" si="45"/>
        <x:v/>
      </x:c>
      <x:c r="CQ31" s="616" t="str">
        <x:f t="shared" si="46"/>
        <x:v/>
      </x:c>
      <x:c r="CR31" s="750">
        <x:f t="shared" si="47"/>
        <x:v>5</x:v>
      </x:c>
      <x:c r="CS31" s="751">
        <x:f t="shared" si="48"/>
        <x:v>5</x:v>
      </x:c>
      <x:c r="CU31" s="817" t="str">
        <x:f>IF(BG31="","",VLOOKUP(BG31,SectInfo!$B:$N,12,FALSE))</x:f>
        <x:v/>
      </x:c>
      <x:c r="CV31" s="815" t="str">
        <x:f>IF(BG31="","",IF(ISBLANK(BP31),VLOOKUP(BG31,SectInfo!$B:$N,13,FALSE),BP31))</x:f>
        <x:v/>
      </x:c>
      <x:c r="CW31" s="8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8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49"/>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50"/>
        <x:v>0</x:v>
      </x:c>
      <x:c r="DO31" s="818">
        <x:f t="shared" si="51"/>
        <x:v>0</x:v>
      </x:c>
      <x:c r="DP31" s="822" t="str">
        <x:f t="shared" si="52"/>
        <x:v/>
      </x:c>
      <x:c r="DQ31" s="822" t="str">
        <x:f t="shared" si="53"/>
        <x:v/>
      </x:c>
      <x:c r="DR31" s="822" t="str">
        <x:f t="shared" si="54"/>
        <x:v/>
      </x:c>
      <x:c r="DS31" s="821">
        <x:f t="shared" si="55"/>
        <x:v>0</x:v>
      </x:c>
      <x:c r="DT31" s="821">
        <x:f t="shared" si="56"/>
        <x:v>0</x:v>
      </x:c>
      <x:c r="DU31" s="821" t="str">
        <x:f t="shared" si="57"/>
        <x:v/>
      </x:c>
      <x:c r="DV31" s="822" t="str">
        <x:f t="shared" si="58"/>
        <x:v/>
      </x:c>
      <x:c r="DW31" s="856" t="str">
        <x:f t="shared" si="59"/>
        <x:v/>
      </x:c>
      <x:c r="DX31" s="1006">
        <x:f t="shared" si="60"/>
        <x:v>0</x:v>
      </x:c>
      <x:c r="DY31" s="822">
        <x:f t="shared" si="61"/>
        <x:v>0</x:v>
      </x:c>
      <x:c r="DZ31" s="821">
        <x:f t="shared" si="62"/>
        <x:v>0</x:v>
      </x:c>
      <x:c r="EA31" s="821" t="str">
        <x:f t="shared" si="63"/>
        <x:v/>
      </x:c>
      <x:c r="EB31" s="822" t="str">
        <x:f t="shared" si="64"/>
        <x:v/>
      </x:c>
      <x:c r="EC31" s="856" t="str">
        <x:f t="shared" si="65"/>
        <x:v/>
      </x:c>
      <x:c r="ED31" s="1006">
        <x:f t="shared" si="66"/>
        <x:v>0</x:v>
      </x:c>
      <x:c r="EE31" s="1293" t="str">
        <x:f t="shared" si="67"/>
        <x:v/>
      </x:c>
      <x:c r="EF31" s="1293" t="str">
        <x:f t="shared" si="68"/>
        <x:v/>
      </x:c>
      <x:c r="EG31" s="1293" t="str">
        <x:f t="shared" si="69"/>
        <x:v/>
      </x:c>
      <x:c r="EH31" s="856" t="str">
        <x:f t="shared" si="70"/>
        <x:v>ERR</x:v>
      </x:c>
      <x:c r="EI31" s="856" t="str">
        <x:f t="shared" si="71"/>
        <x:v>ERR</x:v>
      </x:c>
      <x:c r="EJ31" s="822" t="str">
        <x:f t="shared" si="72"/>
        <x:v/>
      </x:c>
      <x:c r="EK31" s="822" t="str">
        <x:f t="shared" si="72"/>
        <x:v/>
      </x:c>
      <x:c r="EL31" s="1293" t="str">
        <x:f t="shared" si="73"/>
        <x:v/>
      </x:c>
      <x:c r="EM31" s="822" t="str">
        <x:f t="shared" si="74"/>
        <x:v/>
      </x:c>
      <x:c r="EN31" s="822" t="str">
        <x:f t="shared" si="75"/>
        <x:v/>
      </x:c>
      <x:c r="EO31" s="856" t="str">
        <x:f t="shared" si="76"/>
        <x:v>ERR</x:v>
      </x:c>
      <x:c r="EP31" s="856" t="str">
        <x:f t="shared" si="77"/>
        <x:v>ERR</x:v>
      </x:c>
      <x:c r="EQ31" s="1293" t="str">
        <x:f t="shared" si="78"/>
        <x:v/>
      </x:c>
      <x:c r="ER31" s="822" t="str">
        <x:f t="shared" si="78"/>
        <x:v/>
      </x:c>
      <x:c r="ES31" s="822" t="str">
        <x:f t="shared" si="79"/>
        <x:v/>
      </x:c>
      <x:c r="ET31" s="822" t="str">
        <x:f t="shared" si="80"/>
        <x:v/>
      </x:c>
      <x:c r="EU31" s="829">
        <x:f t="shared" si="81"/>
        <x:v>4</x:v>
      </x:c>
      <x:c r="EV31" s="824" t="str">
        <x:f t="shared" si="82"/>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83"/>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84"/>
        <x:v/>
      </x:c>
      <x:c r="FD31" s="821">
        <x:f t="shared" si="107"/>
        <x:v>0</x:v>
      </x:c>
      <x:c r="FE31" s="821">
        <x:f t="shared" si="85"/>
        <x:v>0</x:v>
      </x:c>
      <x:c r="FF31" s="821">
        <x:f t="shared" si="86"/>
        <x:v>0</x:v>
      </x:c>
      <x:c r="FG31" s="821" t="str">
        <x:f t="shared" si="87"/>
        <x:v/>
      </x:c>
      <x:c r="FH31" s="822" t="str">
        <x:f t="shared" si="88"/>
        <x:v/>
      </x:c>
      <x:c r="FI31" s="821">
        <x:f t="shared" si="108"/>
        <x:v>0</x:v>
      </x:c>
      <x:c r="FJ31" s="821">
        <x:f t="shared" si="89"/>
        <x:v>0</x:v>
      </x:c>
      <x:c r="FK31" s="821">
        <x:f t="shared" si="90"/>
        <x:v>0</x:v>
      </x:c>
      <x:c r="FL31" s="821" t="str">
        <x:f t="shared" si="91"/>
        <x:v/>
      </x:c>
      <x:c r="FM31" s="822" t="str">
        <x:f t="shared" si="92"/>
        <x:v/>
      </x:c>
      <x:c r="FN31" s="822" t="e">
        <x:f t="shared" si="93"/>
        <x:v>#VALUE!</x:v>
      </x:c>
      <x:c r="FO31" s="940" t="e">
        <x:f t="shared" si="94"/>
        <x:v>#VALUE!</x:v>
      </x:c>
      <x:c r="FP31" s="940" t="e">
        <x:f t="shared" si="95"/>
        <x:v>#VALUE!</x:v>
      </x:c>
      <x:c r="FQ31" s="830" t="e">
        <x:f t="shared" si="96"/>
        <x:v>#VALUE!</x:v>
      </x:c>
      <x:c r="FR31" s="831" t="e">
        <x:f t="shared" si="97"/>
        <x:v>#VALUE!</x:v>
      </x:c>
      <x:c r="FS31" s="832" t="str">
        <x:f t="shared" si="98"/>
        <x:v/>
      </x:c>
      <x:c r="FT31" s="833" t="str">
        <x:f t="shared" si="99"/>
        <x:v/>
      </x:c>
      <x:c r="FU31" s="870">
        <x:f t="shared" si="100"/>
        <x:v>0</x:v>
      </x:c>
      <x:c r="FV31" s="871">
        <x:f t="shared" si="101"/>
        <x:v>0</x:v>
      </x:c>
      <x:c r="GA31" s="1791">
        <x:v>69</x:v>
      </x:c>
      <x:c r="GB31" s="1792">
        <x:v>2.25</x:v>
      </x:c>
      <x:c r="GC31" s="1793">
        <x:v>-0.25</x:v>
      </x:c>
      <x:c r="GD31" s="1794">
        <x:v>-0.5</x:v>
      </x:c>
      <x:c r="GE31" s="1795">
        <x:f t="shared" si="102"/>
        <x:v>0</x:v>
      </x:c>
      <x:c r="GF31" s="600" t="str">
        <x:f t="shared" si="103"/>
        <x:v>J57</x:v>
      </x:c>
      <x:c r="GG31" s="1130">
        <x:v>0</x:v>
      </x:c>
      <x:c r="GH31" s="1131">
        <x:v>0</x:v>
      </x:c>
      <x:c r="GI31" s="1130"/>
      <x:c r="GJ31" s="1131"/>
      <x:c r="GK31" s="1638">
        <x:f t="shared" si="104"/>
        <x:v>829.5</x:v>
      </x:c>
      <x:c r="GL31" s="1636">
        <x:f t="shared" si="105"/>
        <x:v>829.5</x:v>
      </x:c>
      <x:c r="GM31" s="1637">
        <x:f>IF(ABS(GK31-GL31)&gt;='Job Info.'!$L$22,ABS(GK31-GL31),0)</x:f>
        <x:v>0</x:v>
      </x:c>
      <x:c r="HA31" s="1269" t="s">
        <x:v>1487</x:v>
      </x:c>
      <x:c r="HB31" s="1270">
        <x:v>2</x:v>
      </x:c>
      <x:c r="HC31" s="1270" t="s">
        <x:v>1593</x:v>
      </x:c>
      <x:c r="HD31" s="1271">
        <x:v>69</x:v>
      </x:c>
      <x:c r="HE31" s="1272">
        <x:v>1.5</x:v>
      </x:c>
      <x:c r="HF31" s="1270" t="s">
        <x:v>116</x:v>
      </x:c>
      <x:c r="HG31" s="1270" t="s">
        <x:v>116</x:v>
      </x:c>
      <x:c r="HH31" s="1270" t="s">
        <x:v>116</x:v>
      </x:c>
      <x:c r="HI31" s="1273" t="s">
        <x:v>116</x:v>
      </x:c>
      <x:c r="HJ31" s="1270" t="s">
        <x:v>116</x:v>
      </x:c>
      <x:c r="HK31" s="1270" t="s">
        <x:v>116</x:v>
      </x:c>
      <x:c r="HL31" s="1270">
        <x:v>5</x:v>
      </x:c>
      <x:c r="HM31" s="1270">
        <x:v>5</x:v>
      </x:c>
      <x:c r="HN31" s="1270" t="s">
        <x:v>116</x:v>
      </x:c>
      <x:c r="HO31" s="1270" t="s">
        <x:v>116</x:v>
      </x:c>
      <x:c r="HP31" s="1270" t="s">
        <x:v>116</x:v>
      </x:c>
      <x:c r="HQ31" s="1273" t="s">
        <x:v>116</x:v>
      </x:c>
      <x:c r="HR31" s="1270" t="s">
        <x:v>116</x:v>
      </x:c>
      <x:c r="HS31" s="1270" t="s">
        <x:v>116</x:v>
      </x:c>
      <x:c r="HT31" s="1270">
        <x:v>0</x:v>
      </x:c>
      <x:c r="HU31" s="1270">
        <x:v>2.25</x:v>
      </x:c>
      <x:c r="HV31" s="1270">
        <x:v>0</x:v>
      </x:c>
      <x:c r="HW31" s="1272">
        <x:v>2</x:v>
      </x:c>
      <x:c r="HX31" s="1272">
        <x:v>4</x:v>
      </x:c>
      <x:c r="HY31" s="1272" t="s">
        <x:v>116</x:v>
      </x:c>
      <x:c r="HZ31" s="1272" t="s">
        <x:v>116</x:v>
      </x:c>
      <x:c r="IA31" s="1272" t="s">
        <x:v>1680</x:v>
      </x:c>
      <x:c r="IB31" s="1272"/>
      <x:c r="IC31" s="1272"/>
      <x:c r="ID31" s="1272"/>
      <x:c r="IE31" s="1272"/>
      <x:c r="IF31" s="1274"/>
    </x:row>
    <x:row r="32" spans="1:240" ht="12.6" customHeight="1" x14ac:dyDescent="0.25">
      <x:c r="A32" s="2764" t="s">
        <x:v>1488</x:v>
      </x:c>
      <x:c r="B32" s="2765">
        <x:v>4</x:v>
      </x:c>
      <x:c r="C32" s="2766" t="s">
        <x:v>1593</x:v>
      </x:c>
      <x:c r="D32" s="2767">
        <x:v>69</x:v>
      </x:c>
      <x:c r="E32" s="2768">
        <x:v>1.5</x:v>
      </x:c>
      <x:c r="F32" s="2776" t="str">
        <x:f t="shared" si="1"/>
        <x:v/>
      </x:c>
      <x:c r="G32" s="2771" t="str">
        <x:f t="shared" si="2"/>
        <x:v/>
      </x:c>
      <x:c r="H32" s="2842" t="str">
        <x:f t="shared" si="3"/>
        <x:v/>
      </x:c>
      <x:c r="I32" s="2767" t="str">
        <x:f t="shared" si="4"/>
        <x:v/>
      </x:c>
      <x:c r="J32" s="2771" t="str">
        <x:f t="shared" si="5"/>
        <x:v/>
      </x:c>
      <x:c r="K32" s="2855" t="str">
        <x:f t="shared" si="6"/>
        <x:v/>
      </x:c>
      <x:c r="L32" s="2774">
        <x:v>5</x:v>
      </x:c>
      <x:c r="M32" s="2775">
        <x:v>5</x:v>
      </x:c>
      <x:c r="N32" s="2770" t="str">
        <x:f t="shared" si="7"/>
        <x:v/>
      </x:c>
      <x:c r="O32" s="2771" t="str">
        <x:f t="shared" si="8"/>
        <x:v/>
      </x:c>
      <x:c r="P32" s="2772" t="str">
        <x:f t="shared" si="9"/>
        <x:v/>
      </x:c>
      <x:c r="Q32" s="2767" t="str">
        <x:f t="shared" si="10"/>
        <x:v/>
      </x:c>
      <x:c r="R32" s="2771" t="str">
        <x:f t="shared" si="11"/>
        <x:v/>
      </x:c>
      <x:c r="S32" s="2773" t="str">
        <x:f t="shared" si="12"/>
        <x:v/>
      </x:c>
      <x:c r="T32" s="2776">
        <x:v>0</x:v>
      </x:c>
      <x:c r="U32" s="2771">
        <x:v>2.25</x:v>
      </x:c>
      <x:c r="V32" s="2767">
        <x:v>0</x:v>
      </x:c>
      <x:c r="W32" s="2771">
        <x:v>2</x:v>
      </x:c>
      <x:c r="X32" s="2775">
        <x:v>4</x:v>
      </x:c>
      <x:c r="Y32" s="2844" t="str">
        <x:f t="shared" si="13"/>
        <x:v/>
      </x:c>
      <x:c r="Z32" s="2845" t="str">
        <x:f t="shared" si="14"/>
        <x:v/>
      </x:c>
      <x:c r="AA32" s="2846" t="s">
        <x:v>1681</x:v>
      </x:c>
      <x:c r="AB32" s="1413"/>
      <x:c r="AC32" s="964" t="b">
        <x:v>0</x:v>
      </x:c>
      <x:c r="AD32" s="441">
        <x:f t="shared" si="15"/>
        <x:v>0</x:v>
      </x:c>
      <x:c r="AE32" s="442">
        <x:f t="shared" si="16"/>
        <x:v>4</x:v>
      </x:c>
      <x:c r="AF32" s="442">
        <x:f t="shared" si="17"/>
        <x:v>0</x:v>
      </x:c>
      <x:c r="AG32" s="442">
        <x:f t="shared" si="18"/>
        <x:v>0</x:v>
      </x:c>
      <x:c r="AH32" s="443">
        <x:f t="shared" si="19"/>
        <x:v>0</x:v>
      </x:c>
      <x:c r="AI32" s="444" t="b">
        <x:v>0</x:v>
      </x:c>
      <x:c r="AJ32" s="238">
        <x:f t="shared" si="20"/>
        <x:v>44</x:v>
      </x:c>
      <x:c r="AK32" s="830" t="str">
        <x:f t="shared" si="21"/>
        <x:v>LH</x:v>
      </x:c>
      <x:c r="AL32" s="945" t="str">
        <x:f t="shared" si="22"/>
        <x:v/>
      </x:c>
      <x:c r="AM32" s="830">
        <x:f t="shared" si="23"/>
        <x:v>305</x:v>
      </x:c>
      <x:c r="AN32" s="830">
        <x:f t="shared" si="24"/>
        <x:v>180</x:v>
      </x:c>
      <x:c r="AO32" s="830" t="str">
        <x:f t="shared" si="25"/>
        <x:v/>
      </x:c>
      <x:c r="AP32" s="830" t="b">
        <x:f>IF(ISERROR(AJ32),FALSE,IF(OR(AJ32=0,ISERROR(AL32),ISERROR(AM32),ISERROR(AN32),ISERROR(AO32)),FALSE,IF(AL32&lt;&gt;"",IF(ISERROR(VLOOKUP(SUBSTITUTE(SUBSTITUTE(C32,"R",""),"A",""),TblJoistSize!$A:$A,1,FALSE)),FALSE,TRUE),TRUE)))</x:f>
        <x:v>1</x:v>
      </x:c>
      <x:c r="AQ32" s="1038">
        <x:f t="shared" si="26"/>
        <x:v>6</x:v>
      </x:c>
      <x:c r="AR32" s="945" t="b">
        <x:f t="shared" si="27"/>
        <x:v>1</x:v>
      </x:c>
      <x:c r="AS32" s="1038">
        <x:f t="shared" si="28"/>
        <x:v>6</x:v>
      </x:c>
      <x:c r="AT32" s="945" t="b">
        <x:f t="shared" si="29"/>
        <x:v>1</x:v>
      </x:c>
      <x:c r="AU32" s="946" t="str">
        <x:f t="shared" si="30"/>
        <x:v>LH</x:v>
      </x:c>
      <x:c r="AV32" s="830" t="str">
        <x:f t="shared" si="31"/>
        <x:v/>
      </x:c>
      <x:c r="AW32" s="830" t="str">
        <x:f t="shared" si="32"/>
        <x:v>LH</x:v>
      </x:c>
      <x:c r="AX32" s="830" t="str">
        <x:f t="shared" si="106"/>
        <x:v>J58</x:v>
      </x:c>
      <x:c r="AY32" s="1039" t="b">
        <x:f t="shared" si="33"/>
        <x:v>0</x:v>
      </x:c>
      <x:c r="AZ32" s="856" t="b">
        <x:f t="shared" si="34"/>
        <x:v>0</x:v>
      </x:c>
      <x:c r="BA32" s="549"/>
      <x:c r="BB32" s="672"/>
      <x:c r="BC32" s="1684"/>
      <x:c r="BD32" s="733"/>
      <x:c r="BE32" s="734"/>
      <x:c r="BF32" s="735"/>
      <x:c r="BG32" s="672"/>
      <x:c r="BH32" s="982"/>
      <x:c r="BI32" s="983"/>
      <x:c r="BJ32" s="1625"/>
      <x:c r="BK32" s="713"/>
      <x:c r="BL32" s="714"/>
      <x:c r="BM32" s="715"/>
      <x:c r="BN32" s="716"/>
      <x:c r="BO32" s="672" t="str">
        <x:f>IF(ISERROR(CU32),"",IF(CU32="","",IF(VLOOKUP(BG32,SectInfo!$B:$N,10,FALSE)="","","X")))</x:f>
        <x:v/>
      </x:c>
      <x:c r="BP32" s="738"/>
      <x:c r="BQ32" s="1551" t="str">
        <x:f t="shared" si="35"/>
        <x:v/>
      </x:c>
      <x:c r="BR32" s="910"/>
      <x:c r="BS32" s="672"/>
      <x:c r="BT32" s="713"/>
      <x:c r="BU32" s="714"/>
      <x:c r="BV32" s="1625"/>
      <x:c r="BW32" s="713"/>
      <x:c r="BX32" s="714"/>
      <x:c r="BY32" s="715"/>
      <x:c r="BZ32" s="716"/>
      <x:c r="CA32" s="680" t="str">
        <x:f>IF(ISERROR(DE32),"",IF(DE32="","",IF(VLOOKUP(BS32,SectInfo!$B:$N,10,FALSE)="","","X")))</x:f>
        <x:v/>
      </x:c>
      <x:c r="CB32" s="738"/>
      <x:c r="CC32" s="1551" t="str">
        <x:f t="shared" si="36"/>
        <x:v/>
      </x:c>
      <x:c r="CD32" s="910"/>
      <x:c r="CE32" s="717"/>
      <x:c r="CF32" s="736"/>
      <x:c r="CG32" s="737"/>
      <x:c r="CH32" s="591" t="str">
        <x:f t="shared" si="37"/>
        <x:v/>
      </x:c>
      <x:c r="CI32" s="592" t="str">
        <x:f t="shared" si="38"/>
        <x:v/>
      </x:c>
      <x:c r="CJ32" s="593" t="str">
        <x:f t="shared" si="39"/>
        <x:v/>
      </x:c>
      <x:c r="CK32" s="594" t="str">
        <x:f t="shared" si="40"/>
        <x:v/>
      </x:c>
      <x:c r="CL32" s="595" t="str">
        <x:f t="shared" si="41"/>
        <x:v/>
      </x:c>
      <x:c r="CM32" s="596" t="str">
        <x:f t="shared" si="42"/>
        <x:v/>
      </x:c>
      <x:c r="CN32" s="597" t="str">
        <x:f t="shared" si="43"/>
        <x:v/>
      </x:c>
      <x:c r="CO32" s="598" t="str">
        <x:f t="shared" si="44"/>
        <x:v/>
      </x:c>
      <x:c r="CP32" s="615" t="str">
        <x:f t="shared" si="45"/>
        <x:v/>
      </x:c>
      <x:c r="CQ32" s="616" t="str">
        <x:f t="shared" si="46"/>
        <x:v/>
      </x:c>
      <x:c r="CR32" s="750">
        <x:f t="shared" si="47"/>
        <x:v>5</x:v>
      </x:c>
      <x:c r="CS32" s="751">
        <x:f t="shared" si="48"/>
        <x:v>5</x:v>
      </x:c>
      <x:c r="CU32" s="817" t="str">
        <x:f>IF(BG32="","",VLOOKUP(BG32,SectInfo!$B:$N,12,FALSE))</x:f>
        <x:v/>
      </x:c>
      <x:c r="CV32" s="815" t="str">
        <x:f>IF(BG32="","",IF(ISBLANK(BP32),VLOOKUP(BG32,SectInfo!$B:$N,13,FALSE),BP32))</x:f>
        <x:v/>
      </x:c>
      <x:c r="CW32" s="8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8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49"/>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50"/>
        <x:v>0</x:v>
      </x:c>
      <x:c r="DO32" s="818">
        <x:f t="shared" si="51"/>
        <x:v>0</x:v>
      </x:c>
      <x:c r="DP32" s="822" t="str">
        <x:f t="shared" si="52"/>
        <x:v/>
      </x:c>
      <x:c r="DQ32" s="822" t="str">
        <x:f t="shared" si="53"/>
        <x:v/>
      </x:c>
      <x:c r="DR32" s="822" t="str">
        <x:f t="shared" si="54"/>
        <x:v/>
      </x:c>
      <x:c r="DS32" s="821">
        <x:f t="shared" si="55"/>
        <x:v>0</x:v>
      </x:c>
      <x:c r="DT32" s="821">
        <x:f t="shared" si="56"/>
        <x:v>0</x:v>
      </x:c>
      <x:c r="DU32" s="821" t="str">
        <x:f t="shared" si="57"/>
        <x:v/>
      </x:c>
      <x:c r="DV32" s="822" t="str">
        <x:f t="shared" si="58"/>
        <x:v/>
      </x:c>
      <x:c r="DW32" s="856" t="str">
        <x:f t="shared" si="59"/>
        <x:v/>
      </x:c>
      <x:c r="DX32" s="1006">
        <x:f t="shared" si="60"/>
        <x:v>0</x:v>
      </x:c>
      <x:c r="DY32" s="822">
        <x:f t="shared" si="61"/>
        <x:v>0</x:v>
      </x:c>
      <x:c r="DZ32" s="821">
        <x:f t="shared" si="62"/>
        <x:v>0</x:v>
      </x:c>
      <x:c r="EA32" s="821" t="str">
        <x:f t="shared" si="63"/>
        <x:v/>
      </x:c>
      <x:c r="EB32" s="822" t="str">
        <x:f t="shared" si="64"/>
        <x:v/>
      </x:c>
      <x:c r="EC32" s="856" t="str">
        <x:f t="shared" si="65"/>
        <x:v/>
      </x:c>
      <x:c r="ED32" s="1006">
        <x:f t="shared" si="66"/>
        <x:v>0</x:v>
      </x:c>
      <x:c r="EE32" s="1293" t="str">
        <x:f t="shared" si="67"/>
        <x:v/>
      </x:c>
      <x:c r="EF32" s="1293" t="str">
        <x:f t="shared" si="68"/>
        <x:v/>
      </x:c>
      <x:c r="EG32" s="1293" t="str">
        <x:f t="shared" si="69"/>
        <x:v/>
      </x:c>
      <x:c r="EH32" s="856" t="str">
        <x:f t="shared" si="70"/>
        <x:v>ERR</x:v>
      </x:c>
      <x:c r="EI32" s="856" t="str">
        <x:f t="shared" si="71"/>
        <x:v>ERR</x:v>
      </x:c>
      <x:c r="EJ32" s="822" t="str">
        <x:f t="shared" si="72"/>
        <x:v/>
      </x:c>
      <x:c r="EK32" s="822" t="str">
        <x:f t="shared" si="72"/>
        <x:v/>
      </x:c>
      <x:c r="EL32" s="1293" t="str">
        <x:f t="shared" si="73"/>
        <x:v/>
      </x:c>
      <x:c r="EM32" s="822" t="str">
        <x:f t="shared" si="74"/>
        <x:v/>
      </x:c>
      <x:c r="EN32" s="822" t="str">
        <x:f t="shared" si="75"/>
        <x:v/>
      </x:c>
      <x:c r="EO32" s="856" t="str">
        <x:f t="shared" si="76"/>
        <x:v>ERR</x:v>
      </x:c>
      <x:c r="EP32" s="856" t="str">
        <x:f t="shared" si="77"/>
        <x:v>ERR</x:v>
      </x:c>
      <x:c r="EQ32" s="1293" t="str">
        <x:f t="shared" si="78"/>
        <x:v/>
      </x:c>
      <x:c r="ER32" s="822" t="str">
        <x:f t="shared" si="78"/>
        <x:v/>
      </x:c>
      <x:c r="ES32" s="822" t="str">
        <x:f t="shared" si="79"/>
        <x:v/>
      </x:c>
      <x:c r="ET32" s="822" t="str">
        <x:f t="shared" si="80"/>
        <x:v/>
      </x:c>
      <x:c r="EU32" s="829">
        <x:f t="shared" si="81"/>
        <x:v>4</x:v>
      </x:c>
      <x:c r="EV32" s="824" t="str">
        <x:f t="shared" si="82"/>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83"/>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84"/>
        <x:v/>
      </x:c>
      <x:c r="FD32" s="821">
        <x:f t="shared" si="107"/>
        <x:v>0</x:v>
      </x:c>
      <x:c r="FE32" s="821">
        <x:f t="shared" si="85"/>
        <x:v>0</x:v>
      </x:c>
      <x:c r="FF32" s="821">
        <x:f t="shared" si="86"/>
        <x:v>0</x:v>
      </x:c>
      <x:c r="FG32" s="821" t="str">
        <x:f t="shared" si="87"/>
        <x:v/>
      </x:c>
      <x:c r="FH32" s="822" t="str">
        <x:f t="shared" si="88"/>
        <x:v/>
      </x:c>
      <x:c r="FI32" s="821">
        <x:f t="shared" si="108"/>
        <x:v>0</x:v>
      </x:c>
      <x:c r="FJ32" s="821">
        <x:f t="shared" si="89"/>
        <x:v>0</x:v>
      </x:c>
      <x:c r="FK32" s="821">
        <x:f t="shared" si="90"/>
        <x:v>0</x:v>
      </x:c>
      <x:c r="FL32" s="821" t="str">
        <x:f t="shared" si="91"/>
        <x:v/>
      </x:c>
      <x:c r="FM32" s="822" t="str">
        <x:f t="shared" si="92"/>
        <x:v/>
      </x:c>
      <x:c r="FN32" s="822" t="e">
        <x:f t="shared" si="93"/>
        <x:v>#VALUE!</x:v>
      </x:c>
      <x:c r="FO32" s="940" t="e">
        <x:f t="shared" si="94"/>
        <x:v>#VALUE!</x:v>
      </x:c>
      <x:c r="FP32" s="940" t="e">
        <x:f t="shared" si="95"/>
        <x:v>#VALUE!</x:v>
      </x:c>
      <x:c r="FQ32" s="830" t="e">
        <x:f t="shared" si="96"/>
        <x:v>#VALUE!</x:v>
      </x:c>
      <x:c r="FR32" s="831" t="e">
        <x:f t="shared" si="97"/>
        <x:v>#VALUE!</x:v>
      </x:c>
      <x:c r="FS32" s="832" t="str">
        <x:f t="shared" si="98"/>
        <x:v/>
      </x:c>
      <x:c r="FT32" s="833" t="str">
        <x:f t="shared" si="99"/>
        <x:v/>
      </x:c>
      <x:c r="FU32" s="870">
        <x:f t="shared" si="100"/>
        <x:v>0</x:v>
      </x:c>
      <x:c r="FV32" s="871">
        <x:f t="shared" si="101"/>
        <x:v>0</x:v>
      </x:c>
      <x:c r="GA32" s="1791">
        <x:v>69</x:v>
      </x:c>
      <x:c r="GB32" s="1792">
        <x:v>2.25</x:v>
      </x:c>
      <x:c r="GC32" s="1793">
        <x:v>-0.25</x:v>
      </x:c>
      <x:c r="GD32" s="1794">
        <x:v>-0.5</x:v>
      </x:c>
      <x:c r="GE32" s="1795">
        <x:f t="shared" si="102"/>
        <x:v>0</x:v>
      </x:c>
      <x:c r="GF32" s="600" t="str">
        <x:f t="shared" si="103"/>
        <x:v>J58</x:v>
      </x:c>
      <x:c r="GG32" s="1130">
        <x:v>0</x:v>
      </x:c>
      <x:c r="GH32" s="1131">
        <x:v>0</x:v>
      </x:c>
      <x:c r="GI32" s="1130"/>
      <x:c r="GJ32" s="1131"/>
      <x:c r="GK32" s="1638">
        <x:f t="shared" si="104"/>
        <x:v>829.5</x:v>
      </x:c>
      <x:c r="GL32" s="1636">
        <x:f t="shared" si="105"/>
        <x:v>829.5</x:v>
      </x:c>
      <x:c r="GM32" s="1637">
        <x:f>IF(ABS(GK32-GL32)&gt;='Job Info.'!$L$22,ABS(GK32-GL32),0)</x:f>
        <x:v>0</x:v>
      </x:c>
      <x:c r="HA32" s="1269" t="s">
        <x:v>1488</x:v>
      </x:c>
      <x:c r="HB32" s="1270">
        <x:v>4</x:v>
      </x:c>
      <x:c r="HC32" s="1270" t="s">
        <x:v>1593</x:v>
      </x:c>
      <x:c r="HD32" s="1271">
        <x:v>69</x:v>
      </x:c>
      <x:c r="HE32" s="1272">
        <x:v>1.5</x:v>
      </x:c>
      <x:c r="HF32" s="1270" t="s">
        <x:v>116</x:v>
      </x:c>
      <x:c r="HG32" s="1270" t="s">
        <x:v>116</x:v>
      </x:c>
      <x:c r="HH32" s="1270" t="s">
        <x:v>116</x:v>
      </x:c>
      <x:c r="HI32" s="1273" t="s">
        <x:v>116</x:v>
      </x:c>
      <x:c r="HJ32" s="1270" t="s">
        <x:v>116</x:v>
      </x:c>
      <x:c r="HK32" s="1270" t="s">
        <x:v>116</x:v>
      </x:c>
      <x:c r="HL32" s="1270">
        <x:v>5</x:v>
      </x:c>
      <x:c r="HM32" s="1270">
        <x:v>5</x:v>
      </x:c>
      <x:c r="HN32" s="1270" t="s">
        <x:v>116</x:v>
      </x:c>
      <x:c r="HO32" s="1270" t="s">
        <x:v>116</x:v>
      </x:c>
      <x:c r="HP32" s="1270" t="s">
        <x:v>116</x:v>
      </x:c>
      <x:c r="HQ32" s="1273" t="s">
        <x:v>116</x:v>
      </x:c>
      <x:c r="HR32" s="1270" t="s">
        <x:v>116</x:v>
      </x:c>
      <x:c r="HS32" s="1270" t="s">
        <x:v>116</x:v>
      </x:c>
      <x:c r="HT32" s="1270">
        <x:v>0</x:v>
      </x:c>
      <x:c r="HU32" s="1270">
        <x:v>2.25</x:v>
      </x:c>
      <x:c r="HV32" s="1270">
        <x:v>0</x:v>
      </x:c>
      <x:c r="HW32" s="1272">
        <x:v>2</x:v>
      </x:c>
      <x:c r="HX32" s="1272">
        <x:v>4</x:v>
      </x:c>
      <x:c r="HY32" s="1272" t="s">
        <x:v>116</x:v>
      </x:c>
      <x:c r="HZ32" s="1272" t="s">
        <x:v>116</x:v>
      </x:c>
      <x:c r="IA32" s="1272" t="s">
        <x:v>1681</x:v>
      </x:c>
      <x:c r="IB32" s="1272"/>
      <x:c r="IC32" s="1272"/>
      <x:c r="ID32" s="1272"/>
      <x:c r="IE32" s="1272"/>
      <x:c r="IF32" s="1274"/>
    </x:row>
    <x:row r="33" spans="1:240" ht="12.6" customHeight="1" x14ac:dyDescent="0.25">
      <x:c r="A33" s="2764" t="s">
        <x:v>1489</x:v>
      </x:c>
      <x:c r="B33" s="2765">
        <x:v>3</x:v>
      </x:c>
      <x:c r="C33" s="2766" t="s">
        <x:v>1593</x:v>
      </x:c>
      <x:c r="D33" s="2767">
        <x:v>69</x:v>
      </x:c>
      <x:c r="E33" s="2768">
        <x:v>1.5</x:v>
      </x:c>
      <x:c r="F33" s="2776" t="str">
        <x:f t="shared" si="1"/>
        <x:v/>
      </x:c>
      <x:c r="G33" s="2771" t="str">
        <x:f t="shared" si="2"/>
        <x:v/>
      </x:c>
      <x:c r="H33" s="2842" t="str">
        <x:f t="shared" si="3"/>
        <x:v/>
      </x:c>
      <x:c r="I33" s="2767" t="str">
        <x:f t="shared" si="4"/>
        <x:v/>
      </x:c>
      <x:c r="J33" s="2771" t="str">
        <x:f t="shared" si="5"/>
        <x:v/>
      </x:c>
      <x:c r="K33" s="2855" t="str">
        <x:f t="shared" si="6"/>
        <x:v/>
      </x:c>
      <x:c r="L33" s="2774">
        <x:v>5</x:v>
      </x:c>
      <x:c r="M33" s="2775">
        <x:v>5</x:v>
      </x:c>
      <x:c r="N33" s="2770">
        <x:v>0</x:v>
      </x:c>
      <x:c r="O33" s="2771">
        <x:v>6.75</x:v>
      </x:c>
      <x:c r="P33" s="2772">
        <x:v>2</x:v>
      </x:c>
      <x:c r="Q33" s="2767" t="str">
        <x:f t="shared" si="10"/>
        <x:v/>
      </x:c>
      <x:c r="R33" s="2771" t="str">
        <x:f t="shared" si="11"/>
        <x:v/>
      </x:c>
      <x:c r="S33" s="2773" t="str">
        <x:f t="shared" si="12"/>
        <x:v/>
      </x:c>
      <x:c r="T33" s="2776">
        <x:v>0</x:v>
      </x:c>
      <x:c r="U33" s="2771">
        <x:v>2.25</x:v>
      </x:c>
      <x:c r="V33" s="2767">
        <x:v>0</x:v>
      </x:c>
      <x:c r="W33" s="2771">
        <x:v>2</x:v>
      </x:c>
      <x:c r="X33" s="2775">
        <x:v>4</x:v>
      </x:c>
      <x:c r="Y33" s="2844" t="str">
        <x:f t="shared" si="13"/>
        <x:v/>
      </x:c>
      <x:c r="Z33" s="2845" t="str">
        <x:f t="shared" si="14"/>
        <x:v/>
      </x:c>
      <x:c r="AA33" s="2846" t="s">
        <x:v>1682</x:v>
      </x:c>
      <x:c r="AB33" s="1413"/>
      <x:c r="AC33" s="964" t="b">
        <x:v>0</x:v>
      </x:c>
      <x:c r="AD33" s="441">
        <x:f t="shared" si="15"/>
        <x:v>0</x:v>
      </x:c>
      <x:c r="AE33" s="442">
        <x:f t="shared" si="16"/>
        <x:v>3</x:v>
      </x:c>
      <x:c r="AF33" s="442">
        <x:f t="shared" si="17"/>
        <x:v>0</x:v>
      </x:c>
      <x:c r="AG33" s="442">
        <x:f t="shared" si="18"/>
        <x:v>0</x:v>
      </x:c>
      <x:c r="AH33" s="443">
        <x:f t="shared" si="19"/>
        <x:v>0</x:v>
      </x:c>
      <x:c r="AI33" s="444" t="b">
        <x:v>0</x:v>
      </x:c>
      <x:c r="AJ33" s="238">
        <x:f t="shared" si="20"/>
        <x:v>44</x:v>
      </x:c>
      <x:c r="AK33" s="830" t="str">
        <x:f t="shared" si="21"/>
        <x:v>LH</x:v>
      </x:c>
      <x:c r="AL33" s="945" t="str">
        <x:f t="shared" si="22"/>
        <x:v/>
      </x:c>
      <x:c r="AM33" s="830">
        <x:f t="shared" si="23"/>
        <x:v>305</x:v>
      </x:c>
      <x:c r="AN33" s="830">
        <x:f t="shared" si="24"/>
        <x:v>180</x:v>
      </x:c>
      <x:c r="AO33" s="830" t="str">
        <x:f t="shared" si="25"/>
        <x:v/>
      </x:c>
      <x:c r="AP33" s="830" t="b">
        <x:f>IF(ISERROR(AJ33),FALSE,IF(OR(AJ33=0,ISERROR(AL33),ISERROR(AM33),ISERROR(AN33),ISERROR(AO33)),FALSE,IF(AL33&lt;&gt;"",IF(ISERROR(VLOOKUP(SUBSTITUTE(SUBSTITUTE(C33,"R",""),"A",""),TblJoistSize!$A:$A,1,FALSE)),FALSE,TRUE),TRUE)))</x:f>
        <x:v>1</x:v>
      </x:c>
      <x:c r="AQ33" s="1038">
        <x:f t="shared" si="26"/>
        <x:v>6</x:v>
      </x:c>
      <x:c r="AR33" s="945" t="b">
        <x:f t="shared" si="27"/>
        <x:v>1</x:v>
      </x:c>
      <x:c r="AS33" s="1038">
        <x:f t="shared" si="28"/>
        <x:v>6</x:v>
      </x:c>
      <x:c r="AT33" s="945" t="b">
        <x:f t="shared" si="29"/>
        <x:v>1</x:v>
      </x:c>
      <x:c r="AU33" s="946" t="str">
        <x:f t="shared" si="30"/>
        <x:v>LH</x:v>
      </x:c>
      <x:c r="AV33" s="830" t="str">
        <x:f t="shared" si="31"/>
        <x:v/>
      </x:c>
      <x:c r="AW33" s="830" t="str">
        <x:f t="shared" si="32"/>
        <x:v>LH</x:v>
      </x:c>
      <x:c r="AX33" s="830" t="str">
        <x:f t="shared" si="106"/>
        <x:v>TJ59</x:v>
      </x:c>
      <x:c r="AY33" s="1039" t="b">
        <x:f t="shared" si="33"/>
        <x:v>0</x:v>
      </x:c>
      <x:c r="AZ33" s="856" t="b">
        <x:f t="shared" si="34"/>
        <x:v>0</x:v>
      </x:c>
      <x:c r="BA33" s="549"/>
      <x:c r="BB33" s="672"/>
      <x:c r="BC33" s="1684"/>
      <x:c r="BD33" s="733"/>
      <x:c r="BE33" s="734"/>
      <x:c r="BF33" s="735"/>
      <x:c r="BG33" s="672"/>
      <x:c r="BH33" s="982"/>
      <x:c r="BI33" s="983"/>
      <x:c r="BJ33" s="1625"/>
      <x:c r="BK33" s="713"/>
      <x:c r="BL33" s="714"/>
      <x:c r="BM33" s="715"/>
      <x:c r="BN33" s="716"/>
      <x:c r="BO33" s="672" t="str">
        <x:f>IF(ISERROR(CU33),"",IF(CU33="","",IF(VLOOKUP(BG33,SectInfo!$B:$N,10,FALSE)="","","X")))</x:f>
        <x:v/>
      </x:c>
      <x:c r="BP33" s="738"/>
      <x:c r="BQ33" s="1551" t="str">
        <x:f t="shared" si="35"/>
        <x:v/>
      </x:c>
      <x:c r="BR33" s="910"/>
      <x:c r="BS33" s="672"/>
      <x:c r="BT33" s="713"/>
      <x:c r="BU33" s="714"/>
      <x:c r="BV33" s="1625"/>
      <x:c r="BW33" s="713"/>
      <x:c r="BX33" s="714"/>
      <x:c r="BY33" s="715"/>
      <x:c r="BZ33" s="716"/>
      <x:c r="CA33" s="680" t="str">
        <x:f>IF(ISERROR(DE33),"",IF(DE33="","",IF(VLOOKUP(BS33,SectInfo!$B:$N,10,FALSE)="","","X")))</x:f>
        <x:v/>
      </x:c>
      <x:c r="CB33" s="738"/>
      <x:c r="CC33" s="1551" t="str">
        <x:f t="shared" si="36"/>
        <x:v/>
      </x:c>
      <x:c r="CD33" s="910"/>
      <x:c r="CE33" s="717"/>
      <x:c r="CF33" s="736"/>
      <x:c r="CG33" s="737"/>
      <x:c r="CH33" s="591" t="str">
        <x:f t="shared" si="37"/>
        <x:v/>
      </x:c>
      <x:c r="CI33" s="592" t="str">
        <x:f t="shared" si="38"/>
        <x:v/>
      </x:c>
      <x:c r="CJ33" s="593" t="str">
        <x:f t="shared" si="39"/>
        <x:v/>
      </x:c>
      <x:c r="CK33" s="594" t="str">
        <x:f t="shared" si="40"/>
        <x:v/>
      </x:c>
      <x:c r="CL33" s="595" t="str">
        <x:f t="shared" si="41"/>
        <x:v/>
      </x:c>
      <x:c r="CM33" s="596" t="str">
        <x:f t="shared" si="42"/>
        <x:v/>
      </x:c>
      <x:c r="CN33" s="597" t="str">
        <x:f t="shared" si="43"/>
        <x:v/>
      </x:c>
      <x:c r="CO33" s="598" t="str">
        <x:f t="shared" si="44"/>
        <x:v/>
      </x:c>
      <x:c r="CP33" s="615" t="str">
        <x:f t="shared" si="45"/>
        <x:v/>
      </x:c>
      <x:c r="CQ33" s="616" t="str">
        <x:f t="shared" si="46"/>
        <x:v/>
      </x:c>
      <x:c r="CR33" s="750">
        <x:f t="shared" si="47"/>
        <x:v>5</x:v>
      </x:c>
      <x:c r="CS33" s="751">
        <x:f t="shared" si="48"/>
        <x:v>5</x:v>
      </x:c>
      <x:c r="CU33" s="817" t="str">
        <x:f>IF(BG33="","",VLOOKUP(BG33,SectInfo!$B:$N,12,FALSE))</x:f>
        <x:v/>
      </x:c>
      <x:c r="CV33" s="815" t="str">
        <x:f>IF(BG33="","",IF(ISBLANK(BP33),VLOOKUP(BG33,SectInfo!$B:$N,13,FALSE),BP33))</x:f>
        <x:v/>
      </x:c>
      <x:c r="CW33" s="8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8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49"/>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50"/>
        <x:v>0</x:v>
      </x:c>
      <x:c r="DO33" s="818">
        <x:f t="shared" si="51"/>
        <x:v>0</x:v>
      </x:c>
      <x:c r="DP33" s="822" t="str">
        <x:f t="shared" si="52"/>
        <x:v/>
      </x:c>
      <x:c r="DQ33" s="822" t="str">
        <x:f t="shared" si="53"/>
        <x:v/>
      </x:c>
      <x:c r="DR33" s="822" t="str">
        <x:f t="shared" si="54"/>
        <x:v/>
      </x:c>
      <x:c r="DS33" s="821">
        <x:f t="shared" si="55"/>
        <x:v>0</x:v>
      </x:c>
      <x:c r="DT33" s="821">
        <x:f t="shared" si="56"/>
        <x:v>0</x:v>
      </x:c>
      <x:c r="DU33" s="821" t="str">
        <x:f t="shared" si="57"/>
        <x:v/>
      </x:c>
      <x:c r="DV33" s="822" t="str">
        <x:f t="shared" si="58"/>
        <x:v/>
      </x:c>
      <x:c r="DW33" s="856" t="str">
        <x:f t="shared" si="59"/>
        <x:v/>
      </x:c>
      <x:c r="DX33" s="1006">
        <x:f t="shared" si="60"/>
        <x:v>0</x:v>
      </x:c>
      <x:c r="DY33" s="822">
        <x:f t="shared" si="61"/>
        <x:v>0</x:v>
      </x:c>
      <x:c r="DZ33" s="821">
        <x:f t="shared" si="62"/>
        <x:v>0</x:v>
      </x:c>
      <x:c r="EA33" s="821" t="str">
        <x:f t="shared" si="63"/>
        <x:v/>
      </x:c>
      <x:c r="EB33" s="822" t="str">
        <x:f t="shared" si="64"/>
        <x:v/>
      </x:c>
      <x:c r="EC33" s="856" t="str">
        <x:f t="shared" si="65"/>
        <x:v/>
      </x:c>
      <x:c r="ED33" s="1006">
        <x:f t="shared" si="66"/>
        <x:v>0</x:v>
      </x:c>
      <x:c r="EE33" s="1293" t="str">
        <x:f t="shared" si="67"/>
        <x:v/>
      </x:c>
      <x:c r="EF33" s="1293" t="str">
        <x:f t="shared" si="68"/>
        <x:v/>
      </x:c>
      <x:c r="EG33" s="1293" t="str">
        <x:f t="shared" si="69"/>
        <x:v/>
      </x:c>
      <x:c r="EH33" s="856" t="str">
        <x:f t="shared" si="70"/>
        <x:v>ERR</x:v>
      </x:c>
      <x:c r="EI33" s="856" t="str">
        <x:f t="shared" si="71"/>
        <x:v>ERR</x:v>
      </x:c>
      <x:c r="EJ33" s="822" t="str">
        <x:f t="shared" si="72"/>
        <x:v/>
      </x:c>
      <x:c r="EK33" s="822" t="str">
        <x:f t="shared" si="72"/>
        <x:v/>
      </x:c>
      <x:c r="EL33" s="1293" t="str">
        <x:f t="shared" si="73"/>
        <x:v/>
      </x:c>
      <x:c r="EM33" s="822" t="str">
        <x:f t="shared" si="74"/>
        <x:v/>
      </x:c>
      <x:c r="EN33" s="822" t="str">
        <x:f t="shared" si="75"/>
        <x:v/>
      </x:c>
      <x:c r="EO33" s="856" t="str">
        <x:f t="shared" si="76"/>
        <x:v>ERR</x:v>
      </x:c>
      <x:c r="EP33" s="856" t="str">
        <x:f t="shared" si="77"/>
        <x:v>ERR</x:v>
      </x:c>
      <x:c r="EQ33" s="1293" t="str">
        <x:f t="shared" si="78"/>
        <x:v/>
      </x:c>
      <x:c r="ER33" s="822" t="str">
        <x:f t="shared" si="78"/>
        <x:v/>
      </x:c>
      <x:c r="ES33" s="822" t="str">
        <x:f t="shared" si="79"/>
        <x:v/>
      </x:c>
      <x:c r="ET33" s="822" t="str">
        <x:f t="shared" si="80"/>
        <x:v/>
      </x:c>
      <x:c r="EU33" s="829">
        <x:f t="shared" si="81"/>
        <x:v>4</x:v>
      </x:c>
      <x:c r="EV33" s="824" t="str">
        <x:f t="shared" si="82"/>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83"/>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84"/>
        <x:v/>
      </x:c>
      <x:c r="FD33" s="821">
        <x:f t="shared" si="107"/>
        <x:v>0</x:v>
      </x:c>
      <x:c r="FE33" s="821">
        <x:f t="shared" si="85"/>
        <x:v>0</x:v>
      </x:c>
      <x:c r="FF33" s="821">
        <x:f t="shared" si="86"/>
        <x:v>0</x:v>
      </x:c>
      <x:c r="FG33" s="821" t="str">
        <x:f t="shared" si="87"/>
        <x:v/>
      </x:c>
      <x:c r="FH33" s="822" t="str">
        <x:f t="shared" si="88"/>
        <x:v/>
      </x:c>
      <x:c r="FI33" s="821">
        <x:f t="shared" si="108"/>
        <x:v>0</x:v>
      </x:c>
      <x:c r="FJ33" s="821">
        <x:f t="shared" si="89"/>
        <x:v>0</x:v>
      </x:c>
      <x:c r="FK33" s="821">
        <x:f t="shared" si="90"/>
        <x:v>0</x:v>
      </x:c>
      <x:c r="FL33" s="821" t="str">
        <x:f t="shared" si="91"/>
        <x:v/>
      </x:c>
      <x:c r="FM33" s="822" t="str">
        <x:f t="shared" si="92"/>
        <x:v/>
      </x:c>
      <x:c r="FN33" s="822" t="e">
        <x:f t="shared" si="93"/>
        <x:v>#VALUE!</x:v>
      </x:c>
      <x:c r="FO33" s="940" t="e">
        <x:f t="shared" si="94"/>
        <x:v>#VALUE!</x:v>
      </x:c>
      <x:c r="FP33" s="940" t="e">
        <x:f t="shared" si="95"/>
        <x:v>#VALUE!</x:v>
      </x:c>
      <x:c r="FQ33" s="830" t="e">
        <x:f t="shared" si="96"/>
        <x:v>#VALUE!</x:v>
      </x:c>
      <x:c r="FR33" s="831" t="e">
        <x:f t="shared" si="97"/>
        <x:v>#VALUE!</x:v>
      </x:c>
      <x:c r="FS33" s="832" t="str">
        <x:f t="shared" si="98"/>
        <x:v/>
      </x:c>
      <x:c r="FT33" s="833" t="str">
        <x:f t="shared" si="99"/>
        <x:v/>
      </x:c>
      <x:c r="FU33" s="870">
        <x:f t="shared" si="100"/>
        <x:v>0</x:v>
      </x:c>
      <x:c r="FV33" s="871">
        <x:f t="shared" si="101"/>
        <x:v>0</x:v>
      </x:c>
      <x:c r="GA33" s="1791">
        <x:v>69</x:v>
      </x:c>
      <x:c r="GB33" s="1792">
        <x:v>2.25</x:v>
      </x:c>
      <x:c r="GC33" s="1793">
        <x:v>-0.25</x:v>
      </x:c>
      <x:c r="GD33" s="1794">
        <x:v>-0.5</x:v>
      </x:c>
      <x:c r="GE33" s="1795">
        <x:f t="shared" si="102"/>
        <x:v>0</x:v>
      </x:c>
      <x:c r="GF33" s="600" t="str">
        <x:f t="shared" si="103"/>
        <x:v>TJ59</x:v>
      </x:c>
      <x:c r="GG33" s="1130">
        <x:v>0</x:v>
      </x:c>
      <x:c r="GH33" s="1131">
        <x:v>0</x:v>
      </x:c>
      <x:c r="GI33" s="1130"/>
      <x:c r="GJ33" s="1131"/>
      <x:c r="GK33" s="1638">
        <x:f t="shared" si="104"/>
        <x:v>829.5</x:v>
      </x:c>
      <x:c r="GL33" s="1636">
        <x:f t="shared" si="105"/>
        <x:v>829.5</x:v>
      </x:c>
      <x:c r="GM33" s="1637">
        <x:f>IF(ABS(GK33-GL33)&gt;='Job Info.'!$L$22,ABS(GK33-GL33),0)</x:f>
        <x:v>0</x:v>
      </x:c>
      <x:c r="HA33" s="1269" t="s">
        <x:v>1489</x:v>
      </x:c>
      <x:c r="HB33" s="1270">
        <x:v>3</x:v>
      </x:c>
      <x:c r="HC33" s="1270" t="s">
        <x:v>1593</x:v>
      </x:c>
      <x:c r="HD33" s="1271">
        <x:v>69</x:v>
      </x:c>
      <x:c r="HE33" s="1272">
        <x:v>1.5</x:v>
      </x:c>
      <x:c r="HF33" s="1270" t="s">
        <x:v>116</x:v>
      </x:c>
      <x:c r="HG33" s="1270" t="s">
        <x:v>116</x:v>
      </x:c>
      <x:c r="HH33" s="1270" t="s">
        <x:v>116</x:v>
      </x:c>
      <x:c r="HI33" s="1273" t="s">
        <x:v>116</x:v>
      </x:c>
      <x:c r="HJ33" s="1270" t="s">
        <x:v>116</x:v>
      </x:c>
      <x:c r="HK33" s="1270" t="s">
        <x:v>116</x:v>
      </x:c>
      <x:c r="HL33" s="1270">
        <x:v>5</x:v>
      </x:c>
      <x:c r="HM33" s="1270">
        <x:v>5</x:v>
      </x:c>
      <x:c r="HN33" s="1270">
        <x:v>0</x:v>
      </x:c>
      <x:c r="HO33" s="1270">
        <x:v>6.75</x:v>
      </x:c>
      <x:c r="HP33" s="1270">
        <x:v>2</x:v>
      </x:c>
      <x:c r="HQ33" s="1273" t="s">
        <x:v>116</x:v>
      </x:c>
      <x:c r="HR33" s="1270" t="s">
        <x:v>116</x:v>
      </x:c>
      <x:c r="HS33" s="1270" t="s">
        <x:v>116</x:v>
      </x:c>
      <x:c r="HT33" s="1270">
        <x:v>0</x:v>
      </x:c>
      <x:c r="HU33" s="1270">
        <x:v>2.25</x:v>
      </x:c>
      <x:c r="HV33" s="1270">
        <x:v>0</x:v>
      </x:c>
      <x:c r="HW33" s="1272">
        <x:v>2</x:v>
      </x:c>
      <x:c r="HX33" s="1272">
        <x:v>4</x:v>
      </x:c>
      <x:c r="HY33" s="1272" t="s">
        <x:v>116</x:v>
      </x:c>
      <x:c r="HZ33" s="1272" t="s">
        <x:v>116</x:v>
      </x:c>
      <x:c r="IA33" s="1272" t="s">
        <x:v>1682</x:v>
      </x:c>
      <x:c r="IB33" s="1272"/>
      <x:c r="IC33" s="1272"/>
      <x:c r="ID33" s="1272"/>
      <x:c r="IE33" s="1272"/>
      <x:c r="IF33" s="1274"/>
    </x:row>
    <x:row r="34" spans="1:240" ht="12.6" customHeight="1" x14ac:dyDescent="0.25">
      <x:c r="A34" s="2764" t="s">
        <x:v>1490</x:v>
      </x:c>
      <x:c r="B34" s="2765">
        <x:v>10</x:v>
      </x:c>
      <x:c r="C34" s="2766" t="s">
        <x:v>1593</x:v>
      </x:c>
      <x:c r="D34" s="2767">
        <x:v>69</x:v>
      </x:c>
      <x:c r="E34" s="2768">
        <x:v>1.5</x:v>
      </x:c>
      <x:c r="F34" s="2776" t="str">
        <x:f t="shared" si="1"/>
        <x:v/>
      </x:c>
      <x:c r="G34" s="2771" t="str">
        <x:f t="shared" si="2"/>
        <x:v/>
      </x:c>
      <x:c r="H34" s="2842" t="str">
        <x:f t="shared" si="3"/>
        <x:v/>
      </x:c>
      <x:c r="I34" s="2767" t="str">
        <x:f t="shared" si="4"/>
        <x:v/>
      </x:c>
      <x:c r="J34" s="2771" t="str">
        <x:f t="shared" si="5"/>
        <x:v/>
      </x:c>
      <x:c r="K34" s="2855" t="str">
        <x:f t="shared" si="6"/>
        <x:v/>
      </x:c>
      <x:c r="L34" s="2774">
        <x:v>5</x:v>
      </x:c>
      <x:c r="M34" s="2775">
        <x:v>5</x:v>
      </x:c>
      <x:c r="N34" s="2770" t="str">
        <x:f t="shared" si="7"/>
        <x:v/>
      </x:c>
      <x:c r="O34" s="2771" t="str">
        <x:f t="shared" si="8"/>
        <x:v/>
      </x:c>
      <x:c r="P34" s="2772" t="str">
        <x:f t="shared" si="9"/>
        <x:v/>
      </x:c>
      <x:c r="Q34" s="2767" t="str">
        <x:f t="shared" si="10"/>
        <x:v/>
      </x:c>
      <x:c r="R34" s="2771" t="str">
        <x:f t="shared" si="11"/>
        <x:v/>
      </x:c>
      <x:c r="S34" s="2773" t="str">
        <x:f t="shared" si="12"/>
        <x:v/>
      </x:c>
      <x:c r="T34" s="2776">
        <x:v>0</x:v>
      </x:c>
      <x:c r="U34" s="2771">
        <x:v>2.25</x:v>
      </x:c>
      <x:c r="V34" s="2767">
        <x:v>0</x:v>
      </x:c>
      <x:c r="W34" s="2771">
        <x:v>2</x:v>
      </x:c>
      <x:c r="X34" s="2775">
        <x:v>4</x:v>
      </x:c>
      <x:c r="Y34" s="2844" t="str">
        <x:f t="shared" si="13"/>
        <x:v/>
      </x:c>
      <x:c r="Z34" s="2845" t="str">
        <x:f t="shared" si="14"/>
        <x:v/>
      </x:c>
      <x:c r="AA34" s="2846" t="s">
        <x:v>1682</x:v>
      </x:c>
      <x:c r="AB34" s="1413"/>
      <x:c r="AC34" s="964" t="b">
        <x:v>0</x:v>
      </x:c>
      <x:c r="AD34" s="441">
        <x:f t="shared" si="15"/>
        <x:v>0</x:v>
      </x:c>
      <x:c r="AE34" s="442">
        <x:f t="shared" si="16"/>
        <x:v>10</x:v>
      </x:c>
      <x:c r="AF34" s="442">
        <x:f t="shared" si="17"/>
        <x:v>0</x:v>
      </x:c>
      <x:c r="AG34" s="442">
        <x:f t="shared" si="18"/>
        <x:v>0</x:v>
      </x:c>
      <x:c r="AH34" s="443">
        <x:f t="shared" si="19"/>
        <x:v>0</x:v>
      </x:c>
      <x:c r="AI34" s="444" t="b">
        <x:v>0</x:v>
      </x:c>
      <x:c r="AJ34" s="238">
        <x:f t="shared" si="20"/>
        <x:v>44</x:v>
      </x:c>
      <x:c r="AK34" s="830" t="str">
        <x:f t="shared" si="21"/>
        <x:v>LH</x:v>
      </x:c>
      <x:c r="AL34" s="945" t="str">
        <x:f t="shared" si="22"/>
        <x:v/>
      </x:c>
      <x:c r="AM34" s="830">
        <x:f t="shared" si="23"/>
        <x:v>305</x:v>
      </x:c>
      <x:c r="AN34" s="830">
        <x:f t="shared" si="24"/>
        <x:v>180</x:v>
      </x:c>
      <x:c r="AO34" s="830" t="str">
        <x:f t="shared" si="25"/>
        <x:v/>
      </x:c>
      <x:c r="AP34" s="830" t="b">
        <x:f>IF(ISERROR(AJ34),FALSE,IF(OR(AJ34=0,ISERROR(AL34),ISERROR(AM34),ISERROR(AN34),ISERROR(AO34)),FALSE,IF(AL34&lt;&gt;"",IF(ISERROR(VLOOKUP(SUBSTITUTE(SUBSTITUTE(C34,"R",""),"A",""),TblJoistSize!$A:$A,1,FALSE)),FALSE,TRUE),TRUE)))</x:f>
        <x:v>1</x:v>
      </x:c>
      <x:c r="AQ34" s="1038">
        <x:f t="shared" si="26"/>
        <x:v>6</x:v>
      </x:c>
      <x:c r="AR34" s="945" t="b">
        <x:f t="shared" si="27"/>
        <x:v>1</x:v>
      </x:c>
      <x:c r="AS34" s="1038">
        <x:f t="shared" si="28"/>
        <x:v>6</x:v>
      </x:c>
      <x:c r="AT34" s="945" t="b">
        <x:f t="shared" si="29"/>
        <x:v>1</x:v>
      </x:c>
      <x:c r="AU34" s="946" t="str">
        <x:f t="shared" si="30"/>
        <x:v>LH</x:v>
      </x:c>
      <x:c r="AV34" s="830" t="str">
        <x:f t="shared" si="31"/>
        <x:v/>
      </x:c>
      <x:c r="AW34" s="830" t="str">
        <x:f t="shared" si="32"/>
        <x:v>LH</x:v>
      </x:c>
      <x:c r="AX34" s="830" t="str">
        <x:f t="shared" si="106"/>
        <x:v>J60</x:v>
      </x:c>
      <x:c r="AY34" s="1039" t="b">
        <x:f t="shared" si="33"/>
        <x:v>0</x:v>
      </x:c>
      <x:c r="AZ34" s="856" t="b">
        <x:f t="shared" si="34"/>
        <x:v>0</x:v>
      </x:c>
      <x:c r="BA34" s="549"/>
      <x:c r="BB34" s="672"/>
      <x:c r="BC34" s="1684"/>
      <x:c r="BD34" s="733"/>
      <x:c r="BE34" s="734"/>
      <x:c r="BF34" s="735"/>
      <x:c r="BG34" s="672"/>
      <x:c r="BH34" s="982"/>
      <x:c r="BI34" s="983"/>
      <x:c r="BJ34" s="1625"/>
      <x:c r="BK34" s="713"/>
      <x:c r="BL34" s="714"/>
      <x:c r="BM34" s="715"/>
      <x:c r="BN34" s="716"/>
      <x:c r="BO34" s="672" t="str">
        <x:f>IF(ISERROR(CU34),"",IF(CU34="","",IF(VLOOKUP(BG34,SectInfo!$B:$N,10,FALSE)="","","X")))</x:f>
        <x:v/>
      </x:c>
      <x:c r="BP34" s="738"/>
      <x:c r="BQ34" s="1551" t="str">
        <x:f t="shared" si="35"/>
        <x:v/>
      </x:c>
      <x:c r="BR34" s="910"/>
      <x:c r="BS34" s="672"/>
      <x:c r="BT34" s="713"/>
      <x:c r="BU34" s="714"/>
      <x:c r="BV34" s="1625"/>
      <x:c r="BW34" s="713"/>
      <x:c r="BX34" s="714"/>
      <x:c r="BY34" s="715"/>
      <x:c r="BZ34" s="716"/>
      <x:c r="CA34" s="680" t="str">
        <x:f>IF(ISERROR(DE34),"",IF(DE34="","",IF(VLOOKUP(BS34,SectInfo!$B:$N,10,FALSE)="","","X")))</x:f>
        <x:v/>
      </x:c>
      <x:c r="CB34" s="738"/>
      <x:c r="CC34" s="1551" t="str">
        <x:f t="shared" si="36"/>
        <x:v/>
      </x:c>
      <x:c r="CD34" s="910"/>
      <x:c r="CE34" s="717"/>
      <x:c r="CF34" s="736"/>
      <x:c r="CG34" s="737"/>
      <x:c r="CH34" s="591" t="str">
        <x:f t="shared" si="37"/>
        <x:v/>
      </x:c>
      <x:c r="CI34" s="592" t="str">
        <x:f t="shared" si="38"/>
        <x:v/>
      </x:c>
      <x:c r="CJ34" s="593" t="str">
        <x:f t="shared" si="39"/>
        <x:v/>
      </x:c>
      <x:c r="CK34" s="594" t="str">
        <x:f t="shared" si="40"/>
        <x:v/>
      </x:c>
      <x:c r="CL34" s="595" t="str">
        <x:f t="shared" si="41"/>
        <x:v/>
      </x:c>
      <x:c r="CM34" s="596" t="str">
        <x:f t="shared" si="42"/>
        <x:v/>
      </x:c>
      <x:c r="CN34" s="597" t="str">
        <x:f t="shared" si="43"/>
        <x:v/>
      </x:c>
      <x:c r="CO34" s="598" t="str">
        <x:f t="shared" si="44"/>
        <x:v/>
      </x:c>
      <x:c r="CP34" s="615" t="str">
        <x:f t="shared" si="45"/>
        <x:v/>
      </x:c>
      <x:c r="CQ34" s="616" t="str">
        <x:f t="shared" si="46"/>
        <x:v/>
      </x:c>
      <x:c r="CR34" s="750">
        <x:f t="shared" si="47"/>
        <x:v>5</x:v>
      </x:c>
      <x:c r="CS34" s="751">
        <x:f t="shared" si="48"/>
        <x:v>5</x:v>
      </x:c>
      <x:c r="CU34" s="817" t="str">
        <x:f>IF(BG34="","",VLOOKUP(BG34,SectInfo!$B:$N,12,FALSE))</x:f>
        <x:v/>
      </x:c>
      <x:c r="CV34" s="815" t="str">
        <x:f>IF(BG34="","",IF(ISBLANK(BP34),VLOOKUP(BG34,SectInfo!$B:$N,13,FALSE),BP34))</x:f>
        <x:v/>
      </x:c>
      <x:c r="CW34" s="8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8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49"/>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50"/>
        <x:v>0</x:v>
      </x:c>
      <x:c r="DO34" s="818">
        <x:f t="shared" si="51"/>
        <x:v>0</x:v>
      </x:c>
      <x:c r="DP34" s="822" t="str">
        <x:f t="shared" si="52"/>
        <x:v/>
      </x:c>
      <x:c r="DQ34" s="822" t="str">
        <x:f t="shared" si="53"/>
        <x:v/>
      </x:c>
      <x:c r="DR34" s="822" t="str">
        <x:f t="shared" si="54"/>
        <x:v/>
      </x:c>
      <x:c r="DS34" s="821">
        <x:f t="shared" si="55"/>
        <x:v>0</x:v>
      </x:c>
      <x:c r="DT34" s="821">
        <x:f t="shared" si="56"/>
        <x:v>0</x:v>
      </x:c>
      <x:c r="DU34" s="821" t="str">
        <x:f t="shared" si="57"/>
        <x:v/>
      </x:c>
      <x:c r="DV34" s="822" t="str">
        <x:f t="shared" si="58"/>
        <x:v/>
      </x:c>
      <x:c r="DW34" s="856" t="str">
        <x:f t="shared" si="59"/>
        <x:v/>
      </x:c>
      <x:c r="DX34" s="1006">
        <x:f t="shared" si="60"/>
        <x:v>0</x:v>
      </x:c>
      <x:c r="DY34" s="822">
        <x:f t="shared" si="61"/>
        <x:v>0</x:v>
      </x:c>
      <x:c r="DZ34" s="821">
        <x:f t="shared" si="62"/>
        <x:v>0</x:v>
      </x:c>
      <x:c r="EA34" s="821" t="str">
        <x:f t="shared" si="63"/>
        <x:v/>
      </x:c>
      <x:c r="EB34" s="822" t="str">
        <x:f t="shared" si="64"/>
        <x:v/>
      </x:c>
      <x:c r="EC34" s="856" t="str">
        <x:f t="shared" si="65"/>
        <x:v/>
      </x:c>
      <x:c r="ED34" s="1006">
        <x:f t="shared" si="66"/>
        <x:v>0</x:v>
      </x:c>
      <x:c r="EE34" s="1293" t="str">
        <x:f t="shared" si="67"/>
        <x:v/>
      </x:c>
      <x:c r="EF34" s="1293" t="str">
        <x:f t="shared" si="68"/>
        <x:v/>
      </x:c>
      <x:c r="EG34" s="1293" t="str">
        <x:f t="shared" si="69"/>
        <x:v/>
      </x:c>
      <x:c r="EH34" s="856" t="str">
        <x:f t="shared" si="70"/>
        <x:v>ERR</x:v>
      </x:c>
      <x:c r="EI34" s="856" t="str">
        <x:f t="shared" si="71"/>
        <x:v>ERR</x:v>
      </x:c>
      <x:c r="EJ34" s="822" t="str">
        <x:f t="shared" si="72"/>
        <x:v/>
      </x:c>
      <x:c r="EK34" s="822" t="str">
        <x:f t="shared" si="72"/>
        <x:v/>
      </x:c>
      <x:c r="EL34" s="1293" t="str">
        <x:f t="shared" si="73"/>
        <x:v/>
      </x:c>
      <x:c r="EM34" s="822" t="str">
        <x:f t="shared" si="74"/>
        <x:v/>
      </x:c>
      <x:c r="EN34" s="822" t="str">
        <x:f t="shared" si="75"/>
        <x:v/>
      </x:c>
      <x:c r="EO34" s="856" t="str">
        <x:f t="shared" si="76"/>
        <x:v>ERR</x:v>
      </x:c>
      <x:c r="EP34" s="856" t="str">
        <x:f t="shared" si="77"/>
        <x:v>ERR</x:v>
      </x:c>
      <x:c r="EQ34" s="1293" t="str">
        <x:f t="shared" si="78"/>
        <x:v/>
      </x:c>
      <x:c r="ER34" s="822" t="str">
        <x:f t="shared" si="78"/>
        <x:v/>
      </x:c>
      <x:c r="ES34" s="822" t="str">
        <x:f t="shared" si="79"/>
        <x:v/>
      </x:c>
      <x:c r="ET34" s="822" t="str">
        <x:f t="shared" si="80"/>
        <x:v/>
      </x:c>
      <x:c r="EU34" s="829">
        <x:f t="shared" si="81"/>
        <x:v>4</x:v>
      </x:c>
      <x:c r="EV34" s="824" t="str">
        <x:f t="shared" si="82"/>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83"/>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84"/>
        <x:v/>
      </x:c>
      <x:c r="FD34" s="821">
        <x:f t="shared" si="107"/>
        <x:v>0</x:v>
      </x:c>
      <x:c r="FE34" s="821">
        <x:f t="shared" si="85"/>
        <x:v>0</x:v>
      </x:c>
      <x:c r="FF34" s="821">
        <x:f t="shared" si="86"/>
        <x:v>0</x:v>
      </x:c>
      <x:c r="FG34" s="821" t="str">
        <x:f t="shared" si="87"/>
        <x:v/>
      </x:c>
      <x:c r="FH34" s="822" t="str">
        <x:f t="shared" si="88"/>
        <x:v/>
      </x:c>
      <x:c r="FI34" s="821">
        <x:f t="shared" si="108"/>
        <x:v>0</x:v>
      </x:c>
      <x:c r="FJ34" s="821">
        <x:f t="shared" si="89"/>
        <x:v>0</x:v>
      </x:c>
      <x:c r="FK34" s="821">
        <x:f t="shared" si="90"/>
        <x:v>0</x:v>
      </x:c>
      <x:c r="FL34" s="821" t="str">
        <x:f t="shared" si="91"/>
        <x:v/>
      </x:c>
      <x:c r="FM34" s="822" t="str">
        <x:f t="shared" si="92"/>
        <x:v/>
      </x:c>
      <x:c r="FN34" s="822" t="e">
        <x:f t="shared" si="93"/>
        <x:v>#VALUE!</x:v>
      </x:c>
      <x:c r="FO34" s="940" t="e">
        <x:f t="shared" si="94"/>
        <x:v>#VALUE!</x:v>
      </x:c>
      <x:c r="FP34" s="940" t="e">
        <x:f t="shared" si="95"/>
        <x:v>#VALUE!</x:v>
      </x:c>
      <x:c r="FQ34" s="830" t="e">
        <x:f t="shared" si="96"/>
        <x:v>#VALUE!</x:v>
      </x:c>
      <x:c r="FR34" s="831" t="e">
        <x:f t="shared" si="97"/>
        <x:v>#VALUE!</x:v>
      </x:c>
      <x:c r="FS34" s="832" t="str">
        <x:f t="shared" si="98"/>
        <x:v/>
      </x:c>
      <x:c r="FT34" s="833" t="str">
        <x:f t="shared" si="99"/>
        <x:v/>
      </x:c>
      <x:c r="FU34" s="870">
        <x:f t="shared" si="100"/>
        <x:v>0</x:v>
      </x:c>
      <x:c r="FV34" s="871">
        <x:f t="shared" si="101"/>
        <x:v>0</x:v>
      </x:c>
      <x:c r="GA34" s="1791">
        <x:v>69</x:v>
      </x:c>
      <x:c r="GB34" s="1792">
        <x:v>2.25</x:v>
      </x:c>
      <x:c r="GC34" s="1793">
        <x:v>-0.25</x:v>
      </x:c>
      <x:c r="GD34" s="1794">
        <x:v>-0.5</x:v>
      </x:c>
      <x:c r="GE34" s="1795">
        <x:f t="shared" si="102"/>
        <x:v>0</x:v>
      </x:c>
      <x:c r="GF34" s="600" t="str">
        <x:f t="shared" si="103"/>
        <x:v>J60</x:v>
      </x:c>
      <x:c r="GG34" s="1130">
        <x:v>0</x:v>
      </x:c>
      <x:c r="GH34" s="1131">
        <x:v>0</x:v>
      </x:c>
      <x:c r="GI34" s="1130"/>
      <x:c r="GJ34" s="1131"/>
      <x:c r="GK34" s="1638">
        <x:f t="shared" si="104"/>
        <x:v>829.5</x:v>
      </x:c>
      <x:c r="GL34" s="1636">
        <x:f t="shared" si="105"/>
        <x:v>829.5</x:v>
      </x:c>
      <x:c r="GM34" s="1637">
        <x:f>IF(ABS(GK34-GL34)&gt;='Job Info.'!$L$22,ABS(GK34-GL34),0)</x:f>
        <x:v>0</x:v>
      </x:c>
      <x:c r="HA34" s="1269" t="s">
        <x:v>1490</x:v>
      </x:c>
      <x:c r="HB34" s="1270">
        <x:v>10</x:v>
      </x:c>
      <x:c r="HC34" s="1270" t="s">
        <x:v>1593</x:v>
      </x:c>
      <x:c r="HD34" s="1271">
        <x:v>69</x:v>
      </x:c>
      <x:c r="HE34" s="1272">
        <x:v>1.5</x:v>
      </x:c>
      <x:c r="HF34" s="1270" t="s">
        <x:v>116</x:v>
      </x:c>
      <x:c r="HG34" s="1270" t="s">
        <x:v>116</x:v>
      </x:c>
      <x:c r="HH34" s="1270" t="s">
        <x:v>116</x:v>
      </x:c>
      <x:c r="HI34" s="1273" t="s">
        <x:v>116</x:v>
      </x:c>
      <x:c r="HJ34" s="1270" t="s">
        <x:v>116</x:v>
      </x:c>
      <x:c r="HK34" s="1270" t="s">
        <x:v>116</x:v>
      </x:c>
      <x:c r="HL34" s="1270">
        <x:v>5</x:v>
      </x:c>
      <x:c r="HM34" s="1270">
        <x:v>5</x:v>
      </x:c>
      <x:c r="HN34" s="1270" t="s">
        <x:v>116</x:v>
      </x:c>
      <x:c r="HO34" s="1270" t="s">
        <x:v>116</x:v>
      </x:c>
      <x:c r="HP34" s="1270" t="s">
        <x:v>116</x:v>
      </x:c>
      <x:c r="HQ34" s="1273" t="s">
        <x:v>116</x:v>
      </x:c>
      <x:c r="HR34" s="1270" t="s">
        <x:v>116</x:v>
      </x:c>
      <x:c r="HS34" s="1270" t="s">
        <x:v>116</x:v>
      </x:c>
      <x:c r="HT34" s="1270">
        <x:v>0</x:v>
      </x:c>
      <x:c r="HU34" s="1270">
        <x:v>2.25</x:v>
      </x:c>
      <x:c r="HV34" s="1270">
        <x:v>0</x:v>
      </x:c>
      <x:c r="HW34" s="1272">
        <x:v>2</x:v>
      </x:c>
      <x:c r="HX34" s="1272">
        <x:v>4</x:v>
      </x:c>
      <x:c r="HY34" s="1272" t="s">
        <x:v>116</x:v>
      </x:c>
      <x:c r="HZ34" s="1272" t="s">
        <x:v>116</x:v>
      </x:c>
      <x:c r="IA34" s="1272" t="s">
        <x:v>1682</x:v>
      </x:c>
      <x:c r="IB34" s="1272"/>
      <x:c r="IC34" s="1272"/>
      <x:c r="ID34" s="1272"/>
      <x:c r="IE34" s="1272"/>
      <x:c r="IF34" s="1274"/>
    </x:row>
    <x:row r="35" spans="1:240" ht="12.6" customHeight="1" x14ac:dyDescent="0.25">
      <x:c r="A35" s="2764" t="s">
        <x:v>1491</x:v>
      </x:c>
      <x:c r="B35" s="2765">
        <x:v>4</x:v>
      </x:c>
      <x:c r="C35" s="2766" t="s">
        <x:v>1593</x:v>
      </x:c>
      <x:c r="D35" s="2767">
        <x:v>69</x:v>
      </x:c>
      <x:c r="E35" s="2768">
        <x:v>1.5</x:v>
      </x:c>
      <x:c r="F35" s="2776" t="str">
        <x:f t="shared" si="1"/>
        <x:v/>
      </x:c>
      <x:c r="G35" s="2771" t="str">
        <x:f t="shared" si="2"/>
        <x:v/>
      </x:c>
      <x:c r="H35" s="2842" t="str">
        <x:f t="shared" si="3"/>
        <x:v/>
      </x:c>
      <x:c r="I35" s="2767" t="str">
        <x:f t="shared" si="4"/>
        <x:v/>
      </x:c>
      <x:c r="J35" s="2771" t="str">
        <x:f t="shared" si="5"/>
        <x:v/>
      </x:c>
      <x:c r="K35" s="2855" t="str">
        <x:f t="shared" si="6"/>
        <x:v/>
      </x:c>
      <x:c r="L35" s="2774">
        <x:v>5</x:v>
      </x:c>
      <x:c r="M35" s="2775">
        <x:v>5</x:v>
      </x:c>
      <x:c r="N35" s="2770" t="str">
        <x:f t="shared" si="7"/>
        <x:v/>
      </x:c>
      <x:c r="O35" s="2771" t="str">
        <x:f t="shared" si="8"/>
        <x:v/>
      </x:c>
      <x:c r="P35" s="2772" t="str">
        <x:f t="shared" si="9"/>
        <x:v/>
      </x:c>
      <x:c r="Q35" s="2767" t="str">
        <x:f t="shared" si="10"/>
        <x:v/>
      </x:c>
      <x:c r="R35" s="2771" t="str">
        <x:f t="shared" si="11"/>
        <x:v/>
      </x:c>
      <x:c r="S35" s="2773" t="str">
        <x:f t="shared" si="12"/>
        <x:v/>
      </x:c>
      <x:c r="T35" s="2776">
        <x:v>0</x:v>
      </x:c>
      <x:c r="U35" s="2771">
        <x:v>2.25</x:v>
      </x:c>
      <x:c r="V35" s="2767">
        <x:v>0</x:v>
      </x:c>
      <x:c r="W35" s="2771">
        <x:v>2</x:v>
      </x:c>
      <x:c r="X35" s="2775">
        <x:v>4</x:v>
      </x:c>
      <x:c r="Y35" s="2844" t="str">
        <x:f t="shared" si="13"/>
        <x:v/>
      </x:c>
      <x:c r="Z35" s="2845" t="str">
        <x:f t="shared" si="14"/>
        <x:v/>
      </x:c>
      <x:c r="AA35" s="2846" t="s">
        <x:v>1683</x:v>
      </x:c>
      <x:c r="AB35" s="1413"/>
      <x:c r="AC35" s="964" t="b">
        <x:v>0</x:v>
      </x:c>
      <x:c r="AD35" s="441">
        <x:f t="shared" si="15"/>
        <x:v>0</x:v>
      </x:c>
      <x:c r="AE35" s="442">
        <x:f t="shared" si="16"/>
        <x:v>4</x:v>
      </x:c>
      <x:c r="AF35" s="442">
        <x:f t="shared" si="17"/>
        <x:v>0</x:v>
      </x:c>
      <x:c r="AG35" s="442">
        <x:f t="shared" si="18"/>
        <x:v>0</x:v>
      </x:c>
      <x:c r="AH35" s="443">
        <x:f t="shared" si="19"/>
        <x:v>0</x:v>
      </x:c>
      <x:c r="AI35" s="444" t="b">
        <x:v>0</x:v>
      </x:c>
      <x:c r="AJ35" s="238">
        <x:f t="shared" si="20"/>
        <x:v>44</x:v>
      </x:c>
      <x:c r="AK35" s="830" t="str">
        <x:f t="shared" si="21"/>
        <x:v>LH</x:v>
      </x:c>
      <x:c r="AL35" s="945" t="str">
        <x:f t="shared" si="22"/>
        <x:v/>
      </x:c>
      <x:c r="AM35" s="830">
        <x:f t="shared" si="23"/>
        <x:v>305</x:v>
      </x:c>
      <x:c r="AN35" s="830">
        <x:f t="shared" si="24"/>
        <x:v>180</x:v>
      </x:c>
      <x:c r="AO35" s="830" t="str">
        <x:f t="shared" si="25"/>
        <x:v/>
      </x:c>
      <x:c r="AP35" s="830" t="b">
        <x:f>IF(ISERROR(AJ35),FALSE,IF(OR(AJ35=0,ISERROR(AL35),ISERROR(AM35),ISERROR(AN35),ISERROR(AO35)),FALSE,IF(AL35&lt;&gt;"",IF(ISERROR(VLOOKUP(SUBSTITUTE(SUBSTITUTE(C35,"R",""),"A",""),TblJoistSize!$A:$A,1,FALSE)),FALSE,TRUE),TRUE)))</x:f>
        <x:v>1</x:v>
      </x:c>
      <x:c r="AQ35" s="1038">
        <x:f t="shared" si="26"/>
        <x:v>6</x:v>
      </x:c>
      <x:c r="AR35" s="945" t="b">
        <x:f t="shared" si="27"/>
        <x:v>1</x:v>
      </x:c>
      <x:c r="AS35" s="1038">
        <x:f t="shared" si="28"/>
        <x:v>6</x:v>
      </x:c>
      <x:c r="AT35" s="945" t="b">
        <x:f t="shared" si="29"/>
        <x:v>1</x:v>
      </x:c>
      <x:c r="AU35" s="946" t="str">
        <x:f t="shared" si="30"/>
        <x:v>LH</x:v>
      </x:c>
      <x:c r="AV35" s="830" t="str">
        <x:f t="shared" si="31"/>
        <x:v/>
      </x:c>
      <x:c r="AW35" s="830" t="str">
        <x:f t="shared" si="32"/>
        <x:v>LH</x:v>
      </x:c>
      <x:c r="AX35" s="830" t="str">
        <x:f t="shared" si="106"/>
        <x:v>J61</x:v>
      </x:c>
      <x:c r="AY35" s="1039" t="b">
        <x:f t="shared" si="33"/>
        <x:v>0</x:v>
      </x:c>
      <x:c r="AZ35" s="856" t="b">
        <x:f t="shared" si="34"/>
        <x:v>0</x:v>
      </x:c>
      <x:c r="BA35" s="549"/>
      <x:c r="BB35" s="672"/>
      <x:c r="BC35" s="1684"/>
      <x:c r="BD35" s="733"/>
      <x:c r="BE35" s="734"/>
      <x:c r="BF35" s="735"/>
      <x:c r="BG35" s="672"/>
      <x:c r="BH35" s="982"/>
      <x:c r="BI35" s="983"/>
      <x:c r="BJ35" s="1625"/>
      <x:c r="BK35" s="713"/>
      <x:c r="BL35" s="714"/>
      <x:c r="BM35" s="715"/>
      <x:c r="BN35" s="716"/>
      <x:c r="BO35" s="672" t="str">
        <x:f>IF(ISERROR(CU35),"",IF(CU35="","",IF(VLOOKUP(BG35,SectInfo!$B:$N,10,FALSE)="","","X")))</x:f>
        <x:v/>
      </x:c>
      <x:c r="BP35" s="738"/>
      <x:c r="BQ35" s="1551" t="str">
        <x:f t="shared" si="35"/>
        <x:v/>
      </x:c>
      <x:c r="BR35" s="910"/>
      <x:c r="BS35" s="672"/>
      <x:c r="BT35" s="713"/>
      <x:c r="BU35" s="714"/>
      <x:c r="BV35" s="1625"/>
      <x:c r="BW35" s="713"/>
      <x:c r="BX35" s="714"/>
      <x:c r="BY35" s="715"/>
      <x:c r="BZ35" s="716"/>
      <x:c r="CA35" s="680" t="str">
        <x:f>IF(ISERROR(DE35),"",IF(DE35="","",IF(VLOOKUP(BS35,SectInfo!$B:$N,10,FALSE)="","","X")))</x:f>
        <x:v/>
      </x:c>
      <x:c r="CB35" s="738"/>
      <x:c r="CC35" s="1551" t="str">
        <x:f t="shared" si="36"/>
        <x:v/>
      </x:c>
      <x:c r="CD35" s="910"/>
      <x:c r="CE35" s="717"/>
      <x:c r="CF35" s="736"/>
      <x:c r="CG35" s="737"/>
      <x:c r="CH35" s="591" t="str">
        <x:f t="shared" si="37"/>
        <x:v/>
      </x:c>
      <x:c r="CI35" s="592" t="str">
        <x:f t="shared" si="38"/>
        <x:v/>
      </x:c>
      <x:c r="CJ35" s="593" t="str">
        <x:f t="shared" si="39"/>
        <x:v/>
      </x:c>
      <x:c r="CK35" s="594" t="str">
        <x:f t="shared" si="40"/>
        <x:v/>
      </x:c>
      <x:c r="CL35" s="595" t="str">
        <x:f t="shared" si="41"/>
        <x:v/>
      </x:c>
      <x:c r="CM35" s="596" t="str">
        <x:f t="shared" si="42"/>
        <x:v/>
      </x:c>
      <x:c r="CN35" s="597" t="str">
        <x:f t="shared" si="43"/>
        <x:v/>
      </x:c>
      <x:c r="CO35" s="598" t="str">
        <x:f t="shared" si="44"/>
        <x:v/>
      </x:c>
      <x:c r="CP35" s="615" t="str">
        <x:f t="shared" si="45"/>
        <x:v/>
      </x:c>
      <x:c r="CQ35" s="616" t="str">
        <x:f t="shared" si="46"/>
        <x:v/>
      </x:c>
      <x:c r="CR35" s="750">
        <x:f t="shared" si="47"/>
        <x:v>5</x:v>
      </x:c>
      <x:c r="CS35" s="751">
        <x:f t="shared" si="48"/>
        <x:v>5</x:v>
      </x:c>
      <x:c r="CU35" s="817" t="str">
        <x:f>IF(BG35="","",VLOOKUP(BG35,SectInfo!$B:$N,12,FALSE))</x:f>
        <x:v/>
      </x:c>
      <x:c r="CV35" s="815" t="str">
        <x:f>IF(BG35="","",IF(ISBLANK(BP35),VLOOKUP(BG35,SectInfo!$B:$N,13,FALSE),BP35))</x:f>
        <x:v/>
      </x:c>
      <x:c r="CW35" s="8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8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49"/>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50"/>
        <x:v>0</x:v>
      </x:c>
      <x:c r="DO35" s="818">
        <x:f t="shared" si="51"/>
        <x:v>0</x:v>
      </x:c>
      <x:c r="DP35" s="822" t="str">
        <x:f t="shared" si="52"/>
        <x:v/>
      </x:c>
      <x:c r="DQ35" s="822" t="str">
        <x:f t="shared" si="53"/>
        <x:v/>
      </x:c>
      <x:c r="DR35" s="822" t="str">
        <x:f t="shared" si="54"/>
        <x:v/>
      </x:c>
      <x:c r="DS35" s="821">
        <x:f t="shared" si="55"/>
        <x:v>0</x:v>
      </x:c>
      <x:c r="DT35" s="821">
        <x:f t="shared" si="56"/>
        <x:v>0</x:v>
      </x:c>
      <x:c r="DU35" s="821" t="str">
        <x:f t="shared" si="57"/>
        <x:v/>
      </x:c>
      <x:c r="DV35" s="822" t="str">
        <x:f t="shared" si="58"/>
        <x:v/>
      </x:c>
      <x:c r="DW35" s="856" t="str">
        <x:f t="shared" si="59"/>
        <x:v/>
      </x:c>
      <x:c r="DX35" s="1006">
        <x:f t="shared" si="60"/>
        <x:v>0</x:v>
      </x:c>
      <x:c r="DY35" s="822">
        <x:f t="shared" si="61"/>
        <x:v>0</x:v>
      </x:c>
      <x:c r="DZ35" s="821">
        <x:f t="shared" si="62"/>
        <x:v>0</x:v>
      </x:c>
      <x:c r="EA35" s="821" t="str">
        <x:f t="shared" si="63"/>
        <x:v/>
      </x:c>
      <x:c r="EB35" s="822" t="str">
        <x:f t="shared" si="64"/>
        <x:v/>
      </x:c>
      <x:c r="EC35" s="856" t="str">
        <x:f t="shared" si="65"/>
        <x:v/>
      </x:c>
      <x:c r="ED35" s="1006">
        <x:f t="shared" si="66"/>
        <x:v>0</x:v>
      </x:c>
      <x:c r="EE35" s="1293" t="str">
        <x:f t="shared" si="67"/>
        <x:v/>
      </x:c>
      <x:c r="EF35" s="1293" t="str">
        <x:f t="shared" si="68"/>
        <x:v/>
      </x:c>
      <x:c r="EG35" s="1293" t="str">
        <x:f t="shared" si="69"/>
        <x:v/>
      </x:c>
      <x:c r="EH35" s="856" t="str">
        <x:f t="shared" si="70"/>
        <x:v>ERR</x:v>
      </x:c>
      <x:c r="EI35" s="856" t="str">
        <x:f t="shared" si="71"/>
        <x:v>ERR</x:v>
      </x:c>
      <x:c r="EJ35" s="822" t="str">
        <x:f t="shared" si="72"/>
        <x:v/>
      </x:c>
      <x:c r="EK35" s="822" t="str">
        <x:f t="shared" si="72"/>
        <x:v/>
      </x:c>
      <x:c r="EL35" s="1293" t="str">
        <x:f t="shared" si="73"/>
        <x:v/>
      </x:c>
      <x:c r="EM35" s="822" t="str">
        <x:f t="shared" si="74"/>
        <x:v/>
      </x:c>
      <x:c r="EN35" s="822" t="str">
        <x:f t="shared" si="75"/>
        <x:v/>
      </x:c>
      <x:c r="EO35" s="856" t="str">
        <x:f t="shared" si="76"/>
        <x:v>ERR</x:v>
      </x:c>
      <x:c r="EP35" s="856" t="str">
        <x:f t="shared" si="77"/>
        <x:v>ERR</x:v>
      </x:c>
      <x:c r="EQ35" s="1293" t="str">
        <x:f t="shared" si="78"/>
        <x:v/>
      </x:c>
      <x:c r="ER35" s="822" t="str">
        <x:f t="shared" si="78"/>
        <x:v/>
      </x:c>
      <x:c r="ES35" s="822" t="str">
        <x:f t="shared" si="79"/>
        <x:v/>
      </x:c>
      <x:c r="ET35" s="822" t="str">
        <x:f t="shared" si="80"/>
        <x:v/>
      </x:c>
      <x:c r="EU35" s="829">
        <x:f t="shared" si="81"/>
        <x:v>4</x:v>
      </x:c>
      <x:c r="EV35" s="824" t="str">
        <x:f t="shared" si="82"/>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83"/>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84"/>
        <x:v/>
      </x:c>
      <x:c r="FD35" s="821">
        <x:f t="shared" si="107"/>
        <x:v>0</x:v>
      </x:c>
      <x:c r="FE35" s="821">
        <x:f t="shared" si="85"/>
        <x:v>0</x:v>
      </x:c>
      <x:c r="FF35" s="821">
        <x:f t="shared" si="86"/>
        <x:v>0</x:v>
      </x:c>
      <x:c r="FG35" s="821" t="str">
        <x:f t="shared" si="87"/>
        <x:v/>
      </x:c>
      <x:c r="FH35" s="822" t="str">
        <x:f t="shared" si="88"/>
        <x:v/>
      </x:c>
      <x:c r="FI35" s="821">
        <x:f t="shared" si="108"/>
        <x:v>0</x:v>
      </x:c>
      <x:c r="FJ35" s="821">
        <x:f t="shared" si="89"/>
        <x:v>0</x:v>
      </x:c>
      <x:c r="FK35" s="821">
        <x:f t="shared" si="90"/>
        <x:v>0</x:v>
      </x:c>
      <x:c r="FL35" s="821" t="str">
        <x:f t="shared" si="91"/>
        <x:v/>
      </x:c>
      <x:c r="FM35" s="822" t="str">
        <x:f t="shared" si="92"/>
        <x:v/>
      </x:c>
      <x:c r="FN35" s="822" t="e">
        <x:f t="shared" si="93"/>
        <x:v>#VALUE!</x:v>
      </x:c>
      <x:c r="FO35" s="940" t="e">
        <x:f t="shared" si="94"/>
        <x:v>#VALUE!</x:v>
      </x:c>
      <x:c r="FP35" s="940" t="e">
        <x:f t="shared" si="95"/>
        <x:v>#VALUE!</x:v>
      </x:c>
      <x:c r="FQ35" s="830" t="e">
        <x:f t="shared" si="96"/>
        <x:v>#VALUE!</x:v>
      </x:c>
      <x:c r="FR35" s="831" t="e">
        <x:f t="shared" si="97"/>
        <x:v>#VALUE!</x:v>
      </x:c>
      <x:c r="FS35" s="832" t="str">
        <x:f t="shared" si="98"/>
        <x:v/>
      </x:c>
      <x:c r="FT35" s="833" t="str">
        <x:f t="shared" si="99"/>
        <x:v/>
      </x:c>
      <x:c r="FU35" s="870">
        <x:f t="shared" si="100"/>
        <x:v>0</x:v>
      </x:c>
      <x:c r="FV35" s="871">
        <x:f t="shared" si="101"/>
        <x:v>0</x:v>
      </x:c>
      <x:c r="GA35" s="1791">
        <x:v>69</x:v>
      </x:c>
      <x:c r="GB35" s="1792">
        <x:v>2.25</x:v>
      </x:c>
      <x:c r="GC35" s="1793">
        <x:v>-0.25</x:v>
      </x:c>
      <x:c r="GD35" s="1794">
        <x:v>-0.5</x:v>
      </x:c>
      <x:c r="GE35" s="1795">
        <x:f t="shared" si="102"/>
        <x:v>0</x:v>
      </x:c>
      <x:c r="GF35" s="600" t="str">
        <x:f t="shared" si="103"/>
        <x:v>J61</x:v>
      </x:c>
      <x:c r="GG35" s="1130">
        <x:v>0</x:v>
      </x:c>
      <x:c r="GH35" s="1131">
        <x:v>0</x:v>
      </x:c>
      <x:c r="GI35" s="1130"/>
      <x:c r="GJ35" s="1131"/>
      <x:c r="GK35" s="1638">
        <x:f t="shared" si="104"/>
        <x:v>829.5</x:v>
      </x:c>
      <x:c r="GL35" s="1636">
        <x:f t="shared" si="105"/>
        <x:v>829.5</x:v>
      </x:c>
      <x:c r="GM35" s="1637">
        <x:f>IF(ABS(GK35-GL35)&gt;='Job Info.'!$L$22,ABS(GK35-GL35),0)</x:f>
        <x:v>0</x:v>
      </x:c>
      <x:c r="HA35" s="1269" t="s">
        <x:v>1491</x:v>
      </x:c>
      <x:c r="HB35" s="1270">
        <x:v>4</x:v>
      </x:c>
      <x:c r="HC35" s="1270" t="s">
        <x:v>1593</x:v>
      </x:c>
      <x:c r="HD35" s="1271">
        <x:v>69</x:v>
      </x:c>
      <x:c r="HE35" s="1272">
        <x:v>1.5</x:v>
      </x:c>
      <x:c r="HF35" s="1270" t="s">
        <x:v>116</x:v>
      </x:c>
      <x:c r="HG35" s="1270" t="s">
        <x:v>116</x:v>
      </x:c>
      <x:c r="HH35" s="1270" t="s">
        <x:v>116</x:v>
      </x:c>
      <x:c r="HI35" s="1273" t="s">
        <x:v>116</x:v>
      </x:c>
      <x:c r="HJ35" s="1270" t="s">
        <x:v>116</x:v>
      </x:c>
      <x:c r="HK35" s="1270" t="s">
        <x:v>116</x:v>
      </x:c>
      <x:c r="HL35" s="1270">
        <x:v>5</x:v>
      </x:c>
      <x:c r="HM35" s="1270">
        <x:v>5</x:v>
      </x:c>
      <x:c r="HN35" s="1270" t="s">
        <x:v>116</x:v>
      </x:c>
      <x:c r="HO35" s="1270" t="s">
        <x:v>116</x:v>
      </x:c>
      <x:c r="HP35" s="1270" t="s">
        <x:v>116</x:v>
      </x:c>
      <x:c r="HQ35" s="1273" t="s">
        <x:v>116</x:v>
      </x:c>
      <x:c r="HR35" s="1270" t="s">
        <x:v>116</x:v>
      </x:c>
      <x:c r="HS35" s="1270" t="s">
        <x:v>116</x:v>
      </x:c>
      <x:c r="HT35" s="1270">
        <x:v>0</x:v>
      </x:c>
      <x:c r="HU35" s="1270">
        <x:v>2.25</x:v>
      </x:c>
      <x:c r="HV35" s="1270">
        <x:v>0</x:v>
      </x:c>
      <x:c r="HW35" s="1272">
        <x:v>2</x:v>
      </x:c>
      <x:c r="HX35" s="1272">
        <x:v>4</x:v>
      </x:c>
      <x:c r="HY35" s="1272" t="s">
        <x:v>116</x:v>
      </x:c>
      <x:c r="HZ35" s="1272" t="s">
        <x:v>116</x:v>
      </x:c>
      <x:c r="IA35" s="1272" t="s">
        <x:v>1683</x:v>
      </x:c>
      <x:c r="IB35" s="1272"/>
      <x:c r="IC35" s="1272"/>
      <x:c r="ID35" s="1272"/>
      <x:c r="IE35" s="1272"/>
      <x:c r="IF35" s="1274"/>
    </x:row>
    <x:row r="36" spans="1:240" ht="12.6" customHeight="1" x14ac:dyDescent="0.25">
      <x:c r="A36" s="2764" t="s">
        <x:v>1492</x:v>
      </x:c>
      <x:c r="B36" s="2765">
        <x:v>7</x:v>
      </x:c>
      <x:c r="C36" s="2766" t="s">
        <x:v>1592</x:v>
      </x:c>
      <x:c r="D36" s="2767">
        <x:v>40</x:v>
      </x:c>
      <x:c r="E36" s="2768">
        <x:v>0</x:v>
      </x:c>
      <x:c r="F36" s="2776" t="str">
        <x:f t="shared" si="1"/>
        <x:v/>
      </x:c>
      <x:c r="G36" s="2771" t="str">
        <x:f t="shared" si="2"/>
        <x:v/>
      </x:c>
      <x:c r="H36" s="2842" t="str">
        <x:f t="shared" si="3"/>
        <x:v/>
      </x:c>
      <x:c r="I36" s="2767" t="str">
        <x:f t="shared" si="4"/>
        <x:v/>
      </x:c>
      <x:c r="J36" s="2771" t="str">
        <x:f t="shared" si="5"/>
        <x:v/>
      </x:c>
      <x:c r="K36" s="2855" t="str">
        <x:f t="shared" si="6"/>
        <x:v/>
      </x:c>
      <x:c r="L36" s="2774">
        <x:v>5</x:v>
      </x:c>
      <x:c r="M36" s="2775">
        <x:v>5</x:v>
      </x:c>
      <x:c r="N36" s="2770" t="str">
        <x:f t="shared" si="7"/>
        <x:v/>
      </x:c>
      <x:c r="O36" s="2771" t="str">
        <x:f t="shared" si="8"/>
        <x:v/>
      </x:c>
      <x:c r="P36" s="2772" t="str">
        <x:f t="shared" si="9"/>
        <x:v/>
      </x:c>
      <x:c r="Q36" s="2767" t="str">
        <x:f t="shared" si="10"/>
        <x:v/>
      </x:c>
      <x:c r="R36" s="2771" t="str">
        <x:f t="shared" si="11"/>
        <x:v/>
      </x:c>
      <x:c r="S36" s="2773" t="str">
        <x:f t="shared" si="12"/>
        <x:v/>
      </x:c>
      <x:c r="T36" s="2776">
        <x:v>0</x:v>
      </x:c>
      <x:c r="U36" s="2771">
        <x:v>2.25</x:v>
      </x:c>
      <x:c r="V36" s="2767">
        <x:v>0</x:v>
      </x:c>
      <x:c r="W36" s="2771">
        <x:v>2</x:v>
      </x:c>
      <x:c r="X36" s="2775">
        <x:v>4</x:v>
      </x:c>
      <x:c r="Y36" s="2844" t="str">
        <x:f t="shared" si="13"/>
        <x:v/>
      </x:c>
      <x:c r="Z36" s="2845" t="str">
        <x:f t="shared" si="14"/>
        <x:v/>
      </x:c>
      <x:c r="AA36" s="2846" t="s">
        <x:v>1684</x:v>
      </x:c>
      <x:c r="AB36" s="1413"/>
      <x:c r="AC36" s="964" t="b">
        <x:v>0</x:v>
      </x:c>
      <x:c r="AD36" s="441">
        <x:f t="shared" si="15"/>
        <x:v>0</x:v>
      </x:c>
      <x:c r="AE36" s="442">
        <x:f t="shared" si="16"/>
        <x:v>7</x:v>
      </x:c>
      <x:c r="AF36" s="442">
        <x:f t="shared" si="17"/>
        <x:v>0</x:v>
      </x:c>
      <x:c r="AG36" s="442">
        <x:f t="shared" si="18"/>
        <x:v>0</x:v>
      </x:c>
      <x:c r="AH36" s="443">
        <x:f t="shared" si="19"/>
        <x:v>0</x:v>
      </x:c>
      <x:c r="AI36" s="444" t="b">
        <x:v>0</x:v>
      </x:c>
      <x:c r="AJ36" s="238">
        <x:f t="shared" si="20"/>
        <x:v>32</x:v>
      </x:c>
      <x:c r="AK36" s="830" t="str">
        <x:f t="shared" si="21"/>
        <x:v>LH</x:v>
      </x:c>
      <x:c r="AL36" s="945" t="str">
        <x:f t="shared" si="22"/>
        <x:v/>
      </x:c>
      <x:c r="AM36" s="830">
        <x:f t="shared" si="23"/>
        <x:v>305</x:v>
      </x:c>
      <x:c r="AN36" s="830">
        <x:f t="shared" si="24"/>
        <x:v>180</x:v>
      </x:c>
      <x:c r="AO36" s="830" t="str">
        <x:f t="shared" si="25"/>
        <x:v/>
      </x:c>
      <x:c r="AP36" s="830" t="b">
        <x:f>IF(ISERROR(AJ36),FALSE,IF(OR(AJ36=0,ISERROR(AL36),ISERROR(AM36),ISERROR(AN36),ISERROR(AO36)),FALSE,IF(AL36&lt;&gt;"",IF(ISERROR(VLOOKUP(SUBSTITUTE(SUBSTITUTE(C36,"R",""),"A",""),TblJoistSize!$A:$A,1,FALSE)),FALSE,TRUE),TRUE)))</x:f>
        <x:v>1</x:v>
      </x:c>
      <x:c r="AQ36" s="1038">
        <x:f t="shared" si="26"/>
        <x:v>6</x:v>
      </x:c>
      <x:c r="AR36" s="945" t="b">
        <x:f t="shared" si="27"/>
        <x:v>1</x:v>
      </x:c>
      <x:c r="AS36" s="1038">
        <x:f t="shared" si="28"/>
        <x:v>6</x:v>
      </x:c>
      <x:c r="AT36" s="945" t="b">
        <x:f t="shared" si="29"/>
        <x:v>1</x:v>
      </x:c>
      <x:c r="AU36" s="946" t="str">
        <x:f t="shared" si="30"/>
        <x:v>LH</x:v>
      </x:c>
      <x:c r="AV36" s="830" t="str">
        <x:f t="shared" si="31"/>
        <x:v/>
      </x:c>
      <x:c r="AW36" s="830" t="str">
        <x:f t="shared" si="32"/>
        <x:v>LH</x:v>
      </x:c>
      <x:c r="AX36" s="830" t="str">
        <x:f t="shared" si="106"/>
        <x:v>J62</x:v>
      </x:c>
      <x:c r="AY36" s="1039" t="b">
        <x:f t="shared" si="33"/>
        <x:v>0</x:v>
      </x:c>
      <x:c r="AZ36" s="856" t="b">
        <x:f t="shared" si="34"/>
        <x:v>0</x:v>
      </x:c>
      <x:c r="BA36" s="549"/>
      <x:c r="BB36" s="672"/>
      <x:c r="BC36" s="1684"/>
      <x:c r="BD36" s="733"/>
      <x:c r="BE36" s="734"/>
      <x:c r="BF36" s="735"/>
      <x:c r="BG36" s="672"/>
      <x:c r="BH36" s="982"/>
      <x:c r="BI36" s="983"/>
      <x:c r="BJ36" s="1625"/>
      <x:c r="BK36" s="713"/>
      <x:c r="BL36" s="714"/>
      <x:c r="BM36" s="715"/>
      <x:c r="BN36" s="716"/>
      <x:c r="BO36" s="672" t="str">
        <x:f>IF(ISERROR(CU36),"",IF(CU36="","",IF(VLOOKUP(BG36,SectInfo!$B:$N,10,FALSE)="","","X")))</x:f>
        <x:v/>
      </x:c>
      <x:c r="BP36" s="738"/>
      <x:c r="BQ36" s="1551" t="str">
        <x:f t="shared" si="35"/>
        <x:v/>
      </x:c>
      <x:c r="BR36" s="910"/>
      <x:c r="BS36" s="672"/>
      <x:c r="BT36" s="713"/>
      <x:c r="BU36" s="714"/>
      <x:c r="BV36" s="1625"/>
      <x:c r="BW36" s="713"/>
      <x:c r="BX36" s="714"/>
      <x:c r="BY36" s="715"/>
      <x:c r="BZ36" s="716"/>
      <x:c r="CA36" s="680" t="str">
        <x:f>IF(ISERROR(DE36),"",IF(DE36="","",IF(VLOOKUP(BS36,SectInfo!$B:$N,10,FALSE)="","","X")))</x:f>
        <x:v/>
      </x:c>
      <x:c r="CB36" s="738"/>
      <x:c r="CC36" s="1551" t="str">
        <x:f t="shared" si="36"/>
        <x:v/>
      </x:c>
      <x:c r="CD36" s="910"/>
      <x:c r="CE36" s="717"/>
      <x:c r="CF36" s="736"/>
      <x:c r="CG36" s="737"/>
      <x:c r="CH36" s="591" t="str">
        <x:f t="shared" si="37"/>
        <x:v/>
      </x:c>
      <x:c r="CI36" s="592" t="str">
        <x:f t="shared" si="38"/>
        <x:v/>
      </x:c>
      <x:c r="CJ36" s="593" t="str">
        <x:f t="shared" si="39"/>
        <x:v/>
      </x:c>
      <x:c r="CK36" s="594" t="str">
        <x:f t="shared" si="40"/>
        <x:v/>
      </x:c>
      <x:c r="CL36" s="595" t="str">
        <x:f t="shared" si="41"/>
        <x:v/>
      </x:c>
      <x:c r="CM36" s="596" t="str">
        <x:f t="shared" si="42"/>
        <x:v/>
      </x:c>
      <x:c r="CN36" s="597" t="str">
        <x:f t="shared" si="43"/>
        <x:v/>
      </x:c>
      <x:c r="CO36" s="598" t="str">
        <x:f t="shared" si="44"/>
        <x:v/>
      </x:c>
      <x:c r="CP36" s="615" t="str">
        <x:f t="shared" si="45"/>
        <x:v/>
      </x:c>
      <x:c r="CQ36" s="616" t="str">
        <x:f t="shared" si="46"/>
        <x:v/>
      </x:c>
      <x:c r="CR36" s="750">
        <x:f t="shared" si="47"/>
        <x:v>5</x:v>
      </x:c>
      <x:c r="CS36" s="751">
        <x:f t="shared" si="48"/>
        <x:v>5</x:v>
      </x:c>
      <x:c r="CU36" s="817" t="str">
        <x:f>IF(BG36="","",VLOOKUP(BG36,SectInfo!$B:$N,12,FALSE))</x:f>
        <x:v/>
      </x:c>
      <x:c r="CV36" s="815" t="str">
        <x:f>IF(BG36="","",IF(ISBLANK(BP36),VLOOKUP(BG36,SectInfo!$B:$N,13,FALSE),BP36))</x:f>
        <x:v/>
      </x:c>
      <x:c r="CW36" s="8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8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49"/>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50"/>
        <x:v>0</x:v>
      </x:c>
      <x:c r="DO36" s="818">
        <x:f t="shared" si="51"/>
        <x:v>0</x:v>
      </x:c>
      <x:c r="DP36" s="822" t="str">
        <x:f t="shared" si="52"/>
        <x:v/>
      </x:c>
      <x:c r="DQ36" s="822" t="str">
        <x:f t="shared" si="53"/>
        <x:v/>
      </x:c>
      <x:c r="DR36" s="822" t="str">
        <x:f t="shared" si="54"/>
        <x:v/>
      </x:c>
      <x:c r="DS36" s="821">
        <x:f t="shared" si="55"/>
        <x:v>0</x:v>
      </x:c>
      <x:c r="DT36" s="821">
        <x:f t="shared" si="56"/>
        <x:v>0</x:v>
      </x:c>
      <x:c r="DU36" s="821" t="str">
        <x:f t="shared" si="57"/>
        <x:v/>
      </x:c>
      <x:c r="DV36" s="822" t="str">
        <x:f t="shared" si="58"/>
        <x:v/>
      </x:c>
      <x:c r="DW36" s="856" t="str">
        <x:f t="shared" si="59"/>
        <x:v/>
      </x:c>
      <x:c r="DX36" s="1006">
        <x:f t="shared" si="60"/>
        <x:v>0</x:v>
      </x:c>
      <x:c r="DY36" s="822">
        <x:f t="shared" si="61"/>
        <x:v>0</x:v>
      </x:c>
      <x:c r="DZ36" s="821">
        <x:f t="shared" si="62"/>
        <x:v>0</x:v>
      </x:c>
      <x:c r="EA36" s="821" t="str">
        <x:f t="shared" si="63"/>
        <x:v/>
      </x:c>
      <x:c r="EB36" s="822" t="str">
        <x:f t="shared" si="64"/>
        <x:v/>
      </x:c>
      <x:c r="EC36" s="856" t="str">
        <x:f t="shared" si="65"/>
        <x:v/>
      </x:c>
      <x:c r="ED36" s="1006">
        <x:f t="shared" si="66"/>
        <x:v>0</x:v>
      </x:c>
      <x:c r="EE36" s="1293" t="str">
        <x:f t="shared" si="67"/>
        <x:v/>
      </x:c>
      <x:c r="EF36" s="1293" t="str">
        <x:f t="shared" si="68"/>
        <x:v/>
      </x:c>
      <x:c r="EG36" s="1293" t="str">
        <x:f t="shared" si="69"/>
        <x:v/>
      </x:c>
      <x:c r="EH36" s="856" t="str">
        <x:f t="shared" si="70"/>
        <x:v>ERR</x:v>
      </x:c>
      <x:c r="EI36" s="856" t="str">
        <x:f t="shared" si="71"/>
        <x:v>ERR</x:v>
      </x:c>
      <x:c r="EJ36" s="822" t="str">
        <x:f t="shared" si="72"/>
        <x:v/>
      </x:c>
      <x:c r="EK36" s="822" t="str">
        <x:f t="shared" si="72"/>
        <x:v/>
      </x:c>
      <x:c r="EL36" s="1293" t="str">
        <x:f t="shared" si="73"/>
        <x:v/>
      </x:c>
      <x:c r="EM36" s="822" t="str">
        <x:f t="shared" si="74"/>
        <x:v/>
      </x:c>
      <x:c r="EN36" s="822" t="str">
        <x:f t="shared" si="75"/>
        <x:v/>
      </x:c>
      <x:c r="EO36" s="856" t="str">
        <x:f t="shared" si="76"/>
        <x:v>ERR</x:v>
      </x:c>
      <x:c r="EP36" s="856" t="str">
        <x:f t="shared" si="77"/>
        <x:v>ERR</x:v>
      </x:c>
      <x:c r="EQ36" s="1293" t="str">
        <x:f t="shared" si="78"/>
        <x:v/>
      </x:c>
      <x:c r="ER36" s="822" t="str">
        <x:f t="shared" si="78"/>
        <x:v/>
      </x:c>
      <x:c r="ES36" s="822" t="str">
        <x:f t="shared" si="79"/>
        <x:v/>
      </x:c>
      <x:c r="ET36" s="822" t="str">
        <x:f t="shared" si="80"/>
        <x:v/>
      </x:c>
      <x:c r="EU36" s="829">
        <x:f t="shared" si="81"/>
        <x:v>4</x:v>
      </x:c>
      <x:c r="EV36" s="824" t="str">
        <x:f t="shared" si="82"/>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83"/>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84"/>
        <x:v/>
      </x:c>
      <x:c r="FD36" s="821">
        <x:f t="shared" si="107"/>
        <x:v>0</x:v>
      </x:c>
      <x:c r="FE36" s="821">
        <x:f t="shared" si="85"/>
        <x:v>0</x:v>
      </x:c>
      <x:c r="FF36" s="821">
        <x:f t="shared" si="86"/>
        <x:v>0</x:v>
      </x:c>
      <x:c r="FG36" s="821" t="str">
        <x:f t="shared" si="87"/>
        <x:v/>
      </x:c>
      <x:c r="FH36" s="822" t="str">
        <x:f t="shared" si="88"/>
        <x:v/>
      </x:c>
      <x:c r="FI36" s="821">
        <x:f t="shared" si="108"/>
        <x:v>0</x:v>
      </x:c>
      <x:c r="FJ36" s="821">
        <x:f t="shared" si="89"/>
        <x:v>0</x:v>
      </x:c>
      <x:c r="FK36" s="821">
        <x:f t="shared" si="90"/>
        <x:v>0</x:v>
      </x:c>
      <x:c r="FL36" s="821" t="str">
        <x:f t="shared" si="91"/>
        <x:v/>
      </x:c>
      <x:c r="FM36" s="822" t="str">
        <x:f t="shared" si="92"/>
        <x:v/>
      </x:c>
      <x:c r="FN36" s="822" t="e">
        <x:f t="shared" si="93"/>
        <x:v>#VALUE!</x:v>
      </x:c>
      <x:c r="FO36" s="940" t="e">
        <x:f t="shared" si="94"/>
        <x:v>#VALUE!</x:v>
      </x:c>
      <x:c r="FP36" s="940" t="e">
        <x:f t="shared" si="95"/>
        <x:v>#VALUE!</x:v>
      </x:c>
      <x:c r="FQ36" s="830" t="e">
        <x:f t="shared" si="96"/>
        <x:v>#VALUE!</x:v>
      </x:c>
      <x:c r="FR36" s="831" t="e">
        <x:f t="shared" si="97"/>
        <x:v>#VALUE!</x:v>
      </x:c>
      <x:c r="FS36" s="832" t="str">
        <x:f t="shared" si="98"/>
        <x:v/>
      </x:c>
      <x:c r="FT36" s="833" t="str">
        <x:f t="shared" si="99"/>
        <x:v/>
      </x:c>
      <x:c r="FU36" s="870">
        <x:f t="shared" si="100"/>
        <x:v>0</x:v>
      </x:c>
      <x:c r="FV36" s="871">
        <x:f t="shared" si="101"/>
        <x:v>0</x:v>
      </x:c>
      <x:c r="GA36" s="1791">
        <x:v>40</x:v>
      </x:c>
      <x:c r="GB36" s="1792">
        <x:v>0.75</x:v>
      </x:c>
      <x:c r="GC36" s="1793">
        <x:v>-0.25</x:v>
      </x:c>
      <x:c r="GD36" s="1794">
        <x:v>-0.5</x:v>
      </x:c>
      <x:c r="GE36" s="1795">
        <x:f t="shared" si="102"/>
        <x:v>0</x:v>
      </x:c>
      <x:c r="GF36" s="600" t="str">
        <x:f t="shared" si="103"/>
        <x:v>J62</x:v>
      </x:c>
      <x:c r="GG36" s="1130">
        <x:v>0</x:v>
      </x:c>
      <x:c r="GH36" s="1131">
        <x:v>0</x:v>
      </x:c>
      <x:c r="GI36" s="1130"/>
      <x:c r="GJ36" s="1131"/>
      <x:c r="GK36" s="1638">
        <x:f t="shared" si="104"/>
        <x:v>480</x:v>
      </x:c>
      <x:c r="GL36" s="1636">
        <x:f t="shared" si="105"/>
        <x:v>480</x:v>
      </x:c>
      <x:c r="GM36" s="1637">
        <x:f>IF(ABS(GK36-GL36)&gt;='Job Info.'!$L$22,ABS(GK36-GL36),0)</x:f>
        <x:v>0</x:v>
      </x:c>
      <x:c r="HA36" s="1269" t="s">
        <x:v>1492</x:v>
      </x:c>
      <x:c r="HB36" s="1270">
        <x:v>7</x:v>
      </x:c>
      <x:c r="HC36" s="1270" t="s">
        <x:v>1592</x:v>
      </x:c>
      <x:c r="HD36" s="1271">
        <x:v>40</x:v>
      </x:c>
      <x:c r="HE36" s="1272">
        <x:v>0</x:v>
      </x:c>
      <x:c r="HF36" s="1270" t="s">
        <x:v>116</x:v>
      </x:c>
      <x:c r="HG36" s="1270" t="s">
        <x:v>116</x:v>
      </x:c>
      <x:c r="HH36" s="1270" t="s">
        <x:v>116</x:v>
      </x:c>
      <x:c r="HI36" s="1273" t="s">
        <x:v>116</x:v>
      </x:c>
      <x:c r="HJ36" s="1270" t="s">
        <x:v>116</x:v>
      </x:c>
      <x:c r="HK36" s="1270" t="s">
        <x:v>116</x:v>
      </x:c>
      <x:c r="HL36" s="1270">
        <x:v>5</x:v>
      </x:c>
      <x:c r="HM36" s="1270">
        <x:v>5</x:v>
      </x:c>
      <x:c r="HN36" s="1270" t="s">
        <x:v>116</x:v>
      </x:c>
      <x:c r="HO36" s="1270" t="s">
        <x:v>116</x:v>
      </x:c>
      <x:c r="HP36" s="1270" t="s">
        <x:v>116</x:v>
      </x:c>
      <x:c r="HQ36" s="1273" t="s">
        <x:v>116</x:v>
      </x:c>
      <x:c r="HR36" s="1270" t="s">
        <x:v>116</x:v>
      </x:c>
      <x:c r="HS36" s="1270" t="s">
        <x:v>116</x:v>
      </x:c>
      <x:c r="HT36" s="1270">
        <x:v>0</x:v>
      </x:c>
      <x:c r="HU36" s="1270">
        <x:v>2.25</x:v>
      </x:c>
      <x:c r="HV36" s="1270">
        <x:v>0</x:v>
      </x:c>
      <x:c r="HW36" s="1272">
        <x:v>2</x:v>
      </x:c>
      <x:c r="HX36" s="1272">
        <x:v>4</x:v>
      </x:c>
      <x:c r="HY36" s="1272" t="s">
        <x:v>116</x:v>
      </x:c>
      <x:c r="HZ36" s="1272" t="s">
        <x:v>116</x:v>
      </x:c>
      <x:c r="IA36" s="1272" t="s">
        <x:v>1684</x:v>
      </x:c>
      <x:c r="IB36" s="1272"/>
      <x:c r="IC36" s="1272"/>
      <x:c r="ID36" s="1272"/>
      <x:c r="IE36" s="1272"/>
      <x:c r="IF36" s="1274"/>
    </x:row>
    <x:row r="37" spans="1:240" ht="12.6" customHeight="1" x14ac:dyDescent="0.25">
      <x:c r="A37" s="2764" t="s">
        <x:v>1493</x:v>
      </x:c>
      <x:c r="B37" s="2765">
        <x:v>1</x:v>
      </x:c>
      <x:c r="C37" s="2766" t="s">
        <x:v>1592</x:v>
      </x:c>
      <x:c r="D37" s="2767">
        <x:v>40</x:v>
      </x:c>
      <x:c r="E37" s="2768">
        <x:v>0</x:v>
      </x:c>
      <x:c r="F37" s="2776" t="str">
        <x:f t="shared" si="1"/>
        <x:v/>
      </x:c>
      <x:c r="G37" s="2771" t="str">
        <x:f t="shared" si="2"/>
        <x:v/>
      </x:c>
      <x:c r="H37" s="2842" t="str">
        <x:f t="shared" si="3"/>
        <x:v/>
      </x:c>
      <x:c r="I37" s="2767" t="str">
        <x:f t="shared" si="4"/>
        <x:v/>
      </x:c>
      <x:c r="J37" s="2771" t="str">
        <x:f t="shared" si="5"/>
        <x:v/>
      </x:c>
      <x:c r="K37" s="2855" t="str">
        <x:f t="shared" si="6"/>
        <x:v/>
      </x:c>
      <x:c r="L37" s="2774">
        <x:v>5</x:v>
      </x:c>
      <x:c r="M37" s="2775">
        <x:v>5</x:v>
      </x:c>
      <x:c r="N37" s="2770">
        <x:v>0</x:v>
      </x:c>
      <x:c r="O37" s="2771">
        <x:v>6.75</x:v>
      </x:c>
      <x:c r="P37" s="2772">
        <x:v>2</x:v>
      </x:c>
      <x:c r="Q37" s="2767" t="str">
        <x:f t="shared" si="10"/>
        <x:v/>
      </x:c>
      <x:c r="R37" s="2771" t="str">
        <x:f t="shared" si="11"/>
        <x:v/>
      </x:c>
      <x:c r="S37" s="2773" t="str">
        <x:f t="shared" si="12"/>
        <x:v/>
      </x:c>
      <x:c r="T37" s="2776">
        <x:v>0</x:v>
      </x:c>
      <x:c r="U37" s="2771">
        <x:v>2.25</x:v>
      </x:c>
      <x:c r="V37" s="2767">
        <x:v>0</x:v>
      </x:c>
      <x:c r="W37" s="2771">
        <x:v>2</x:v>
      </x:c>
      <x:c r="X37" s="2775">
        <x:v>4</x:v>
      </x:c>
      <x:c r="Y37" s="2844" t="str">
        <x:f t="shared" si="13"/>
        <x:v/>
      </x:c>
      <x:c r="Z37" s="2845" t="str">
        <x:f t="shared" si="14"/>
        <x:v/>
      </x:c>
      <x:c r="AA37" s="2846" t="s">
        <x:v>1684</x:v>
      </x:c>
      <x:c r="AB37" s="1413"/>
      <x:c r="AC37" s="964" t="b">
        <x:v>0</x:v>
      </x:c>
      <x:c r="AD37" s="441">
        <x:f t="shared" si="15"/>
        <x:v>0</x:v>
      </x:c>
      <x:c r="AE37" s="442">
        <x:f t="shared" si="16"/>
        <x:v>1</x:v>
      </x:c>
      <x:c r="AF37" s="442">
        <x:f t="shared" si="17"/>
        <x:v>0</x:v>
      </x:c>
      <x:c r="AG37" s="442">
        <x:f t="shared" si="18"/>
        <x:v>0</x:v>
      </x:c>
      <x:c r="AH37" s="443">
        <x:f t="shared" si="19"/>
        <x:v>0</x:v>
      </x:c>
      <x:c r="AI37" s="444" t="b">
        <x:v>0</x:v>
      </x:c>
      <x:c r="AJ37" s="238">
        <x:f t="shared" si="20"/>
        <x:v>32</x:v>
      </x:c>
      <x:c r="AK37" s="830" t="str">
        <x:f t="shared" si="21"/>
        <x:v>LH</x:v>
      </x:c>
      <x:c r="AL37" s="945" t="str">
        <x:f t="shared" si="22"/>
        <x:v/>
      </x:c>
      <x:c r="AM37" s="830">
        <x:f t="shared" si="23"/>
        <x:v>305</x:v>
      </x:c>
      <x:c r="AN37" s="830">
        <x:f t="shared" si="24"/>
        <x:v>180</x:v>
      </x:c>
      <x:c r="AO37" s="830" t="str">
        <x:f t="shared" si="25"/>
        <x:v/>
      </x:c>
      <x:c r="AP37" s="830" t="b">
        <x:f>IF(ISERROR(AJ37),FALSE,IF(OR(AJ37=0,ISERROR(AL37),ISERROR(AM37),ISERROR(AN37),ISERROR(AO37)),FALSE,IF(AL37&lt;&gt;"",IF(ISERROR(VLOOKUP(SUBSTITUTE(SUBSTITUTE(C37,"R",""),"A",""),TblJoistSize!$A:$A,1,FALSE)),FALSE,TRUE),TRUE)))</x:f>
        <x:v>1</x:v>
      </x:c>
      <x:c r="AQ37" s="1038">
        <x:f t="shared" si="26"/>
        <x:v>6</x:v>
      </x:c>
      <x:c r="AR37" s="945" t="b">
        <x:f t="shared" si="27"/>
        <x:v>1</x:v>
      </x:c>
      <x:c r="AS37" s="1038">
        <x:f t="shared" si="28"/>
        <x:v>6</x:v>
      </x:c>
      <x:c r="AT37" s="945" t="b">
        <x:f t="shared" si="29"/>
        <x:v>1</x:v>
      </x:c>
      <x:c r="AU37" s="946" t="str">
        <x:f t="shared" si="30"/>
        <x:v>LH</x:v>
      </x:c>
      <x:c r="AV37" s="830" t="str">
        <x:f t="shared" si="31"/>
        <x:v/>
      </x:c>
      <x:c r="AW37" s="830" t="str">
        <x:f t="shared" si="32"/>
        <x:v>LH</x:v>
      </x:c>
      <x:c r="AX37" s="830" t="str">
        <x:f t="shared" si="106"/>
        <x:v>TJ63</x:v>
      </x:c>
      <x:c r="AY37" s="1039" t="b">
        <x:f t="shared" si="33"/>
        <x:v>0</x:v>
      </x:c>
      <x:c r="AZ37" s="856" t="b">
        <x:f t="shared" si="34"/>
        <x:v>0</x:v>
      </x:c>
      <x:c r="BA37" s="549"/>
      <x:c r="BB37" s="672"/>
      <x:c r="BC37" s="1684"/>
      <x:c r="BD37" s="733"/>
      <x:c r="BE37" s="734"/>
      <x:c r="BF37" s="735"/>
      <x:c r="BG37" s="672"/>
      <x:c r="BH37" s="982"/>
      <x:c r="BI37" s="983"/>
      <x:c r="BJ37" s="1625"/>
      <x:c r="BK37" s="713"/>
      <x:c r="BL37" s="714"/>
      <x:c r="BM37" s="715"/>
      <x:c r="BN37" s="716"/>
      <x:c r="BO37" s="672" t="str">
        <x:f>IF(ISERROR(CU37),"",IF(CU37="","",IF(VLOOKUP(BG37,SectInfo!$B:$N,10,FALSE)="","","X")))</x:f>
        <x:v/>
      </x:c>
      <x:c r="BP37" s="738"/>
      <x:c r="BQ37" s="1551" t="str">
        <x:f t="shared" si="35"/>
        <x:v/>
      </x:c>
      <x:c r="BR37" s="910"/>
      <x:c r="BS37" s="672"/>
      <x:c r="BT37" s="713"/>
      <x:c r="BU37" s="714"/>
      <x:c r="BV37" s="1625"/>
      <x:c r="BW37" s="713"/>
      <x:c r="BX37" s="714"/>
      <x:c r="BY37" s="715"/>
      <x:c r="BZ37" s="716"/>
      <x:c r="CA37" s="680" t="str">
        <x:f>IF(ISERROR(DE37),"",IF(DE37="","",IF(VLOOKUP(BS37,SectInfo!$B:$N,10,FALSE)="","","X")))</x:f>
        <x:v/>
      </x:c>
      <x:c r="CB37" s="738"/>
      <x:c r="CC37" s="1551" t="str">
        <x:f t="shared" si="36"/>
        <x:v/>
      </x:c>
      <x:c r="CD37" s="910"/>
      <x:c r="CE37" s="717"/>
      <x:c r="CF37" s="736"/>
      <x:c r="CG37" s="737"/>
      <x:c r="CH37" s="591" t="str">
        <x:f t="shared" si="37"/>
        <x:v/>
      </x:c>
      <x:c r="CI37" s="592" t="str">
        <x:f t="shared" si="38"/>
        <x:v/>
      </x:c>
      <x:c r="CJ37" s="593" t="str">
        <x:f t="shared" si="39"/>
        <x:v/>
      </x:c>
      <x:c r="CK37" s="594" t="str">
        <x:f t="shared" si="40"/>
        <x:v/>
      </x:c>
      <x:c r="CL37" s="595" t="str">
        <x:f t="shared" si="41"/>
        <x:v/>
      </x:c>
      <x:c r="CM37" s="596" t="str">
        <x:f t="shared" si="42"/>
        <x:v/>
      </x:c>
      <x:c r="CN37" s="597" t="str">
        <x:f t="shared" si="43"/>
        <x:v/>
      </x:c>
      <x:c r="CO37" s="598" t="str">
        <x:f t="shared" si="44"/>
        <x:v/>
      </x:c>
      <x:c r="CP37" s="615" t="str">
        <x:f t="shared" si="45"/>
        <x:v/>
      </x:c>
      <x:c r="CQ37" s="616" t="str">
        <x:f t="shared" si="46"/>
        <x:v/>
      </x:c>
      <x:c r="CR37" s="750">
        <x:f t="shared" si="47"/>
        <x:v>5</x:v>
      </x:c>
      <x:c r="CS37" s="751">
        <x:f t="shared" si="48"/>
        <x:v>5</x:v>
      </x:c>
      <x:c r="CU37" s="817" t="str">
        <x:f>IF(BG37="","",VLOOKUP(BG37,SectInfo!$B:$N,12,FALSE))</x:f>
        <x:v/>
      </x:c>
      <x:c r="CV37" s="815" t="str">
        <x:f>IF(BG37="","",IF(ISBLANK(BP37),VLOOKUP(BG37,SectInfo!$B:$N,13,FALSE),BP37))</x:f>
        <x:v/>
      </x:c>
      <x:c r="CW37" s="8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8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49"/>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50"/>
        <x:v>0</x:v>
      </x:c>
      <x:c r="DO37" s="818">
        <x:f t="shared" si="51"/>
        <x:v>0</x:v>
      </x:c>
      <x:c r="DP37" s="822" t="str">
        <x:f t="shared" si="52"/>
        <x:v/>
      </x:c>
      <x:c r="DQ37" s="822" t="str">
        <x:f t="shared" si="53"/>
        <x:v/>
      </x:c>
      <x:c r="DR37" s="822" t="str">
        <x:f t="shared" si="54"/>
        <x:v/>
      </x:c>
      <x:c r="DS37" s="821">
        <x:f t="shared" si="55"/>
        <x:v>0</x:v>
      </x:c>
      <x:c r="DT37" s="821">
        <x:f t="shared" si="56"/>
        <x:v>0</x:v>
      </x:c>
      <x:c r="DU37" s="821" t="str">
        <x:f t="shared" si="57"/>
        <x:v/>
      </x:c>
      <x:c r="DV37" s="822" t="str">
        <x:f t="shared" si="58"/>
        <x:v/>
      </x:c>
      <x:c r="DW37" s="856" t="str">
        <x:f t="shared" si="59"/>
        <x:v/>
      </x:c>
      <x:c r="DX37" s="1006">
        <x:f t="shared" si="60"/>
        <x:v>0</x:v>
      </x:c>
      <x:c r="DY37" s="822">
        <x:f t="shared" si="61"/>
        <x:v>0</x:v>
      </x:c>
      <x:c r="DZ37" s="821">
        <x:f t="shared" si="62"/>
        <x:v>0</x:v>
      </x:c>
      <x:c r="EA37" s="821" t="str">
        <x:f t="shared" si="63"/>
        <x:v/>
      </x:c>
      <x:c r="EB37" s="822" t="str">
        <x:f t="shared" si="64"/>
        <x:v/>
      </x:c>
      <x:c r="EC37" s="856" t="str">
        <x:f t="shared" si="65"/>
        <x:v/>
      </x:c>
      <x:c r="ED37" s="1006">
        <x:f t="shared" si="66"/>
        <x:v>0</x:v>
      </x:c>
      <x:c r="EE37" s="1293" t="str">
        <x:f t="shared" si="67"/>
        <x:v/>
      </x:c>
      <x:c r="EF37" s="1293" t="str">
        <x:f t="shared" si="68"/>
        <x:v/>
      </x:c>
      <x:c r="EG37" s="1293" t="str">
        <x:f t="shared" si="69"/>
        <x:v/>
      </x:c>
      <x:c r="EH37" s="856" t="str">
        <x:f t="shared" si="70"/>
        <x:v>ERR</x:v>
      </x:c>
      <x:c r="EI37" s="856" t="str">
        <x:f t="shared" si="71"/>
        <x:v>ERR</x:v>
      </x:c>
      <x:c r="EJ37" s="822" t="str">
        <x:f t="shared" si="72"/>
        <x:v/>
      </x:c>
      <x:c r="EK37" s="822" t="str">
        <x:f t="shared" si="72"/>
        <x:v/>
      </x:c>
      <x:c r="EL37" s="1293" t="str">
        <x:f t="shared" si="73"/>
        <x:v/>
      </x:c>
      <x:c r="EM37" s="822" t="str">
        <x:f t="shared" si="74"/>
        <x:v/>
      </x:c>
      <x:c r="EN37" s="822" t="str">
        <x:f t="shared" si="75"/>
        <x:v/>
      </x:c>
      <x:c r="EO37" s="856" t="str">
        <x:f t="shared" si="76"/>
        <x:v>ERR</x:v>
      </x:c>
      <x:c r="EP37" s="856" t="str">
        <x:f t="shared" si="77"/>
        <x:v>ERR</x:v>
      </x:c>
      <x:c r="EQ37" s="1293" t="str">
        <x:f t="shared" si="78"/>
        <x:v/>
      </x:c>
      <x:c r="ER37" s="822" t="str">
        <x:f t="shared" si="78"/>
        <x:v/>
      </x:c>
      <x:c r="ES37" s="822" t="str">
        <x:f t="shared" si="79"/>
        <x:v/>
      </x:c>
      <x:c r="ET37" s="822" t="str">
        <x:f t="shared" si="80"/>
        <x:v/>
      </x:c>
      <x:c r="EU37" s="829">
        <x:f t="shared" si="81"/>
        <x:v>4</x:v>
      </x:c>
      <x:c r="EV37" s="824" t="str">
        <x:f t="shared" si="82"/>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83"/>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84"/>
        <x:v/>
      </x:c>
      <x:c r="FD37" s="821">
        <x:f t="shared" si="107"/>
        <x:v>0</x:v>
      </x:c>
      <x:c r="FE37" s="821">
        <x:f t="shared" si="85"/>
        <x:v>0</x:v>
      </x:c>
      <x:c r="FF37" s="821">
        <x:f t="shared" si="86"/>
        <x:v>0</x:v>
      </x:c>
      <x:c r="FG37" s="821" t="str">
        <x:f t="shared" si="87"/>
        <x:v/>
      </x:c>
      <x:c r="FH37" s="822" t="str">
        <x:f t="shared" si="88"/>
        <x:v/>
      </x:c>
      <x:c r="FI37" s="821">
        <x:f t="shared" si="108"/>
        <x:v>0</x:v>
      </x:c>
      <x:c r="FJ37" s="821">
        <x:f t="shared" si="89"/>
        <x:v>0</x:v>
      </x:c>
      <x:c r="FK37" s="821">
        <x:f t="shared" si="90"/>
        <x:v>0</x:v>
      </x:c>
      <x:c r="FL37" s="821" t="str">
        <x:f t="shared" si="91"/>
        <x:v/>
      </x:c>
      <x:c r="FM37" s="822" t="str">
        <x:f t="shared" si="92"/>
        <x:v/>
      </x:c>
      <x:c r="FN37" s="822" t="e">
        <x:f t="shared" si="93"/>
        <x:v>#VALUE!</x:v>
      </x:c>
      <x:c r="FO37" s="940" t="e">
        <x:f t="shared" si="94"/>
        <x:v>#VALUE!</x:v>
      </x:c>
      <x:c r="FP37" s="940" t="e">
        <x:f t="shared" si="95"/>
        <x:v>#VALUE!</x:v>
      </x:c>
      <x:c r="FQ37" s="830" t="e">
        <x:f t="shared" si="96"/>
        <x:v>#VALUE!</x:v>
      </x:c>
      <x:c r="FR37" s="831" t="e">
        <x:f t="shared" si="97"/>
        <x:v>#VALUE!</x:v>
      </x:c>
      <x:c r="FS37" s="832" t="str">
        <x:f t="shared" si="98"/>
        <x:v/>
      </x:c>
      <x:c r="FT37" s="833" t="str">
        <x:f t="shared" si="99"/>
        <x:v/>
      </x:c>
      <x:c r="FU37" s="870">
        <x:f t="shared" si="100"/>
        <x:v>0</x:v>
      </x:c>
      <x:c r="FV37" s="871">
        <x:f t="shared" si="101"/>
        <x:v>0</x:v>
      </x:c>
      <x:c r="GA37" s="1791">
        <x:v>40</x:v>
      </x:c>
      <x:c r="GB37" s="1792">
        <x:v>0.75</x:v>
      </x:c>
      <x:c r="GC37" s="1793">
        <x:v>-0.25</x:v>
      </x:c>
      <x:c r="GD37" s="1794">
        <x:v>-0.5</x:v>
      </x:c>
      <x:c r="GE37" s="1795">
        <x:f t="shared" si="102"/>
        <x:v>0</x:v>
      </x:c>
      <x:c r="GF37" s="600" t="str">
        <x:f t="shared" si="103"/>
        <x:v>TJ63</x:v>
      </x:c>
      <x:c r="GG37" s="1130">
        <x:v>0</x:v>
      </x:c>
      <x:c r="GH37" s="1131">
        <x:v>0</x:v>
      </x:c>
      <x:c r="GI37" s="1130"/>
      <x:c r="GJ37" s="1131"/>
      <x:c r="GK37" s="1638">
        <x:f t="shared" si="104"/>
        <x:v>480</x:v>
      </x:c>
      <x:c r="GL37" s="1636">
        <x:f t="shared" si="105"/>
        <x:v>480</x:v>
      </x:c>
      <x:c r="GM37" s="1637">
        <x:f>IF(ABS(GK37-GL37)&gt;='Job Info.'!$L$22,ABS(GK37-GL37),0)</x:f>
        <x:v>0</x:v>
      </x:c>
      <x:c r="HA37" s="1269" t="s">
        <x:v>1493</x:v>
      </x:c>
      <x:c r="HB37" s="1270">
        <x:v>1</x:v>
      </x:c>
      <x:c r="HC37" s="1270" t="s">
        <x:v>1592</x:v>
      </x:c>
      <x:c r="HD37" s="1271">
        <x:v>40</x:v>
      </x:c>
      <x:c r="HE37" s="1272">
        <x:v>0</x:v>
      </x:c>
      <x:c r="HF37" s="1270" t="s">
        <x:v>116</x:v>
      </x:c>
      <x:c r="HG37" s="1270" t="s">
        <x:v>116</x:v>
      </x:c>
      <x:c r="HH37" s="1270" t="s">
        <x:v>116</x:v>
      </x:c>
      <x:c r="HI37" s="1273" t="s">
        <x:v>116</x:v>
      </x:c>
      <x:c r="HJ37" s="1270" t="s">
        <x:v>116</x:v>
      </x:c>
      <x:c r="HK37" s="1270" t="s">
        <x:v>116</x:v>
      </x:c>
      <x:c r="HL37" s="1270">
        <x:v>5</x:v>
      </x:c>
      <x:c r="HM37" s="1270">
        <x:v>5</x:v>
      </x:c>
      <x:c r="HN37" s="1270">
        <x:v>0</x:v>
      </x:c>
      <x:c r="HO37" s="1270">
        <x:v>6.75</x:v>
      </x:c>
      <x:c r="HP37" s="1270">
        <x:v>2</x:v>
      </x:c>
      <x:c r="HQ37" s="1273" t="s">
        <x:v>116</x:v>
      </x:c>
      <x:c r="HR37" s="1270" t="s">
        <x:v>116</x:v>
      </x:c>
      <x:c r="HS37" s="1270" t="s">
        <x:v>116</x:v>
      </x:c>
      <x:c r="HT37" s="1270">
        <x:v>0</x:v>
      </x:c>
      <x:c r="HU37" s="1270">
        <x:v>2.25</x:v>
      </x:c>
      <x:c r="HV37" s="1270">
        <x:v>0</x:v>
      </x:c>
      <x:c r="HW37" s="1272">
        <x:v>2</x:v>
      </x:c>
      <x:c r="HX37" s="1272">
        <x:v>4</x:v>
      </x:c>
      <x:c r="HY37" s="1272" t="s">
        <x:v>116</x:v>
      </x:c>
      <x:c r="HZ37" s="1272" t="s">
        <x:v>116</x:v>
      </x:c>
      <x:c r="IA37" s="1272" t="s">
        <x:v>1684</x:v>
      </x:c>
      <x:c r="IB37" s="1272"/>
      <x:c r="IC37" s="1272"/>
      <x:c r="ID37" s="1272"/>
      <x:c r="IE37" s="1272"/>
      <x:c r="IF37" s="1274"/>
    </x:row>
    <x:row r="38" spans="1:240" ht="12.6" customHeight="1" x14ac:dyDescent="0.25">
      <x:c r="A38" s="2764" t="s">
        <x:v>1494</x:v>
      </x:c>
      <x:c r="B38" s="2765">
        <x:v>2</x:v>
      </x:c>
      <x:c r="C38" s="2766" t="s">
        <x:v>1592</x:v>
      </x:c>
      <x:c r="D38" s="2767">
        <x:v>40</x:v>
      </x:c>
      <x:c r="E38" s="2768">
        <x:v>0</x:v>
      </x:c>
      <x:c r="F38" s="2776" t="str">
        <x:f t="shared" si="1"/>
        <x:v/>
      </x:c>
      <x:c r="G38" s="2771" t="str">
        <x:f t="shared" si="2"/>
        <x:v/>
      </x:c>
      <x:c r="H38" s="2842" t="str">
        <x:f t="shared" si="3"/>
        <x:v/>
      </x:c>
      <x:c r="I38" s="2767" t="str">
        <x:f t="shared" si="4"/>
        <x:v/>
      </x:c>
      <x:c r="J38" s="2771" t="str">
        <x:f t="shared" si="5"/>
        <x:v/>
      </x:c>
      <x:c r="K38" s="2855" t="str">
        <x:f t="shared" si="6"/>
        <x:v/>
      </x:c>
      <x:c r="L38" s="2774">
        <x:v>5</x:v>
      </x:c>
      <x:c r="M38" s="2775">
        <x:v>5</x:v>
      </x:c>
      <x:c r="N38" s="2770" t="str">
        <x:f t="shared" si="7"/>
        <x:v/>
      </x:c>
      <x:c r="O38" s="2771" t="str">
        <x:f t="shared" si="8"/>
        <x:v/>
      </x:c>
      <x:c r="P38" s="2772" t="str">
        <x:f t="shared" si="9"/>
        <x:v/>
      </x:c>
      <x:c r="Q38" s="2767" t="str">
        <x:f t="shared" si="10"/>
        <x:v/>
      </x:c>
      <x:c r="R38" s="2771" t="str">
        <x:f t="shared" si="11"/>
        <x:v/>
      </x:c>
      <x:c r="S38" s="2773" t="str">
        <x:f t="shared" si="12"/>
        <x:v/>
      </x:c>
      <x:c r="T38" s="2776">
        <x:v>0</x:v>
      </x:c>
      <x:c r="U38" s="2771">
        <x:v>2.25</x:v>
      </x:c>
      <x:c r="V38" s="2767">
        <x:v>0</x:v>
      </x:c>
      <x:c r="W38" s="2771">
        <x:v>2</x:v>
      </x:c>
      <x:c r="X38" s="2775">
        <x:v>4</x:v>
      </x:c>
      <x:c r="Y38" s="2844" t="str">
        <x:f t="shared" si="13"/>
        <x:v/>
      </x:c>
      <x:c r="Z38" s="2845" t="str">
        <x:f t="shared" si="14"/>
        <x:v/>
      </x:c>
      <x:c r="AA38" s="2846" t="s">
        <x:v>1685</x:v>
      </x:c>
      <x:c r="AB38" s="1413"/>
      <x:c r="AC38" s="964" t="b">
        <x:v>0</x:v>
      </x:c>
      <x:c r="AD38" s="441">
        <x:f t="shared" si="15"/>
        <x:v>0</x:v>
      </x:c>
      <x:c r="AE38" s="442">
        <x:f t="shared" si="16"/>
        <x:v>2</x:v>
      </x:c>
      <x:c r="AF38" s="442">
        <x:f t="shared" si="17"/>
        <x:v>0</x:v>
      </x:c>
      <x:c r="AG38" s="442">
        <x:f t="shared" si="18"/>
        <x:v>0</x:v>
      </x:c>
      <x:c r="AH38" s="443">
        <x:f t="shared" si="19"/>
        <x:v>0</x:v>
      </x:c>
      <x:c r="AI38" s="444" t="b">
        <x:v>0</x:v>
      </x:c>
      <x:c r="AJ38" s="238">
        <x:f t="shared" si="20"/>
        <x:v>32</x:v>
      </x:c>
      <x:c r="AK38" s="830" t="str">
        <x:f t="shared" si="21"/>
        <x:v>LH</x:v>
      </x:c>
      <x:c r="AL38" s="945" t="str">
        <x:f t="shared" si="22"/>
        <x:v/>
      </x:c>
      <x:c r="AM38" s="830">
        <x:f t="shared" si="23"/>
        <x:v>305</x:v>
      </x:c>
      <x:c r="AN38" s="830">
        <x:f t="shared" si="24"/>
        <x:v>180</x:v>
      </x:c>
      <x:c r="AO38" s="830" t="str">
        <x:f t="shared" si="25"/>
        <x:v/>
      </x:c>
      <x:c r="AP38" s="830" t="b">
        <x:f>IF(ISERROR(AJ38),FALSE,IF(OR(AJ38=0,ISERROR(AL38),ISERROR(AM38),ISERROR(AN38),ISERROR(AO38)),FALSE,IF(AL38&lt;&gt;"",IF(ISERROR(VLOOKUP(SUBSTITUTE(SUBSTITUTE(C38,"R",""),"A",""),TblJoistSize!$A:$A,1,FALSE)),FALSE,TRUE),TRUE)))</x:f>
        <x:v>1</x:v>
      </x:c>
      <x:c r="AQ38" s="1038">
        <x:f t="shared" si="26"/>
        <x:v>6</x:v>
      </x:c>
      <x:c r="AR38" s="945" t="b">
        <x:f t="shared" si="27"/>
        <x:v>1</x:v>
      </x:c>
      <x:c r="AS38" s="1038">
        <x:f t="shared" si="28"/>
        <x:v>6</x:v>
      </x:c>
      <x:c r="AT38" s="945" t="b">
        <x:f t="shared" si="29"/>
        <x:v>1</x:v>
      </x:c>
      <x:c r="AU38" s="946" t="str">
        <x:f t="shared" si="30"/>
        <x:v>LH</x:v>
      </x:c>
      <x:c r="AV38" s="830" t="str">
        <x:f t="shared" si="31"/>
        <x:v/>
      </x:c>
      <x:c r="AW38" s="830" t="str">
        <x:f t="shared" si="32"/>
        <x:v>LH</x:v>
      </x:c>
      <x:c r="AX38" s="830" t="str">
        <x:f t="shared" si="106"/>
        <x:v>J64</x:v>
      </x:c>
      <x:c r="AY38" s="1039" t="b">
        <x:f t="shared" si="33"/>
        <x:v>0</x:v>
      </x:c>
      <x:c r="AZ38" s="856" t="b">
        <x:f t="shared" si="34"/>
        <x:v>0</x:v>
      </x:c>
      <x:c r="BA38" s="549"/>
      <x:c r="BB38" s="672"/>
      <x:c r="BC38" s="1684"/>
      <x:c r="BD38" s="733"/>
      <x:c r="BE38" s="734"/>
      <x:c r="BF38" s="735"/>
      <x:c r="BG38" s="672"/>
      <x:c r="BH38" s="982"/>
      <x:c r="BI38" s="983"/>
      <x:c r="BJ38" s="1625"/>
      <x:c r="BK38" s="713"/>
      <x:c r="BL38" s="714"/>
      <x:c r="BM38" s="715"/>
      <x:c r="BN38" s="716"/>
      <x:c r="BO38" s="672" t="str">
        <x:f>IF(ISERROR(CU38),"",IF(CU38="","",IF(VLOOKUP(BG38,SectInfo!$B:$N,10,FALSE)="","","X")))</x:f>
        <x:v/>
      </x:c>
      <x:c r="BP38" s="738"/>
      <x:c r="BQ38" s="1551" t="str">
        <x:f t="shared" si="35"/>
        <x:v/>
      </x:c>
      <x:c r="BR38" s="910"/>
      <x:c r="BS38" s="672"/>
      <x:c r="BT38" s="713"/>
      <x:c r="BU38" s="714"/>
      <x:c r="BV38" s="1625"/>
      <x:c r="BW38" s="713"/>
      <x:c r="BX38" s="714"/>
      <x:c r="BY38" s="715"/>
      <x:c r="BZ38" s="716"/>
      <x:c r="CA38" s="680" t="str">
        <x:f>IF(ISERROR(DE38),"",IF(DE38="","",IF(VLOOKUP(BS38,SectInfo!$B:$N,10,FALSE)="","","X")))</x:f>
        <x:v/>
      </x:c>
      <x:c r="CB38" s="738"/>
      <x:c r="CC38" s="1551" t="str">
        <x:f t="shared" si="36"/>
        <x:v/>
      </x:c>
      <x:c r="CD38" s="910"/>
      <x:c r="CE38" s="717"/>
      <x:c r="CF38" s="736"/>
      <x:c r="CG38" s="737"/>
      <x:c r="CH38" s="591" t="str">
        <x:f t="shared" si="37"/>
        <x:v/>
      </x:c>
      <x:c r="CI38" s="592" t="str">
        <x:f t="shared" si="38"/>
        <x:v/>
      </x:c>
      <x:c r="CJ38" s="593" t="str">
        <x:f t="shared" si="39"/>
        <x:v/>
      </x:c>
      <x:c r="CK38" s="594" t="str">
        <x:f t="shared" si="40"/>
        <x:v/>
      </x:c>
      <x:c r="CL38" s="595" t="str">
        <x:f t="shared" si="41"/>
        <x:v/>
      </x:c>
      <x:c r="CM38" s="596" t="str">
        <x:f t="shared" si="42"/>
        <x:v/>
      </x:c>
      <x:c r="CN38" s="597" t="str">
        <x:f t="shared" si="43"/>
        <x:v/>
      </x:c>
      <x:c r="CO38" s="598" t="str">
        <x:f t="shared" si="44"/>
        <x:v/>
      </x:c>
      <x:c r="CP38" s="615" t="str">
        <x:f t="shared" si="45"/>
        <x:v/>
      </x:c>
      <x:c r="CQ38" s="616" t="str">
        <x:f t="shared" si="46"/>
        <x:v/>
      </x:c>
      <x:c r="CR38" s="750">
        <x:f t="shared" si="47"/>
        <x:v>5</x:v>
      </x:c>
      <x:c r="CS38" s="751">
        <x:f t="shared" si="48"/>
        <x:v>5</x:v>
      </x:c>
      <x:c r="CU38" s="817" t="str">
        <x:f>IF(BG38="","",VLOOKUP(BG38,SectInfo!$B:$N,12,FALSE))</x:f>
        <x:v/>
      </x:c>
      <x:c r="CV38" s="815" t="str">
        <x:f>IF(BG38="","",IF(ISBLANK(BP38),VLOOKUP(BG38,SectInfo!$B:$N,13,FALSE),BP38))</x:f>
        <x:v/>
      </x:c>
      <x:c r="CW38" s="8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8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49"/>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50"/>
        <x:v>0</x:v>
      </x:c>
      <x:c r="DO38" s="818">
        <x:f t="shared" si="51"/>
        <x:v>0</x:v>
      </x:c>
      <x:c r="DP38" s="822" t="str">
        <x:f t="shared" si="52"/>
        <x:v/>
      </x:c>
      <x:c r="DQ38" s="822" t="str">
        <x:f t="shared" si="53"/>
        <x:v/>
      </x:c>
      <x:c r="DR38" s="822" t="str">
        <x:f t="shared" si="54"/>
        <x:v/>
      </x:c>
      <x:c r="DS38" s="821">
        <x:f t="shared" si="55"/>
        <x:v>0</x:v>
      </x:c>
      <x:c r="DT38" s="821">
        <x:f t="shared" si="56"/>
        <x:v>0</x:v>
      </x:c>
      <x:c r="DU38" s="821" t="str">
        <x:f t="shared" si="57"/>
        <x:v/>
      </x:c>
      <x:c r="DV38" s="822" t="str">
        <x:f t="shared" si="58"/>
        <x:v/>
      </x:c>
      <x:c r="DW38" s="856" t="str">
        <x:f t="shared" si="59"/>
        <x:v/>
      </x:c>
      <x:c r="DX38" s="1006">
        <x:f t="shared" si="60"/>
        <x:v>0</x:v>
      </x:c>
      <x:c r="DY38" s="822">
        <x:f t="shared" si="61"/>
        <x:v>0</x:v>
      </x:c>
      <x:c r="DZ38" s="821">
        <x:f t="shared" si="62"/>
        <x:v>0</x:v>
      </x:c>
      <x:c r="EA38" s="821" t="str">
        <x:f t="shared" si="63"/>
        <x:v/>
      </x:c>
      <x:c r="EB38" s="822" t="str">
        <x:f t="shared" si="64"/>
        <x:v/>
      </x:c>
      <x:c r="EC38" s="856" t="str">
        <x:f t="shared" si="65"/>
        <x:v/>
      </x:c>
      <x:c r="ED38" s="1006">
        <x:f t="shared" si="66"/>
        <x:v>0</x:v>
      </x:c>
      <x:c r="EE38" s="1293" t="str">
        <x:f t="shared" si="67"/>
        <x:v/>
      </x:c>
      <x:c r="EF38" s="1293" t="str">
        <x:f t="shared" si="68"/>
        <x:v/>
      </x:c>
      <x:c r="EG38" s="1293" t="str">
        <x:f t="shared" si="69"/>
        <x:v/>
      </x:c>
      <x:c r="EH38" s="856" t="str">
        <x:f t="shared" si="70"/>
        <x:v>ERR</x:v>
      </x:c>
      <x:c r="EI38" s="856" t="str">
        <x:f t="shared" si="71"/>
        <x:v>ERR</x:v>
      </x:c>
      <x:c r="EJ38" s="822" t="str">
        <x:f t="shared" si="72"/>
        <x:v/>
      </x:c>
      <x:c r="EK38" s="822" t="str">
        <x:f t="shared" si="72"/>
        <x:v/>
      </x:c>
      <x:c r="EL38" s="1293" t="str">
        <x:f t="shared" si="73"/>
        <x:v/>
      </x:c>
      <x:c r="EM38" s="822" t="str">
        <x:f t="shared" si="74"/>
        <x:v/>
      </x:c>
      <x:c r="EN38" s="822" t="str">
        <x:f t="shared" si="75"/>
        <x:v/>
      </x:c>
      <x:c r="EO38" s="856" t="str">
        <x:f t="shared" si="76"/>
        <x:v>ERR</x:v>
      </x:c>
      <x:c r="EP38" s="856" t="str">
        <x:f t="shared" si="77"/>
        <x:v>ERR</x:v>
      </x:c>
      <x:c r="EQ38" s="1293" t="str">
        <x:f t="shared" si="78"/>
        <x:v/>
      </x:c>
      <x:c r="ER38" s="822" t="str">
        <x:f t="shared" si="78"/>
        <x:v/>
      </x:c>
      <x:c r="ES38" s="822" t="str">
        <x:f t="shared" si="79"/>
        <x:v/>
      </x:c>
      <x:c r="ET38" s="822" t="str">
        <x:f t="shared" si="80"/>
        <x:v/>
      </x:c>
      <x:c r="EU38" s="829">
        <x:f t="shared" si="81"/>
        <x:v>4</x:v>
      </x:c>
      <x:c r="EV38" s="824" t="str">
        <x:f t="shared" si="82"/>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83"/>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84"/>
        <x:v/>
      </x:c>
      <x:c r="FD38" s="821">
        <x:f t="shared" si="107"/>
        <x:v>0</x:v>
      </x:c>
      <x:c r="FE38" s="821">
        <x:f t="shared" si="85"/>
        <x:v>0</x:v>
      </x:c>
      <x:c r="FF38" s="821">
        <x:f t="shared" si="86"/>
        <x:v>0</x:v>
      </x:c>
      <x:c r="FG38" s="821" t="str">
        <x:f t="shared" si="87"/>
        <x:v/>
      </x:c>
      <x:c r="FH38" s="822" t="str">
        <x:f t="shared" si="88"/>
        <x:v/>
      </x:c>
      <x:c r="FI38" s="821">
        <x:f t="shared" si="108"/>
        <x:v>0</x:v>
      </x:c>
      <x:c r="FJ38" s="821">
        <x:f t="shared" si="89"/>
        <x:v>0</x:v>
      </x:c>
      <x:c r="FK38" s="821">
        <x:f t="shared" si="90"/>
        <x:v>0</x:v>
      </x:c>
      <x:c r="FL38" s="821" t="str">
        <x:f t="shared" si="91"/>
        <x:v/>
      </x:c>
      <x:c r="FM38" s="822" t="str">
        <x:f t="shared" si="92"/>
        <x:v/>
      </x:c>
      <x:c r="FN38" s="822" t="e">
        <x:f t="shared" si="93"/>
        <x:v>#VALUE!</x:v>
      </x:c>
      <x:c r="FO38" s="940" t="e">
        <x:f t="shared" si="94"/>
        <x:v>#VALUE!</x:v>
      </x:c>
      <x:c r="FP38" s="940" t="e">
        <x:f t="shared" si="95"/>
        <x:v>#VALUE!</x:v>
      </x:c>
      <x:c r="FQ38" s="830" t="e">
        <x:f t="shared" si="96"/>
        <x:v>#VALUE!</x:v>
      </x:c>
      <x:c r="FR38" s="831" t="e">
        <x:f t="shared" si="97"/>
        <x:v>#VALUE!</x:v>
      </x:c>
      <x:c r="FS38" s="832" t="str">
        <x:f t="shared" si="98"/>
        <x:v/>
      </x:c>
      <x:c r="FT38" s="833" t="str">
        <x:f t="shared" si="99"/>
        <x:v/>
      </x:c>
      <x:c r="FU38" s="870">
        <x:f t="shared" si="100"/>
        <x:v>0</x:v>
      </x:c>
      <x:c r="FV38" s="871">
        <x:f t="shared" si="101"/>
        <x:v>0</x:v>
      </x:c>
      <x:c r="GA38" s="1791">
        <x:v>40</x:v>
      </x:c>
      <x:c r="GB38" s="1792">
        <x:v>0.75</x:v>
      </x:c>
      <x:c r="GC38" s="1793">
        <x:v>-0.25</x:v>
      </x:c>
      <x:c r="GD38" s="1794">
        <x:v>-0.5</x:v>
      </x:c>
      <x:c r="GE38" s="1795">
        <x:f t="shared" si="102"/>
        <x:v>0</x:v>
      </x:c>
      <x:c r="GF38" s="600" t="str">
        <x:f t="shared" si="103"/>
        <x:v>J64</x:v>
      </x:c>
      <x:c r="GG38" s="1130">
        <x:v>0</x:v>
      </x:c>
      <x:c r="GH38" s="1131">
        <x:v>0</x:v>
      </x:c>
      <x:c r="GI38" s="1130"/>
      <x:c r="GJ38" s="1131"/>
      <x:c r="GK38" s="1638">
        <x:f t="shared" si="104"/>
        <x:v>480</x:v>
      </x:c>
      <x:c r="GL38" s="1636">
        <x:f t="shared" si="105"/>
        <x:v>480</x:v>
      </x:c>
      <x:c r="GM38" s="1637">
        <x:f>IF(ABS(GK38-GL38)&gt;='Job Info.'!$L$22,ABS(GK38-GL38),0)</x:f>
        <x:v>0</x:v>
      </x:c>
      <x:c r="HA38" s="1269" t="s">
        <x:v>1494</x:v>
      </x:c>
      <x:c r="HB38" s="1270">
        <x:v>2</x:v>
      </x:c>
      <x:c r="HC38" s="1270" t="s">
        <x:v>1592</x:v>
      </x:c>
      <x:c r="HD38" s="1271">
        <x:v>40</x:v>
      </x:c>
      <x:c r="HE38" s="1272">
        <x:v>0</x:v>
      </x:c>
      <x:c r="HF38" s="1270" t="s">
        <x:v>116</x:v>
      </x:c>
      <x:c r="HG38" s="1270" t="s">
        <x:v>116</x:v>
      </x:c>
      <x:c r="HH38" s="1270" t="s">
        <x:v>116</x:v>
      </x:c>
      <x:c r="HI38" s="1273" t="s">
        <x:v>116</x:v>
      </x:c>
      <x:c r="HJ38" s="1270" t="s">
        <x:v>116</x:v>
      </x:c>
      <x:c r="HK38" s="1270" t="s">
        <x:v>116</x:v>
      </x:c>
      <x:c r="HL38" s="1270">
        <x:v>5</x:v>
      </x:c>
      <x:c r="HM38" s="1270">
        <x:v>5</x:v>
      </x:c>
      <x:c r="HN38" s="1270" t="s">
        <x:v>116</x:v>
      </x:c>
      <x:c r="HO38" s="1270" t="s">
        <x:v>116</x:v>
      </x:c>
      <x:c r="HP38" s="1270" t="s">
        <x:v>116</x:v>
      </x:c>
      <x:c r="HQ38" s="1273" t="s">
        <x:v>116</x:v>
      </x:c>
      <x:c r="HR38" s="1270" t="s">
        <x:v>116</x:v>
      </x:c>
      <x:c r="HS38" s="1270" t="s">
        <x:v>116</x:v>
      </x:c>
      <x:c r="HT38" s="1270">
        <x:v>0</x:v>
      </x:c>
      <x:c r="HU38" s="1270">
        <x:v>2.25</x:v>
      </x:c>
      <x:c r="HV38" s="1270">
        <x:v>0</x:v>
      </x:c>
      <x:c r="HW38" s="1272">
        <x:v>2</x:v>
      </x:c>
      <x:c r="HX38" s="1272">
        <x:v>4</x:v>
      </x:c>
      <x:c r="HY38" s="1272" t="s">
        <x:v>116</x:v>
      </x:c>
      <x:c r="HZ38" s="1272" t="s">
        <x:v>116</x:v>
      </x:c>
      <x:c r="IA38" s="1272" t="s">
        <x:v>1685</x:v>
      </x:c>
      <x:c r="IB38" s="1272"/>
      <x:c r="IC38" s="1272"/>
      <x:c r="ID38" s="1272"/>
      <x:c r="IE38" s="1272"/>
      <x:c r="IF38" s="1274"/>
    </x:row>
    <x:row r="39" spans="1:240" ht="12.6" customHeight="1" x14ac:dyDescent="0.25">
      <x:c r="A39" s="2764" t="s">
        <x:v>1495</x:v>
      </x:c>
      <x:c r="B39" s="2765">
        <x:v>1</x:v>
      </x:c>
      <x:c r="C39" s="2766" t="s">
        <x:v>1592</x:v>
      </x:c>
      <x:c r="D39" s="2767">
        <x:v>40</x:v>
      </x:c>
      <x:c r="E39" s="2768">
        <x:v>0</x:v>
      </x:c>
      <x:c r="F39" s="2776" t="str">
        <x:f t="shared" si="1"/>
        <x:v/>
      </x:c>
      <x:c r="G39" s="2771" t="str">
        <x:f t="shared" si="2"/>
        <x:v/>
      </x:c>
      <x:c r="H39" s="2842" t="str">
        <x:f t="shared" si="3"/>
        <x:v/>
      </x:c>
      <x:c r="I39" s="2767" t="str">
        <x:f t="shared" si="4"/>
        <x:v/>
      </x:c>
      <x:c r="J39" s="2771" t="str">
        <x:f t="shared" si="5"/>
        <x:v/>
      </x:c>
      <x:c r="K39" s="2855" t="str">
        <x:f t="shared" si="6"/>
        <x:v/>
      </x:c>
      <x:c r="L39" s="2774">
        <x:v>5</x:v>
      </x:c>
      <x:c r="M39" s="2775">
        <x:v>5</x:v>
      </x:c>
      <x:c r="N39" s="2770" t="str">
        <x:f t="shared" si="7"/>
        <x:v/>
      </x:c>
      <x:c r="O39" s="2771" t="str">
        <x:f t="shared" si="8"/>
        <x:v/>
      </x:c>
      <x:c r="P39" s="2772" t="str">
        <x:f t="shared" si="9"/>
        <x:v/>
      </x:c>
      <x:c r="Q39" s="2767" t="str">
        <x:f t="shared" si="10"/>
        <x:v/>
      </x:c>
      <x:c r="R39" s="2771" t="str">
        <x:f t="shared" si="11"/>
        <x:v/>
      </x:c>
      <x:c r="S39" s="2773" t="str">
        <x:f t="shared" si="12"/>
        <x:v/>
      </x:c>
      <x:c r="T39" s="2776">
        <x:v>0</x:v>
      </x:c>
      <x:c r="U39" s="2771">
        <x:v>2.25</x:v>
      </x:c>
      <x:c r="V39" s="2767">
        <x:v>0</x:v>
      </x:c>
      <x:c r="W39" s="2771">
        <x:v>2</x:v>
      </x:c>
      <x:c r="X39" s="2775">
        <x:v>4</x:v>
      </x:c>
      <x:c r="Y39" s="2844" t="str">
        <x:f t="shared" si="13"/>
        <x:v/>
      </x:c>
      <x:c r="Z39" s="2845" t="str">
        <x:f t="shared" si="14"/>
        <x:v/>
      </x:c>
      <x:c r="AA39" s="2846" t="s">
        <x:v>1686</x:v>
      </x:c>
      <x:c r="AB39" s="1413"/>
      <x:c r="AC39" s="964" t="b">
        <x:v>0</x:v>
      </x:c>
      <x:c r="AD39" s="441">
        <x:f t="shared" si="15"/>
        <x:v>0</x:v>
      </x:c>
      <x:c r="AE39" s="442">
        <x:f t="shared" si="16"/>
        <x:v>1</x:v>
      </x:c>
      <x:c r="AF39" s="442">
        <x:f t="shared" si="17"/>
        <x:v>0</x:v>
      </x:c>
      <x:c r="AG39" s="442">
        <x:f t="shared" si="18"/>
        <x:v>0</x:v>
      </x:c>
      <x:c r="AH39" s="443">
        <x:f t="shared" si="19"/>
        <x:v>0</x:v>
      </x:c>
      <x:c r="AI39" s="444" t="b">
        <x:v>0</x:v>
      </x:c>
      <x:c r="AJ39" s="238">
        <x:f t="shared" si="20"/>
        <x:v>32</x:v>
      </x:c>
      <x:c r="AK39" s="830" t="str">
        <x:f t="shared" si="21"/>
        <x:v>LH</x:v>
      </x:c>
      <x:c r="AL39" s="945" t="str">
        <x:f t="shared" si="22"/>
        <x:v/>
      </x:c>
      <x:c r="AM39" s="830">
        <x:f t="shared" si="23"/>
        <x:v>305</x:v>
      </x:c>
      <x:c r="AN39" s="830">
        <x:f t="shared" si="24"/>
        <x:v>180</x:v>
      </x:c>
      <x:c r="AO39" s="830" t="str">
        <x:f t="shared" si="25"/>
        <x:v/>
      </x:c>
      <x:c r="AP39" s="830" t="b">
        <x:f>IF(ISERROR(AJ39),FALSE,IF(OR(AJ39=0,ISERROR(AL39),ISERROR(AM39),ISERROR(AN39),ISERROR(AO39)),FALSE,IF(AL39&lt;&gt;"",IF(ISERROR(VLOOKUP(SUBSTITUTE(SUBSTITUTE(C39,"R",""),"A",""),TblJoistSize!$A:$A,1,FALSE)),FALSE,TRUE),TRUE)))</x:f>
        <x:v>1</x:v>
      </x:c>
      <x:c r="AQ39" s="1038">
        <x:f t="shared" si="26"/>
        <x:v>6</x:v>
      </x:c>
      <x:c r="AR39" s="945" t="b">
        <x:f t="shared" si="27"/>
        <x:v>1</x:v>
      </x:c>
      <x:c r="AS39" s="1038">
        <x:f t="shared" si="28"/>
        <x:v>6</x:v>
      </x:c>
      <x:c r="AT39" s="945" t="b">
        <x:f t="shared" si="29"/>
        <x:v>1</x:v>
      </x:c>
      <x:c r="AU39" s="946" t="str">
        <x:f t="shared" si="30"/>
        <x:v>LH</x:v>
      </x:c>
      <x:c r="AV39" s="830" t="str">
        <x:f t="shared" si="31"/>
        <x:v/>
      </x:c>
      <x:c r="AW39" s="830" t="str">
        <x:f t="shared" si="32"/>
        <x:v>LH</x:v>
      </x:c>
      <x:c r="AX39" s="830" t="str">
        <x:f t="shared" si="106"/>
        <x:v>J65</x:v>
      </x:c>
      <x:c r="AY39" s="1039" t="b">
        <x:f t="shared" si="33"/>
        <x:v>0</x:v>
      </x:c>
      <x:c r="AZ39" s="856" t="b">
        <x:f t="shared" si="34"/>
        <x:v>0</x:v>
      </x:c>
      <x:c r="BA39" s="549"/>
      <x:c r="BB39" s="672"/>
      <x:c r="BC39" s="1684"/>
      <x:c r="BD39" s="733"/>
      <x:c r="BE39" s="734"/>
      <x:c r="BF39" s="735"/>
      <x:c r="BG39" s="672"/>
      <x:c r="BH39" s="982"/>
      <x:c r="BI39" s="983"/>
      <x:c r="BJ39" s="1625"/>
      <x:c r="BK39" s="713"/>
      <x:c r="BL39" s="714"/>
      <x:c r="BM39" s="715"/>
      <x:c r="BN39" s="716"/>
      <x:c r="BO39" s="672" t="str">
        <x:f>IF(ISERROR(CU39),"",IF(CU39="","",IF(VLOOKUP(BG39,SectInfo!$B:$N,10,FALSE)="","","X")))</x:f>
        <x:v/>
      </x:c>
      <x:c r="BP39" s="738"/>
      <x:c r="BQ39" s="1551" t="str">
        <x:f t="shared" si="35"/>
        <x:v/>
      </x:c>
      <x:c r="BR39" s="910"/>
      <x:c r="BS39" s="672"/>
      <x:c r="BT39" s="713"/>
      <x:c r="BU39" s="714"/>
      <x:c r="BV39" s="1625"/>
      <x:c r="BW39" s="713"/>
      <x:c r="BX39" s="714"/>
      <x:c r="BY39" s="715"/>
      <x:c r="BZ39" s="716"/>
      <x:c r="CA39" s="680" t="str">
        <x:f>IF(ISERROR(DE39),"",IF(DE39="","",IF(VLOOKUP(BS39,SectInfo!$B:$N,10,FALSE)="","","X")))</x:f>
        <x:v/>
      </x:c>
      <x:c r="CB39" s="738"/>
      <x:c r="CC39" s="1551" t="str">
        <x:f t="shared" si="36"/>
        <x:v/>
      </x:c>
      <x:c r="CD39" s="910"/>
      <x:c r="CE39" s="717"/>
      <x:c r="CF39" s="736"/>
      <x:c r="CG39" s="737"/>
      <x:c r="CH39" s="591" t="str">
        <x:f t="shared" si="37"/>
        <x:v/>
      </x:c>
      <x:c r="CI39" s="592" t="str">
        <x:f t="shared" si="38"/>
        <x:v/>
      </x:c>
      <x:c r="CJ39" s="593" t="str">
        <x:f t="shared" si="39"/>
        <x:v/>
      </x:c>
      <x:c r="CK39" s="594" t="str">
        <x:f t="shared" si="40"/>
        <x:v/>
      </x:c>
      <x:c r="CL39" s="595" t="str">
        <x:f t="shared" si="41"/>
        <x:v/>
      </x:c>
      <x:c r="CM39" s="596" t="str">
        <x:f t="shared" si="42"/>
        <x:v/>
      </x:c>
      <x:c r="CN39" s="597" t="str">
        <x:f t="shared" si="43"/>
        <x:v/>
      </x:c>
      <x:c r="CO39" s="598" t="str">
        <x:f t="shared" si="44"/>
        <x:v/>
      </x:c>
      <x:c r="CP39" s="615" t="str">
        <x:f t="shared" si="45"/>
        <x:v/>
      </x:c>
      <x:c r="CQ39" s="616" t="str">
        <x:f t="shared" si="46"/>
        <x:v/>
      </x:c>
      <x:c r="CR39" s="750">
        <x:f t="shared" si="47"/>
        <x:v>5</x:v>
      </x:c>
      <x:c r="CS39" s="751">
        <x:f t="shared" si="48"/>
        <x:v>5</x:v>
      </x:c>
      <x:c r="CU39" s="817" t="str">
        <x:f>IF(BG39="","",VLOOKUP(BG39,SectInfo!$B:$N,12,FALSE))</x:f>
        <x:v/>
      </x:c>
      <x:c r="CV39" s="815" t="str">
        <x:f>IF(BG39="","",IF(ISBLANK(BP39),VLOOKUP(BG39,SectInfo!$B:$N,13,FALSE),BP39))</x:f>
        <x:v/>
      </x:c>
      <x:c r="CW39" s="8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8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49"/>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50"/>
        <x:v>0</x:v>
      </x:c>
      <x:c r="DO39" s="818">
        <x:f t="shared" si="51"/>
        <x:v>0</x:v>
      </x:c>
      <x:c r="DP39" s="822" t="str">
        <x:f t="shared" si="52"/>
        <x:v/>
      </x:c>
      <x:c r="DQ39" s="822" t="str">
        <x:f t="shared" si="53"/>
        <x:v/>
      </x:c>
      <x:c r="DR39" s="822" t="str">
        <x:f t="shared" si="54"/>
        <x:v/>
      </x:c>
      <x:c r="DS39" s="821">
        <x:f t="shared" si="55"/>
        <x:v>0</x:v>
      </x:c>
      <x:c r="DT39" s="821">
        <x:f t="shared" si="56"/>
        <x:v>0</x:v>
      </x:c>
      <x:c r="DU39" s="821" t="str">
        <x:f t="shared" si="57"/>
        <x:v/>
      </x:c>
      <x:c r="DV39" s="822" t="str">
        <x:f t="shared" si="58"/>
        <x:v/>
      </x:c>
      <x:c r="DW39" s="856" t="str">
        <x:f t="shared" si="59"/>
        <x:v/>
      </x:c>
      <x:c r="DX39" s="1006">
        <x:f t="shared" si="60"/>
        <x:v>0</x:v>
      </x:c>
      <x:c r="DY39" s="822">
        <x:f t="shared" si="61"/>
        <x:v>0</x:v>
      </x:c>
      <x:c r="DZ39" s="821">
        <x:f t="shared" si="62"/>
        <x:v>0</x:v>
      </x:c>
      <x:c r="EA39" s="821" t="str">
        <x:f t="shared" si="63"/>
        <x:v/>
      </x:c>
      <x:c r="EB39" s="822" t="str">
        <x:f t="shared" si="64"/>
        <x:v/>
      </x:c>
      <x:c r="EC39" s="856" t="str">
        <x:f t="shared" si="65"/>
        <x:v/>
      </x:c>
      <x:c r="ED39" s="1006">
        <x:f t="shared" si="66"/>
        <x:v>0</x:v>
      </x:c>
      <x:c r="EE39" s="1293" t="str">
        <x:f t="shared" si="67"/>
        <x:v/>
      </x:c>
      <x:c r="EF39" s="1293" t="str">
        <x:f t="shared" si="68"/>
        <x:v/>
      </x:c>
      <x:c r="EG39" s="1293" t="str">
        <x:f t="shared" si="69"/>
        <x:v/>
      </x:c>
      <x:c r="EH39" s="856" t="str">
        <x:f t="shared" si="70"/>
        <x:v>ERR</x:v>
      </x:c>
      <x:c r="EI39" s="856" t="str">
        <x:f t="shared" si="71"/>
        <x:v>ERR</x:v>
      </x:c>
      <x:c r="EJ39" s="822" t="str">
        <x:f t="shared" si="72"/>
        <x:v/>
      </x:c>
      <x:c r="EK39" s="822" t="str">
        <x:f t="shared" si="72"/>
        <x:v/>
      </x:c>
      <x:c r="EL39" s="1293" t="str">
        <x:f t="shared" si="73"/>
        <x:v/>
      </x:c>
      <x:c r="EM39" s="822" t="str">
        <x:f t="shared" si="74"/>
        <x:v/>
      </x:c>
      <x:c r="EN39" s="822" t="str">
        <x:f t="shared" si="75"/>
        <x:v/>
      </x:c>
      <x:c r="EO39" s="856" t="str">
        <x:f t="shared" si="76"/>
        <x:v>ERR</x:v>
      </x:c>
      <x:c r="EP39" s="856" t="str">
        <x:f t="shared" si="77"/>
        <x:v>ERR</x:v>
      </x:c>
      <x:c r="EQ39" s="1293" t="str">
        <x:f t="shared" si="78"/>
        <x:v/>
      </x:c>
      <x:c r="ER39" s="822" t="str">
        <x:f t="shared" si="78"/>
        <x:v/>
      </x:c>
      <x:c r="ES39" s="822" t="str">
        <x:f t="shared" si="79"/>
        <x:v/>
      </x:c>
      <x:c r="ET39" s="822" t="str">
        <x:f t="shared" si="80"/>
        <x:v/>
      </x:c>
      <x:c r="EU39" s="829">
        <x:f t="shared" si="81"/>
        <x:v>4</x:v>
      </x:c>
      <x:c r="EV39" s="824" t="str">
        <x:f t="shared" si="82"/>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83"/>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84"/>
        <x:v/>
      </x:c>
      <x:c r="FD39" s="821">
        <x:f t="shared" si="107"/>
        <x:v>0</x:v>
      </x:c>
      <x:c r="FE39" s="821">
        <x:f t="shared" si="85"/>
        <x:v>0</x:v>
      </x:c>
      <x:c r="FF39" s="821">
        <x:f t="shared" si="86"/>
        <x:v>0</x:v>
      </x:c>
      <x:c r="FG39" s="821" t="str">
        <x:f t="shared" si="87"/>
        <x:v/>
      </x:c>
      <x:c r="FH39" s="822" t="str">
        <x:f t="shared" si="88"/>
        <x:v/>
      </x:c>
      <x:c r="FI39" s="821">
        <x:f t="shared" si="108"/>
        <x:v>0</x:v>
      </x:c>
      <x:c r="FJ39" s="821">
        <x:f t="shared" si="89"/>
        <x:v>0</x:v>
      </x:c>
      <x:c r="FK39" s="821">
        <x:f t="shared" si="90"/>
        <x:v>0</x:v>
      </x:c>
      <x:c r="FL39" s="821" t="str">
        <x:f t="shared" si="91"/>
        <x:v/>
      </x:c>
      <x:c r="FM39" s="822" t="str">
        <x:f t="shared" si="92"/>
        <x:v/>
      </x:c>
      <x:c r="FN39" s="822" t="e">
        <x:f t="shared" si="93"/>
        <x:v>#VALUE!</x:v>
      </x:c>
      <x:c r="FO39" s="940" t="e">
        <x:f t="shared" si="94"/>
        <x:v>#VALUE!</x:v>
      </x:c>
      <x:c r="FP39" s="940" t="e">
        <x:f t="shared" si="95"/>
        <x:v>#VALUE!</x:v>
      </x:c>
      <x:c r="FQ39" s="830" t="e">
        <x:f t="shared" si="96"/>
        <x:v>#VALUE!</x:v>
      </x:c>
      <x:c r="FR39" s="831" t="e">
        <x:f t="shared" si="97"/>
        <x:v>#VALUE!</x:v>
      </x:c>
      <x:c r="FS39" s="832" t="str">
        <x:f t="shared" si="98"/>
        <x:v/>
      </x:c>
      <x:c r="FT39" s="833" t="str">
        <x:f t="shared" si="99"/>
        <x:v/>
      </x:c>
      <x:c r="FU39" s="870">
        <x:f t="shared" si="100"/>
        <x:v>0</x:v>
      </x:c>
      <x:c r="FV39" s="871">
        <x:f t="shared" si="101"/>
        <x:v>0</x:v>
      </x:c>
      <x:c r="GA39" s="1791">
        <x:v>40</x:v>
      </x:c>
      <x:c r="GB39" s="1792">
        <x:v>0.75</x:v>
      </x:c>
      <x:c r="GC39" s="1793">
        <x:v>-0.25</x:v>
      </x:c>
      <x:c r="GD39" s="1794">
        <x:v>-0.5</x:v>
      </x:c>
      <x:c r="GE39" s="1795">
        <x:f t="shared" si="102"/>
        <x:v>0</x:v>
      </x:c>
      <x:c r="GF39" s="600" t="str">
        <x:f t="shared" si="103"/>
        <x:v>J65</x:v>
      </x:c>
      <x:c r="GG39" s="1130">
        <x:v>0</x:v>
      </x:c>
      <x:c r="GH39" s="1131">
        <x:v>0</x:v>
      </x:c>
      <x:c r="GI39" s="1130"/>
      <x:c r="GJ39" s="1131"/>
      <x:c r="GK39" s="1638">
        <x:f t="shared" si="104"/>
        <x:v>480</x:v>
      </x:c>
      <x:c r="GL39" s="1636">
        <x:f t="shared" si="105"/>
        <x:v>480</x:v>
      </x:c>
      <x:c r="GM39" s="1637">
        <x:f>IF(ABS(GK39-GL39)&gt;='Job Info.'!$L$22,ABS(GK39-GL39),0)</x:f>
        <x:v>0</x:v>
      </x:c>
      <x:c r="HA39" s="1269" t="s">
        <x:v>1495</x:v>
      </x:c>
      <x:c r="HB39" s="1270">
        <x:v>1</x:v>
      </x:c>
      <x:c r="HC39" s="1270" t="s">
        <x:v>1592</x:v>
      </x:c>
      <x:c r="HD39" s="1271">
        <x:v>40</x:v>
      </x:c>
      <x:c r="HE39" s="1272">
        <x:v>0</x:v>
      </x:c>
      <x:c r="HF39" s="1270" t="s">
        <x:v>116</x:v>
      </x:c>
      <x:c r="HG39" s="1270" t="s">
        <x:v>116</x:v>
      </x:c>
      <x:c r="HH39" s="1270" t="s">
        <x:v>116</x:v>
      </x:c>
      <x:c r="HI39" s="1273" t="s">
        <x:v>116</x:v>
      </x:c>
      <x:c r="HJ39" s="1270" t="s">
        <x:v>116</x:v>
      </x:c>
      <x:c r="HK39" s="1270" t="s">
        <x:v>116</x:v>
      </x:c>
      <x:c r="HL39" s="1270">
        <x:v>5</x:v>
      </x:c>
      <x:c r="HM39" s="1270">
        <x:v>5</x:v>
      </x:c>
      <x:c r="HN39" s="1270" t="s">
        <x:v>116</x:v>
      </x:c>
      <x:c r="HO39" s="1270" t="s">
        <x:v>116</x:v>
      </x:c>
      <x:c r="HP39" s="1270" t="s">
        <x:v>116</x:v>
      </x:c>
      <x:c r="HQ39" s="1273" t="s">
        <x:v>116</x:v>
      </x:c>
      <x:c r="HR39" s="1270" t="s">
        <x:v>116</x:v>
      </x:c>
      <x:c r="HS39" s="1270" t="s">
        <x:v>116</x:v>
      </x:c>
      <x:c r="HT39" s="1270">
        <x:v>0</x:v>
      </x:c>
      <x:c r="HU39" s="1270">
        <x:v>2.25</x:v>
      </x:c>
      <x:c r="HV39" s="1270">
        <x:v>0</x:v>
      </x:c>
      <x:c r="HW39" s="1272">
        <x:v>2</x:v>
      </x:c>
      <x:c r="HX39" s="1272">
        <x:v>4</x:v>
      </x:c>
      <x:c r="HY39" s="1272" t="s">
        <x:v>116</x:v>
      </x:c>
      <x:c r="HZ39" s="1272" t="s">
        <x:v>116</x:v>
      </x:c>
      <x:c r="IA39" s="1272" t="s">
        <x:v>1686</x:v>
      </x:c>
      <x:c r="IB39" s="1272"/>
      <x:c r="IC39" s="1272"/>
      <x:c r="ID39" s="1272"/>
      <x:c r="IE39" s="1272"/>
      <x:c r="IF39" s="1274"/>
    </x:row>
    <x:row r="40" spans="1:240" ht="12.6" customHeight="1" x14ac:dyDescent="0.25">
      <x:c r="A40" s="2764" t="s">
        <x:v>1496</x:v>
      </x:c>
      <x:c r="B40" s="2765">
        <x:v>1</x:v>
      </x:c>
      <x:c r="C40" s="2766" t="s">
        <x:v>1592</x:v>
      </x:c>
      <x:c r="D40" s="2767">
        <x:v>40</x:v>
      </x:c>
      <x:c r="E40" s="2768">
        <x:v>0</x:v>
      </x:c>
      <x:c r="F40" s="2776" t="str">
        <x:f t="shared" si="1"/>
        <x:v/>
      </x:c>
      <x:c r="G40" s="2771" t="str">
        <x:f t="shared" si="2"/>
        <x:v/>
      </x:c>
      <x:c r="H40" s="2842" t="str">
        <x:f t="shared" si="3"/>
        <x:v/>
      </x:c>
      <x:c r="I40" s="2767" t="str">
        <x:f t="shared" si="4"/>
        <x:v/>
      </x:c>
      <x:c r="J40" s="2771" t="str">
        <x:f t="shared" si="5"/>
        <x:v/>
      </x:c>
      <x:c r="K40" s="2855" t="str">
        <x:f t="shared" si="6"/>
        <x:v/>
      </x:c>
      <x:c r="L40" s="2774">
        <x:v>5</x:v>
      </x:c>
      <x:c r="M40" s="2775">
        <x:v>5</x:v>
      </x:c>
      <x:c r="N40" s="2770" t="str">
        <x:f t="shared" si="7"/>
        <x:v/>
      </x:c>
      <x:c r="O40" s="2771" t="str">
        <x:f t="shared" si="8"/>
        <x:v/>
      </x:c>
      <x:c r="P40" s="2772" t="str">
        <x:f t="shared" si="9"/>
        <x:v/>
      </x:c>
      <x:c r="Q40" s="2767" t="str">
        <x:f t="shared" si="10"/>
        <x:v/>
      </x:c>
      <x:c r="R40" s="2771" t="str">
        <x:f t="shared" si="11"/>
        <x:v/>
      </x:c>
      <x:c r="S40" s="2773" t="str">
        <x:f t="shared" si="12"/>
        <x:v/>
      </x:c>
      <x:c r="T40" s="2776">
        <x:v>0</x:v>
      </x:c>
      <x:c r="U40" s="2771">
        <x:v>2.25</x:v>
      </x:c>
      <x:c r="V40" s="2767">
        <x:v>0</x:v>
      </x:c>
      <x:c r="W40" s="2771">
        <x:v>2</x:v>
      </x:c>
      <x:c r="X40" s="2775">
        <x:v>4</x:v>
      </x:c>
      <x:c r="Y40" s="2844" t="str">
        <x:f t="shared" si="13"/>
        <x:v/>
      </x:c>
      <x:c r="Z40" s="2845" t="str">
        <x:f t="shared" si="14"/>
        <x:v/>
      </x:c>
      <x:c r="AA40" s="2846" t="s">
        <x:v>1687</x:v>
      </x:c>
      <x:c r="AB40" s="1413"/>
      <x:c r="AC40" s="964" t="b">
        <x:v>0</x:v>
      </x:c>
      <x:c r="AD40" s="441">
        <x:f t="shared" si="15"/>
        <x:v>0</x:v>
      </x:c>
      <x:c r="AE40" s="442">
        <x:f t="shared" si="16"/>
        <x:v>1</x:v>
      </x:c>
      <x:c r="AF40" s="442">
        <x:f t="shared" si="17"/>
        <x:v>0</x:v>
      </x:c>
      <x:c r="AG40" s="442">
        <x:f t="shared" si="18"/>
        <x:v>0</x:v>
      </x:c>
      <x:c r="AH40" s="443">
        <x:f t="shared" si="19"/>
        <x:v>0</x:v>
      </x:c>
      <x:c r="AI40" s="444" t="b">
        <x:v>0</x:v>
      </x:c>
      <x:c r="AJ40" s="238">
        <x:f t="shared" si="20"/>
        <x:v>32</x:v>
      </x:c>
      <x:c r="AK40" s="830" t="str">
        <x:f t="shared" si="21"/>
        <x:v>LH</x:v>
      </x:c>
      <x:c r="AL40" s="945" t="str">
        <x:f t="shared" si="22"/>
        <x:v/>
      </x:c>
      <x:c r="AM40" s="830">
        <x:f t="shared" si="23"/>
        <x:v>305</x:v>
      </x:c>
      <x:c r="AN40" s="830">
        <x:f t="shared" si="24"/>
        <x:v>180</x:v>
      </x:c>
      <x:c r="AO40" s="830" t="str">
        <x:f t="shared" si="25"/>
        <x:v/>
      </x:c>
      <x:c r="AP40" s="830" t="b">
        <x:f>IF(ISERROR(AJ40),FALSE,IF(OR(AJ40=0,ISERROR(AL40),ISERROR(AM40),ISERROR(AN40),ISERROR(AO40)),FALSE,IF(AL40&lt;&gt;"",IF(ISERROR(VLOOKUP(SUBSTITUTE(SUBSTITUTE(C40,"R",""),"A",""),TblJoistSize!$A:$A,1,FALSE)),FALSE,TRUE),TRUE)))</x:f>
        <x:v>1</x:v>
      </x:c>
      <x:c r="AQ40" s="1038">
        <x:f t="shared" si="26"/>
        <x:v>6</x:v>
      </x:c>
      <x:c r="AR40" s="945" t="b">
        <x:f t="shared" si="27"/>
        <x:v>1</x:v>
      </x:c>
      <x:c r="AS40" s="1038">
        <x:f t="shared" si="28"/>
        <x:v>6</x:v>
      </x:c>
      <x:c r="AT40" s="945" t="b">
        <x:f t="shared" si="29"/>
        <x:v>1</x:v>
      </x:c>
      <x:c r="AU40" s="946" t="str">
        <x:f t="shared" si="30"/>
        <x:v>LH</x:v>
      </x:c>
      <x:c r="AV40" s="830" t="str">
        <x:f t="shared" si="31"/>
        <x:v/>
      </x:c>
      <x:c r="AW40" s="830" t="str">
        <x:f t="shared" si="32"/>
        <x:v>LH</x:v>
      </x:c>
      <x:c r="AX40" s="830" t="str">
        <x:f t="shared" si="106"/>
        <x:v>J66</x:v>
      </x:c>
      <x:c r="AY40" s="1039" t="b">
        <x:f t="shared" si="33"/>
        <x:v>0</x:v>
      </x:c>
      <x:c r="AZ40" s="856" t="b">
        <x:f t="shared" si="34"/>
        <x:v>0</x:v>
      </x:c>
      <x:c r="BA40" s="549"/>
      <x:c r="BB40" s="672"/>
      <x:c r="BC40" s="1684"/>
      <x:c r="BD40" s="733"/>
      <x:c r="BE40" s="734"/>
      <x:c r="BF40" s="735"/>
      <x:c r="BG40" s="672"/>
      <x:c r="BH40" s="982"/>
      <x:c r="BI40" s="983"/>
      <x:c r="BJ40" s="1625"/>
      <x:c r="BK40" s="713"/>
      <x:c r="BL40" s="714"/>
      <x:c r="BM40" s="715"/>
      <x:c r="BN40" s="716"/>
      <x:c r="BO40" s="672" t="str">
        <x:f>IF(ISERROR(CU40),"",IF(CU40="","",IF(VLOOKUP(BG40,SectInfo!$B:$N,10,FALSE)="","","X")))</x:f>
        <x:v/>
      </x:c>
      <x:c r="BP40" s="738"/>
      <x:c r="BQ40" s="1551" t="str">
        <x:f t="shared" si="35"/>
        <x:v/>
      </x:c>
      <x:c r="BR40" s="910"/>
      <x:c r="BS40" s="672"/>
      <x:c r="BT40" s="713"/>
      <x:c r="BU40" s="714"/>
      <x:c r="BV40" s="1625"/>
      <x:c r="BW40" s="713"/>
      <x:c r="BX40" s="714"/>
      <x:c r="BY40" s="715"/>
      <x:c r="BZ40" s="716"/>
      <x:c r="CA40" s="680" t="str">
        <x:f>IF(ISERROR(DE40),"",IF(DE40="","",IF(VLOOKUP(BS40,SectInfo!$B:$N,10,FALSE)="","","X")))</x:f>
        <x:v/>
      </x:c>
      <x:c r="CB40" s="738"/>
      <x:c r="CC40" s="1551" t="str">
        <x:f t="shared" si="36"/>
        <x:v/>
      </x:c>
      <x:c r="CD40" s="910"/>
      <x:c r="CE40" s="717"/>
      <x:c r="CF40" s="736"/>
      <x:c r="CG40" s="737"/>
      <x:c r="CH40" s="591" t="str">
        <x:f t="shared" si="37"/>
        <x:v/>
      </x:c>
      <x:c r="CI40" s="592" t="str">
        <x:f t="shared" si="38"/>
        <x:v/>
      </x:c>
      <x:c r="CJ40" s="593" t="str">
        <x:f t="shared" si="39"/>
        <x:v/>
      </x:c>
      <x:c r="CK40" s="594" t="str">
        <x:f t="shared" si="40"/>
        <x:v/>
      </x:c>
      <x:c r="CL40" s="595" t="str">
        <x:f t="shared" si="41"/>
        <x:v/>
      </x:c>
      <x:c r="CM40" s="596" t="str">
        <x:f t="shared" si="42"/>
        <x:v/>
      </x:c>
      <x:c r="CN40" s="597" t="str">
        <x:f t="shared" si="43"/>
        <x:v/>
      </x:c>
      <x:c r="CO40" s="598" t="str">
        <x:f t="shared" si="44"/>
        <x:v/>
      </x:c>
      <x:c r="CP40" s="615" t="str">
        <x:f t="shared" si="45"/>
        <x:v/>
      </x:c>
      <x:c r="CQ40" s="616" t="str">
        <x:f t="shared" si="46"/>
        <x:v/>
      </x:c>
      <x:c r="CR40" s="750">
        <x:f t="shared" si="47"/>
        <x:v>5</x:v>
      </x:c>
      <x:c r="CS40" s="751">
        <x:f t="shared" si="48"/>
        <x:v>5</x:v>
      </x:c>
      <x:c r="CU40" s="817" t="str">
        <x:f>IF(BG40="","",VLOOKUP(BG40,SectInfo!$B:$N,12,FALSE))</x:f>
        <x:v/>
      </x:c>
      <x:c r="CV40" s="815" t="str">
        <x:f>IF(BG40="","",IF(ISBLANK(BP40),VLOOKUP(BG40,SectInfo!$B:$N,13,FALSE),BP40))</x:f>
        <x:v/>
      </x:c>
      <x:c r="CW40" s="815" t="str">
        <x:f>IF(BG40="","",IF(VLOOKUP(BG40,SectInfo!$B:$N,5,FALSE)="","R",UPPER(VLOOKUP(BG40,SectInfo!$B:$N,5,FALSE))))</x:f>
        <x:v/>
      </x:c>
      <x:c r="CX40" s="815" t="str">
        <x:f>IF(BG40="","",IF(ISBLANK(BR40),VLOOKUP(BG40,SectInfo!$B:$N,6,FALSE),BR40))</x:f>
        <x:v/>
      </x:c>
      <x:c r="CY40" s="1286" t="str">
        <x:f>IF(BG40="","",IF(VLOOKUP(BG40,SectInfo!$B:$N,10,FALSE)="","",(IF(BO40="X",VLOOKUP(BG40,SectInfo!$B:$N,10,FALSE),VALUE(BO40))*-1)))</x:f>
        <x:v/>
      </x:c>
      <x:c r="CZ40" s="1122" t="str">
        <x:f>IF(BG40="","",IF(VLOOKUP(BG40,SectInfo!$B:$N,11,FALSE)="","2",(VLOOKUP(BG40,SectInfo!$B:$N,11,FALSE))))</x:f>
        <x:v/>
      </x:c>
      <x:c r="DA40" s="815" t="str">
        <x:f>IF(BG40="","",IF(VLOOKUP(BG40,SectInfo!$B:$N,7,FALSE)="","",(VLOOKUP(BG40,SectInfo!$B:$N,7,FALSE)*-1)))</x:f>
        <x:v/>
      </x:c>
      <x:c r="DB40" s="815" t="str">
        <x:f>IF(BG40="","",IF(VLOOKUP(BG40,SectInfo!$B:$N,8,FALSE)="",VLOOKUP(AU40,$DF$2:$DN$9,6,FALSE),(VLOOKUP(BG40,SectInfo!$B:$N,8,FALSE))))</x:f>
        <x:v/>
      </x:c>
      <x:c r="DC40" s="815" t="str">
        <x:f>IF(BG40="","",VLOOKUP(BG40,SectInfo!$B:$N,9,FALSE))</x:f>
        <x:v/>
      </x:c>
      <x:c r="DD40" s="816">
        <x:f t="shared" si="49"/>
        <x:v>0</x:v>
      </x:c>
      <x:c r="DE40" s="817" t="str">
        <x:f>IF(BS40="","",VLOOKUP(BS40,SectInfo!$B:$N,12,FALSE))</x:f>
        <x:v/>
      </x:c>
      <x:c r="DF40" s="815" t="str">
        <x:f>IF(BS40="","",IF(ISBLANK(CB40),VLOOKUP(BS40,SectInfo!$B:$N,13,FALSE),CB40))</x:f>
        <x:v/>
      </x:c>
      <x:c r="DG40" s="815" t="str">
        <x:f>IF(BS40="","",IF(VLOOKUP(BS40,SectInfo!$B:$N,5,FALSE)="","R",UPPER(VLOOKUP(BS40,SectInfo!$B:$N,5,FALSE))))</x:f>
        <x:v/>
      </x:c>
      <x:c r="DH40" s="815" t="str">
        <x:f>IF(BS40="","",IF(ISBLANK(CD40),VLOOKUP(BS40,SectInfo!$B:$N,6,FALSE),CD40))</x:f>
        <x:v/>
      </x:c>
      <x:c r="DI40" s="1286" t="str">
        <x:f>IF(BS40="","",IF(VLOOKUP(BS40,SectInfo!$B:$N,10,FALSE)="","",(IF(CA40="X",VLOOKUP(BS40,SectInfo!$B:$N,10,FALSE),VALUE(CA40))*-1)))</x:f>
        <x:v/>
      </x:c>
      <x:c r="DJ40" s="1122" t="str">
        <x:f>IF(BS40="","",IF(VLOOKUP(BS40,SectInfo!$B:$N,11,FALSE)="","2",(VLOOKUP(BS40,SectInfo!$B:$N,11,FALSE))))</x:f>
        <x:v/>
      </x:c>
      <x:c r="DK40" s="815" t="str">
        <x:f>IF(BS40="","",IF(VLOOKUP(BS40,SectInfo!$B:$N,7,FALSE)="","",(VLOOKUP(BS40,SectInfo!$B:$N,7,FALSE)*-1)))</x:f>
        <x:v/>
      </x:c>
      <x:c r="DL40" s="815" t="str">
        <x:f>IF(BS40="","",IF(VLOOKUP(BS40,SectInfo!$B:$N,8,FALSE)="",VLOOKUP(AU40,$DF$2:$DN$9,6,FALSE),(VLOOKUP(BS40,SectInfo!$B:$N,8,FALSE))))</x:f>
        <x:v/>
      </x:c>
      <x:c r="DM40" s="815" t="str">
        <x:f>IF(BS40="","",VLOOKUP(BS40,SectInfo!$B:$N,9,FALSE))</x:f>
        <x:v/>
      </x:c>
      <x:c r="DN40" s="816">
        <x:f t="shared" si="50"/>
        <x:v>0</x:v>
      </x:c>
      <x:c r="DO40" s="818">
        <x:f t="shared" si="51"/>
        <x:v>0</x:v>
      </x:c>
      <x:c r="DP40" s="822" t="str">
        <x:f t="shared" si="52"/>
        <x:v/>
      </x:c>
      <x:c r="DQ40" s="822" t="str">
        <x:f t="shared" si="53"/>
        <x:v/>
      </x:c>
      <x:c r="DR40" s="822" t="str">
        <x:f t="shared" si="54"/>
        <x:v/>
      </x:c>
      <x:c r="DS40" s="821">
        <x:f t="shared" si="55"/>
        <x:v>0</x:v>
      </x:c>
      <x:c r="DT40" s="821">
        <x:f t="shared" si="56"/>
        <x:v>0</x:v>
      </x:c>
      <x:c r="DU40" s="821" t="str">
        <x:f t="shared" si="57"/>
        <x:v/>
      </x:c>
      <x:c r="DV40" s="822" t="str">
        <x:f t="shared" si="58"/>
        <x:v/>
      </x:c>
      <x:c r="DW40" s="856" t="str">
        <x:f t="shared" si="59"/>
        <x:v/>
      </x:c>
      <x:c r="DX40" s="1006">
        <x:f t="shared" si="60"/>
        <x:v>0</x:v>
      </x:c>
      <x:c r="DY40" s="822">
        <x:f t="shared" si="61"/>
        <x:v>0</x:v>
      </x:c>
      <x:c r="DZ40" s="821">
        <x:f t="shared" si="62"/>
        <x:v>0</x:v>
      </x:c>
      <x:c r="EA40" s="821" t="str">
        <x:f t="shared" si="63"/>
        <x:v/>
      </x:c>
      <x:c r="EB40" s="822" t="str">
        <x:f t="shared" si="64"/>
        <x:v/>
      </x:c>
      <x:c r="EC40" s="856" t="str">
        <x:f t="shared" si="65"/>
        <x:v/>
      </x:c>
      <x:c r="ED40" s="1006">
        <x:f t="shared" si="66"/>
        <x:v>0</x:v>
      </x:c>
      <x:c r="EE40" s="1293" t="str">
        <x:f t="shared" si="67"/>
        <x:v/>
      </x:c>
      <x:c r="EF40" s="1293" t="str">
        <x:f t="shared" si="68"/>
        <x:v/>
      </x:c>
      <x:c r="EG40" s="1293" t="str">
        <x:f t="shared" si="69"/>
        <x:v/>
      </x:c>
      <x:c r="EH40" s="856" t="str">
        <x:f t="shared" si="70"/>
        <x:v>ERR</x:v>
      </x:c>
      <x:c r="EI40" s="856" t="str">
        <x:f t="shared" si="71"/>
        <x:v>ERR</x:v>
      </x:c>
      <x:c r="EJ40" s="822" t="str">
        <x:f t="shared" si="72"/>
        <x:v/>
      </x:c>
      <x:c r="EK40" s="822" t="str">
        <x:f t="shared" si="72"/>
        <x:v/>
      </x:c>
      <x:c r="EL40" s="1293" t="str">
        <x:f t="shared" si="73"/>
        <x:v/>
      </x:c>
      <x:c r="EM40" s="822" t="str">
        <x:f t="shared" si="74"/>
        <x:v/>
      </x:c>
      <x:c r="EN40" s="822" t="str">
        <x:f t="shared" si="75"/>
        <x:v/>
      </x:c>
      <x:c r="EO40" s="856" t="str">
        <x:f t="shared" si="76"/>
        <x:v>ERR</x:v>
      </x:c>
      <x:c r="EP40" s="856" t="str">
        <x:f t="shared" si="77"/>
        <x:v>ERR</x:v>
      </x:c>
      <x:c r="EQ40" s="1293" t="str">
        <x:f t="shared" si="78"/>
        <x:v/>
      </x:c>
      <x:c r="ER40" s="822" t="str">
        <x:f t="shared" si="78"/>
        <x:v/>
      </x:c>
      <x:c r="ES40" s="822" t="str">
        <x:f t="shared" si="79"/>
        <x:v/>
      </x:c>
      <x:c r="ET40" s="822" t="str">
        <x:f t="shared" si="80"/>
        <x:v/>
      </x:c>
      <x:c r="EU40" s="829">
        <x:f t="shared" si="81"/>
        <x:v>4</x:v>
      </x:c>
      <x:c r="EV40" s="824" t="str">
        <x:f t="shared" si="82"/>
        <x:v/>
      </x:c>
      <x:c r="EW40" s="829"/>
      <x:c r="EX40" s="829" t="str">
        <x:f>IF(AND(CU40="G", ISBLANK(BK40), ISBLANK(BL40)),VLOOKUP(MIN(BH40:BI40),TblJoistSize!$M$3:$N$10,2),IF(OR(CU40="B",CU40="G"),MIN(BK40:BL40),""))</x:f>
        <x:v/>
      </x:c>
      <x:c r="EY40" s="829" t="str">
        <x:f>IF(AND(CU40="G", ISBLANK(BK40), ISBLANK(BL40)),VLOOKUP(MAX(BH40:BI40),TblJoistSize!$M$3:$N$10,2),IF(OR(CU40="B",CU40="G"),MAX(BK40:BL40),""))</x:f>
        <x:v/>
      </x:c>
      <x:c r="EZ40" s="829" t="str">
        <x:f t="shared" si="83"/>
        <x:v/>
      </x:c>
      <x:c r="FA40" s="829" t="str">
        <x:f>IF(AND(DE40="G", ISBLANK(BW40), ISBLANK(BX40)),VLOOKUP(MIN(BT40:BU40),TblJoistSize!$M$3:$N$10,2),IF(OR(DE40="B", DE40="G"),MIN(BW40:BX40),""))</x:f>
        <x:v/>
      </x:c>
      <x:c r="FB40" s="829" t="str">
        <x:f>IF(AND(DE40="G", ISBLANK(BW40), ISBLANK(BX40)),VLOOKUP(MAX(BT40:BU40),TblJoistSize!$M$3:$N$10,2),IF(OR(DE40="B", DE40="G"),MAX(BW40:BX40),""))</x:f>
        <x:v/>
      </x:c>
      <x:c r="FC40" s="829" t="str">
        <x:f t="shared" si="84"/>
        <x:v/>
      </x:c>
      <x:c r="FD40" s="821">
        <x:f t="shared" si="107"/>
        <x:v>0</x:v>
      </x:c>
      <x:c r="FE40" s="821">
        <x:f t="shared" si="85"/>
        <x:v>0</x:v>
      </x:c>
      <x:c r="FF40" s="821">
        <x:f t="shared" si="86"/>
        <x:v>0</x:v>
      </x:c>
      <x:c r="FG40" s="821" t="str">
        <x:f t="shared" si="87"/>
        <x:v/>
      </x:c>
      <x:c r="FH40" s="822" t="str">
        <x:f t="shared" si="88"/>
        <x:v/>
      </x:c>
      <x:c r="FI40" s="821">
        <x:f t="shared" si="108"/>
        <x:v>0</x:v>
      </x:c>
      <x:c r="FJ40" s="821">
        <x:f t="shared" si="89"/>
        <x:v>0</x:v>
      </x:c>
      <x:c r="FK40" s="821">
        <x:f t="shared" si="90"/>
        <x:v>0</x:v>
      </x:c>
      <x:c r="FL40" s="821" t="str">
        <x:f t="shared" si="91"/>
        <x:v/>
      </x:c>
      <x:c r="FM40" s="822" t="str">
        <x:f t="shared" si="92"/>
        <x:v/>
      </x:c>
      <x:c r="FN40" s="822" t="e">
        <x:f t="shared" si="93"/>
        <x:v>#VALUE!</x:v>
      </x:c>
      <x:c r="FO40" s="940" t="e">
        <x:f t="shared" si="94"/>
        <x:v>#VALUE!</x:v>
      </x:c>
      <x:c r="FP40" s="940" t="e">
        <x:f t="shared" si="95"/>
        <x:v>#VALUE!</x:v>
      </x:c>
      <x:c r="FQ40" s="830" t="e">
        <x:f t="shared" si="96"/>
        <x:v>#VALUE!</x:v>
      </x:c>
      <x:c r="FR40" s="831" t="e">
        <x:f t="shared" si="97"/>
        <x:v>#VALUE!</x:v>
      </x:c>
      <x:c r="FS40" s="832" t="str">
        <x:f t="shared" si="98"/>
        <x:v/>
      </x:c>
      <x:c r="FT40" s="833" t="str">
        <x:f t="shared" si="99"/>
        <x:v/>
      </x:c>
      <x:c r="FU40" s="870">
        <x:f t="shared" si="100"/>
        <x:v>0</x:v>
      </x:c>
      <x:c r="FV40" s="871">
        <x:f t="shared" si="101"/>
        <x:v>0</x:v>
      </x:c>
      <x:c r="GA40" s="1791">
        <x:v>40</x:v>
      </x:c>
      <x:c r="GB40" s="1792">
        <x:v>0.75</x:v>
      </x:c>
      <x:c r="GC40" s="1793">
        <x:v>-0.25</x:v>
      </x:c>
      <x:c r="GD40" s="1794">
        <x:v>-0.5</x:v>
      </x:c>
      <x:c r="GE40" s="1795">
        <x:f t="shared" si="102"/>
        <x:v>0</x:v>
      </x:c>
      <x:c r="GF40" s="600" t="str">
        <x:f t="shared" si="103"/>
        <x:v>J66</x:v>
      </x:c>
      <x:c r="GG40" s="1130">
        <x:v>0</x:v>
      </x:c>
      <x:c r="GH40" s="1131">
        <x:v>0</x:v>
      </x:c>
      <x:c r="GI40" s="1130"/>
      <x:c r="GJ40" s="1131"/>
      <x:c r="GK40" s="1638">
        <x:f t="shared" si="104"/>
        <x:v>480</x:v>
      </x:c>
      <x:c r="GL40" s="1636">
        <x:f t="shared" si="105"/>
        <x:v>480</x:v>
      </x:c>
      <x:c r="GM40" s="1637">
        <x:f>IF(ABS(GK40-GL40)&gt;='Job Info.'!$L$22,ABS(GK40-GL40),0)</x:f>
        <x:v>0</x:v>
      </x:c>
      <x:c r="HA40" s="1269" t="s">
        <x:v>1496</x:v>
      </x:c>
      <x:c r="HB40" s="1270">
        <x:v>1</x:v>
      </x:c>
      <x:c r="HC40" s="1270" t="s">
        <x:v>1592</x:v>
      </x:c>
      <x:c r="HD40" s="1271">
        <x:v>40</x:v>
      </x:c>
      <x:c r="HE40" s="1272">
        <x:v>0</x:v>
      </x:c>
      <x:c r="HF40" s="1270" t="s">
        <x:v>116</x:v>
      </x:c>
      <x:c r="HG40" s="1270" t="s">
        <x:v>116</x:v>
      </x:c>
      <x:c r="HH40" s="1270" t="s">
        <x:v>116</x:v>
      </x:c>
      <x:c r="HI40" s="1273" t="s">
        <x:v>116</x:v>
      </x:c>
      <x:c r="HJ40" s="1270" t="s">
        <x:v>116</x:v>
      </x:c>
      <x:c r="HK40" s="1270" t="s">
        <x:v>116</x:v>
      </x:c>
      <x:c r="HL40" s="1270">
        <x:v>5</x:v>
      </x:c>
      <x:c r="HM40" s="1270">
        <x:v>5</x:v>
      </x:c>
      <x:c r="HN40" s="1270" t="s">
        <x:v>116</x:v>
      </x:c>
      <x:c r="HO40" s="1270" t="s">
        <x:v>116</x:v>
      </x:c>
      <x:c r="HP40" s="1270" t="s">
        <x:v>116</x:v>
      </x:c>
      <x:c r="HQ40" s="1273" t="s">
        <x:v>116</x:v>
      </x:c>
      <x:c r="HR40" s="1270" t="s">
        <x:v>116</x:v>
      </x:c>
      <x:c r="HS40" s="1270" t="s">
        <x:v>116</x:v>
      </x:c>
      <x:c r="HT40" s="1270">
        <x:v>0</x:v>
      </x:c>
      <x:c r="HU40" s="1270">
        <x:v>2.25</x:v>
      </x:c>
      <x:c r="HV40" s="1270">
        <x:v>0</x:v>
      </x:c>
      <x:c r="HW40" s="1272">
        <x:v>2</x:v>
      </x:c>
      <x:c r="HX40" s="1272">
        <x:v>4</x:v>
      </x:c>
      <x:c r="HY40" s="1272" t="s">
        <x:v>116</x:v>
      </x:c>
      <x:c r="HZ40" s="1272" t="s">
        <x:v>116</x:v>
      </x:c>
      <x:c r="IA40" s="1272" t="s">
        <x:v>1687</x:v>
      </x:c>
      <x:c r="IB40" s="1272"/>
      <x:c r="IC40" s="1272"/>
      <x:c r="ID40" s="1272"/>
      <x:c r="IE40" s="1272"/>
      <x:c r="IF40" s="1274"/>
    </x:row>
    <x:row r="41" spans="1:240" ht="12.6" customHeight="1" x14ac:dyDescent="0.25">
      <x:c r="A41" s="2764" t="str">
        <x:f t="shared" ref="A41:A44" si="109">IF(BB41="","",UPPER(BB41))</x:f>
        <x:v/>
      </x:c>
      <x:c r="B41" s="2765"/>
      <x:c r="C41" s="2766" t="str">
        <x:f t="shared" ref="C41:C44" si="110">IF(BD41="","",UPPER(BD41))</x:f>
        <x:v/>
      </x:c>
      <x:c r="D41" s="2767" t="str">
        <x:f t="shared" ref="D41:D44" si="111">IF(DP41="","",TRUNC(DP41/12))</x:f>
        <x:v/>
      </x:c>
      <x:c r="E41" s="2768" t="str">
        <x:f t="shared" ref="E41:E44" si="112">IF(DP41="","",DP41-(D41*12))</x:f>
        <x:v/>
      </x:c>
      <x:c r="F41" s="2776" t="str">
        <x:f t="shared" si="1"/>
        <x:v/>
      </x:c>
      <x:c r="G41" s="2771" t="str">
        <x:f t="shared" si="2"/>
        <x:v/>
      </x:c>
      <x:c r="H41" s="2842" t="str">
        <x:f t="shared" si="3"/>
        <x:v/>
      </x:c>
      <x:c r="I41" s="2767" t="str">
        <x:f t="shared" si="4"/>
        <x:v/>
      </x:c>
      <x:c r="J41" s="2771" t="str">
        <x:f t="shared" si="5"/>
        <x:v/>
      </x:c>
      <x:c r="K41" s="2855" t="str">
        <x:f t="shared" si="6"/>
        <x:v/>
      </x:c>
      <x:c r="L41" s="2774" t="str">
        <x:f t="shared" ref="L41:M44" si="113">DQ41</x:f>
        <x:v/>
      </x:c>
      <x:c r="M41" s="2775" t="str">
        <x:f t="shared" si="113"/>
        <x:v/>
      </x:c>
      <x:c r="N41" s="2770" t="str">
        <x:f t="shared" si="7"/>
        <x:v/>
      </x:c>
      <x:c r="O41" s="2771" t="str">
        <x:f t="shared" si="8"/>
        <x:v/>
      </x:c>
      <x:c r="P41" s="2772" t="str">
        <x:f t="shared" si="9"/>
        <x:v/>
      </x:c>
      <x:c r="Q41" s="2767" t="str">
        <x:f t="shared" si="10"/>
        <x:v/>
      </x:c>
      <x:c r="R41" s="2771" t="str">
        <x:f t="shared" si="11"/>
        <x:v/>
      </x:c>
      <x:c r="S41" s="2773" t="str">
        <x:f t="shared" si="12"/>
        <x:v/>
      </x:c>
      <x:c r="T41" s="2776" t="str">
        <x:f t="shared" ref="T41:T45" si="114">IF(CH41="ERR","",IF(EK41="","",IF(EK41="ERR",TRUNC(EJ41/12),TRUNC(EK41/12))))</x:f>
        <x:v/>
      </x:c>
      <x:c r="U41" s="2771" t="str">
        <x:f t="shared" ref="U41:U45" si="115">IF(CH41="ERR","",IF(EK41="","",IF(EK41="ERR",EJ41-(T41*12),EK41-(T41*12))))</x:f>
        <x:v/>
      </x:c>
      <x:c r="V41" s="2767" t="str">
        <x:f t="shared" ref="V41:V45" si="116">IF(CI41="ERR","",IF(ER41="","",IF(ER41="ERR",TRUNC(EQ41/12),TRUNC(ER41/12))))</x:f>
        <x:v/>
      </x:c>
      <x:c r="W41" s="2771" t="str">
        <x:f t="shared" ref="W41:W45" si="117">IF(CI41="ERR","",IF(ER41="","",IF(ER41="ERR",EQ41-(V41*12),ER41-(V41*12))))</x:f>
        <x:v/>
      </x:c>
      <x:c r="X41" s="2775">
        <x:f t="shared" ref="X41:X44" si="118">IF(EV41="",0,EV41)</x:f>
        <x:v>0</x:v>
      </x:c>
      <x:c r="Y41" s="2844" t="str">
        <x:f t="shared" si="13"/>
        <x:v/>
      </x:c>
      <x:c r="Z41" s="2845" t="str">
        <x:f t="shared" si="14"/>
        <x:v/>
      </x:c>
      <x:c r="AA41" s="2846" t="s">
        <x:v>116</x:v>
      </x:c>
      <x:c r="AB41" s="1413"/>
      <x:c r="AC41" s="964" t="b">
        <x:v>0</x:v>
      </x:c>
      <x:c r="AD41" s="441">
        <x:f t="shared" si="15"/>
        <x:v>0</x:v>
      </x:c>
      <x:c r="AE41" s="442">
        <x:f t="shared" si="16"/>
        <x:v>0</x:v>
      </x:c>
      <x:c r="AF41" s="442">
        <x:f t="shared" si="17"/>
        <x:v>0</x:v>
      </x:c>
      <x:c r="AG41" s="442">
        <x:f t="shared" si="18"/>
        <x:v>0</x:v>
      </x:c>
      <x:c r="AH41" s="443">
        <x:f t="shared" si="19"/>
        <x:v>0</x:v>
      </x:c>
      <x:c r="AI41" s="444" t="b">
        <x:v>0</x:v>
      </x:c>
      <x:c r="AJ41" s="238">
        <x:f t="shared" si="20"/>
        <x:v>0</x:v>
      </x:c>
      <x:c r="AK41" s="830" t="str">
        <x:f t="shared" si="21"/>
        <x:v/>
      </x:c>
      <x:c r="AL41" s="945" t="str">
        <x:f t="shared" si="22"/>
        <x:v/>
      </x:c>
      <x:c r="AM41" s="830" t="str">
        <x:f t="shared" si="23"/>
        <x:v/>
      </x:c>
      <x:c r="AN41" s="830" t="str">
        <x:f t="shared" si="24"/>
        <x:v/>
      </x:c>
      <x:c r="AO41" s="830" t="str">
        <x:f t="shared" si="25"/>
        <x:v/>
      </x:c>
      <x:c r="AP41" s="830" t="b">
        <x:f>IF(ISERROR(AJ41),FALSE,IF(OR(AJ41=0,ISERROR(AL41),ISERROR(AM41),ISERROR(AN41),ISERROR(AO41)),FALSE,IF(AL41&lt;&gt;"",IF(ISERROR(VLOOKUP(SUBSTITUTE(SUBSTITUTE(C41,"R",""),"A",""),TblJoistSize!$A:$A,1,FALSE)),FALSE,TRUE),TRUE)))</x:f>
        <x:v>0</x:v>
      </x:c>
      <x:c r="AQ41" s="1038" t="e">
        <x:f t="shared" si="26"/>
        <x:v>#N/A</x:v>
      </x:c>
      <x:c r="AR41" s="945" t="b">
        <x:f t="shared" si="27"/>
        <x:v>0</x:v>
      </x:c>
      <x:c r="AS41" s="1038" t="e">
        <x:f t="shared" si="28"/>
        <x:v>#N/A</x:v>
      </x:c>
      <x:c r="AT41" s="945" t="b">
        <x:f t="shared" si="29"/>
        <x:v>0</x:v>
      </x:c>
      <x:c r="AU41" s="946" t="str">
        <x:f t="shared" si="30"/>
        <x:v/>
      </x:c>
      <x:c r="AV41" s="830" t="str">
        <x:f t="shared" si="31"/>
        <x:v/>
      </x:c>
      <x:c r="AW41" s="830" t="str">
        <x:f t="shared" si="32"/>
        <x:v/>
      </x:c>
      <x:c r="AX41" s="830" t="str">
        <x:f t="shared" si="106"/>
        <x:v/>
      </x:c>
      <x:c r="AY41" s="1039" t="b">
        <x:f t="shared" si="33"/>
        <x:v>0</x:v>
      </x:c>
      <x:c r="AZ41" s="856" t="str">
        <x:f t="shared" si="34"/>
        <x:v/>
      </x:c>
      <x:c r="BA41" s="549"/>
      <x:c r="BB41" s="672"/>
      <x:c r="BC41" s="1684"/>
      <x:c r="BD41" s="733"/>
      <x:c r="BE41" s="734"/>
      <x:c r="BF41" s="735"/>
      <x:c r="BG41" s="672"/>
      <x:c r="BH41" s="982"/>
      <x:c r="BI41" s="983"/>
      <x:c r="BJ41" s="1625"/>
      <x:c r="BK41" s="713"/>
      <x:c r="BL41" s="714"/>
      <x:c r="BM41" s="715"/>
      <x:c r="BN41" s="716"/>
      <x:c r="BO41" s="672" t="str">
        <x:f>IF(ISERROR(CU41),"",IF(CU41="","",IF(VLOOKUP(BG41,SectInfo!$B:$N,10,FALSE)="","","X")))</x:f>
        <x:v/>
      </x:c>
      <x:c r="BP41" s="738"/>
      <x:c r="BQ41" s="1551" t="str">
        <x:f t="shared" si="35"/>
        <x:v/>
      </x:c>
      <x:c r="BR41" s="910"/>
      <x:c r="BS41" s="672"/>
      <x:c r="BT41" s="713"/>
      <x:c r="BU41" s="714"/>
      <x:c r="BV41" s="1625"/>
      <x:c r="BW41" s="713"/>
      <x:c r="BX41" s="714"/>
      <x:c r="BY41" s="715"/>
      <x:c r="BZ41" s="716"/>
      <x:c r="CA41" s="680" t="str">
        <x:f>IF(ISERROR(DE41),"",IF(DE41="","",IF(VLOOKUP(BS41,SectInfo!$B:$N,10,FALSE)="","","X")))</x:f>
        <x:v/>
      </x:c>
      <x:c r="CB41" s="738"/>
      <x:c r="CC41" s="1551" t="str">
        <x:f t="shared" si="36"/>
        <x:v/>
      </x:c>
      <x:c r="CD41" s="910"/>
      <x:c r="CE41" s="717"/>
      <x:c r="CF41" s="736"/>
      <x:c r="CG41" s="737"/>
      <x:c r="CH41" s="591" t="str">
        <x:f t="shared" si="37"/>
        <x:v/>
      </x:c>
      <x:c r="CI41" s="592" t="str">
        <x:f t="shared" si="38"/>
        <x:v/>
      </x:c>
      <x:c r="CJ41" s="593" t="str">
        <x:f t="shared" si="39"/>
        <x:v/>
      </x:c>
      <x:c r="CK41" s="594" t="str">
        <x:f t="shared" si="40"/>
        <x:v/>
      </x:c>
      <x:c r="CL41" s="595" t="str">
        <x:f t="shared" si="41"/>
        <x:v/>
      </x:c>
      <x:c r="CM41" s="596" t="str">
        <x:f t="shared" si="42"/>
        <x:v/>
      </x:c>
      <x:c r="CN41" s="597" t="str">
        <x:f t="shared" si="43"/>
        <x:v/>
      </x:c>
      <x:c r="CO41" s="598" t="str">
        <x:f t="shared" si="44"/>
        <x:v/>
      </x:c>
      <x:c r="CP41" s="615" t="str">
        <x:f t="shared" si="45"/>
        <x:v/>
      </x:c>
      <x:c r="CQ41" s="616" t="str">
        <x:f t="shared" si="46"/>
        <x:v/>
      </x:c>
      <x:c r="CR41" s="750" t="str">
        <x:f t="shared" si="47"/>
        <x:v/>
      </x:c>
      <x:c r="CS41" s="751" t="str">
        <x:f t="shared" si="48"/>
        <x:v/>
      </x:c>
      <x:c r="CU41" s="817" t="str">
        <x:f>IF(BG41="","",VLOOKUP(BG41,SectInfo!$B:$N,12,FALSE))</x:f>
        <x:v/>
      </x:c>
      <x:c r="CV41" s="815" t="str">
        <x:f>IF(BG41="","",IF(ISBLANK(BP41),VLOOKUP(BG41,SectInfo!$B:$N,13,FALSE),BP41))</x:f>
        <x:v/>
      </x:c>
      <x:c r="CW41" s="815" t="str">
        <x:f>IF(BG41="","",IF(VLOOKUP(BG41,SectInfo!$B:$N,5,FALSE)="","R",UPPER(VLOOKUP(BG41,SectInfo!$B:$N,5,FALSE))))</x:f>
        <x:v/>
      </x:c>
      <x:c r="CX41" s="815" t="str">
        <x:f>IF(BG41="","",IF(ISBLANK(BR41),VLOOKUP(BG41,SectInfo!$B:$N,6,FALSE),BR41))</x:f>
        <x:v/>
      </x:c>
      <x:c r="CY41" s="1286" t="str">
        <x:f>IF(BG41="","",IF(VLOOKUP(BG41,SectInfo!$B:$N,10,FALSE)="","",(IF(BO41="X",VLOOKUP(BG41,SectInfo!$B:$N,10,FALSE),VALUE(BO41))*-1)))</x:f>
        <x:v/>
      </x:c>
      <x:c r="CZ41" s="1122" t="str">
        <x:f>IF(BG41="","",IF(VLOOKUP(BG41,SectInfo!$B:$N,11,FALSE)="","2",(VLOOKUP(BG41,SectInfo!$B:$N,11,FALSE))))</x:f>
        <x:v/>
      </x:c>
      <x:c r="DA41" s="815" t="str">
        <x:f>IF(BG41="","",IF(VLOOKUP(BG41,SectInfo!$B:$N,7,FALSE)="","",(VLOOKUP(BG41,SectInfo!$B:$N,7,FALSE)*-1)))</x:f>
        <x:v/>
      </x:c>
      <x:c r="DB41" s="815" t="str">
        <x:f>IF(BG41="","",IF(VLOOKUP(BG41,SectInfo!$B:$N,8,FALSE)="",VLOOKUP(AU41,$DF$2:$DN$9,6,FALSE),(VLOOKUP(BG41,SectInfo!$B:$N,8,FALSE))))</x:f>
        <x:v/>
      </x:c>
      <x:c r="DC41" s="815" t="str">
        <x:f>IF(BG41="","",VLOOKUP(BG41,SectInfo!$B:$N,9,FALSE))</x:f>
        <x:v/>
      </x:c>
      <x:c r="DD41" s="816">
        <x:f t="shared" si="49"/>
        <x:v>0</x:v>
      </x:c>
      <x:c r="DE41" s="817" t="str">
        <x:f>IF(BS41="","",VLOOKUP(BS41,SectInfo!$B:$N,12,FALSE))</x:f>
        <x:v/>
      </x:c>
      <x:c r="DF41" s="815" t="str">
        <x:f>IF(BS41="","",IF(ISBLANK(CB41),VLOOKUP(BS41,SectInfo!$B:$N,13,FALSE),CB41))</x:f>
        <x:v/>
      </x:c>
      <x:c r="DG41" s="815" t="str">
        <x:f>IF(BS41="","",IF(VLOOKUP(BS41,SectInfo!$B:$N,5,FALSE)="","R",UPPER(VLOOKUP(BS41,SectInfo!$B:$N,5,FALSE))))</x:f>
        <x:v/>
      </x:c>
      <x:c r="DH41" s="815" t="str">
        <x:f>IF(BS41="","",IF(ISBLANK(CD41),VLOOKUP(BS41,SectInfo!$B:$N,6,FALSE),CD41))</x:f>
        <x:v/>
      </x:c>
      <x:c r="DI41" s="1286" t="str">
        <x:f>IF(BS41="","",IF(VLOOKUP(BS41,SectInfo!$B:$N,10,FALSE)="","",(IF(CA41="X",VLOOKUP(BS41,SectInfo!$B:$N,10,FALSE),VALUE(CA41))*-1)))</x:f>
        <x:v/>
      </x:c>
      <x:c r="DJ41" s="1122" t="str">
        <x:f>IF(BS41="","",IF(VLOOKUP(BS41,SectInfo!$B:$N,11,FALSE)="","2",(VLOOKUP(BS41,SectInfo!$B:$N,11,FALSE))))</x:f>
        <x:v/>
      </x:c>
      <x:c r="DK41" s="815" t="str">
        <x:f>IF(BS41="","",IF(VLOOKUP(BS41,SectInfo!$B:$N,7,FALSE)="","",(VLOOKUP(BS41,SectInfo!$B:$N,7,FALSE)*-1)))</x:f>
        <x:v/>
      </x:c>
      <x:c r="DL41" s="815" t="str">
        <x:f>IF(BS41="","",IF(VLOOKUP(BS41,SectInfo!$B:$N,8,FALSE)="",VLOOKUP(AU41,$DF$2:$DN$9,6,FALSE),(VLOOKUP(BS41,SectInfo!$B:$N,8,FALSE))))</x:f>
        <x:v/>
      </x:c>
      <x:c r="DM41" s="815" t="str">
        <x:f>IF(BS41="","",VLOOKUP(BS41,SectInfo!$B:$N,9,FALSE))</x:f>
        <x:v/>
      </x:c>
      <x:c r="DN41" s="816">
        <x:f t="shared" si="50"/>
        <x:v>0</x:v>
      </x:c>
      <x:c r="DO41" s="818">
        <x:f t="shared" si="51"/>
        <x:v>0</x:v>
      </x:c>
      <x:c r="DP41" s="822" t="str">
        <x:f t="shared" si="52"/>
        <x:v/>
      </x:c>
      <x:c r="DQ41" s="822" t="str">
        <x:f t="shared" si="53"/>
        <x:v/>
      </x:c>
      <x:c r="DR41" s="822" t="str">
        <x:f t="shared" si="54"/>
        <x:v/>
      </x:c>
      <x:c r="DS41" s="821">
        <x:f t="shared" si="55"/>
        <x:v>0</x:v>
      </x:c>
      <x:c r="DT41" s="821">
        <x:f t="shared" si="56"/>
        <x:v>0</x:v>
      </x:c>
      <x:c r="DU41" s="821" t="str">
        <x:f t="shared" si="57"/>
        <x:v/>
      </x:c>
      <x:c r="DV41" s="822" t="str">
        <x:f t="shared" si="58"/>
        <x:v/>
      </x:c>
      <x:c r="DW41" s="856" t="str">
        <x:f t="shared" si="59"/>
        <x:v/>
      </x:c>
      <x:c r="DX41" s="1006">
        <x:f t="shared" si="60"/>
        <x:v>0</x:v>
      </x:c>
      <x:c r="DY41" s="822">
        <x:f t="shared" si="61"/>
        <x:v>0</x:v>
      </x:c>
      <x:c r="DZ41" s="821">
        <x:f t="shared" si="62"/>
        <x:v>0</x:v>
      </x:c>
      <x:c r="EA41" s="821" t="str">
        <x:f t="shared" si="63"/>
        <x:v/>
      </x:c>
      <x:c r="EB41" s="822" t="str">
        <x:f t="shared" si="64"/>
        <x:v/>
      </x:c>
      <x:c r="EC41" s="856" t="str">
        <x:f t="shared" si="65"/>
        <x:v/>
      </x:c>
      <x:c r="ED41" s="1006">
        <x:f t="shared" si="66"/>
        <x:v>0</x:v>
      </x:c>
      <x:c r="EE41" s="1293" t="str">
        <x:f t="shared" si="67"/>
        <x:v/>
      </x:c>
      <x:c r="EF41" s="1293" t="str">
        <x:f t="shared" si="68"/>
        <x:v/>
      </x:c>
      <x:c r="EG41" s="1293" t="str">
        <x:f t="shared" si="69"/>
        <x:v/>
      </x:c>
      <x:c r="EH41" s="856" t="e">
        <x:f t="shared" si="70"/>
        <x:v>#N/A</x:v>
      </x:c>
      <x:c r="EI41" s="856" t="e">
        <x:f t="shared" si="71"/>
        <x:v>#N/A</x:v>
      </x:c>
      <x:c r="EJ41" s="822" t="str">
        <x:f t="shared" si="72"/>
        <x:v/>
      </x:c>
      <x:c r="EK41" s="822" t="str">
        <x:f t="shared" si="72"/>
        <x:v/>
      </x:c>
      <x:c r="EL41" s="1293" t="str">
        <x:f t="shared" si="73"/>
        <x:v/>
      </x:c>
      <x:c r="EM41" s="822" t="str">
        <x:f t="shared" si="74"/>
        <x:v/>
      </x:c>
      <x:c r="EN41" s="822" t="str">
        <x:f t="shared" si="75"/>
        <x:v/>
      </x:c>
      <x:c r="EO41" s="856" t="e">
        <x:f t="shared" si="76"/>
        <x:v>#N/A</x:v>
      </x:c>
      <x:c r="EP41" s="856" t="e">
        <x:f t="shared" si="77"/>
        <x:v>#N/A</x:v>
      </x:c>
      <x:c r="EQ41" s="1293" t="str">
        <x:f t="shared" si="78"/>
        <x:v/>
      </x:c>
      <x:c r="ER41" s="822" t="str">
        <x:f t="shared" si="78"/>
        <x:v/>
      </x:c>
      <x:c r="ES41" s="822" t="str">
        <x:f t="shared" si="79"/>
        <x:v/>
      </x:c>
      <x:c r="ET41" s="822" t="str">
        <x:f t="shared" si="80"/>
        <x:v/>
      </x:c>
      <x:c r="EU41" s="829" t="str">
        <x:f t="shared" si="81"/>
        <x:v/>
      </x:c>
      <x:c r="EV41" s="824" t="str">
        <x:f t="shared" si="82"/>
        <x:v/>
      </x:c>
      <x:c r="EW41" s="829"/>
      <x:c r="EX41" s="829" t="str">
        <x:f>IF(AND(CU41="G", ISBLANK(BK41), ISBLANK(BL41)),VLOOKUP(MIN(BH41:BI41),TblJoistSize!$M$3:$N$10,2),IF(OR(CU41="B",CU41="G"),MIN(BK41:BL41),""))</x:f>
        <x:v/>
      </x:c>
      <x:c r="EY41" s="829" t="str">
        <x:f>IF(AND(CU41="G", ISBLANK(BK41), ISBLANK(BL41)),VLOOKUP(MAX(BH41:BI41),TblJoistSize!$M$3:$N$10,2),IF(OR(CU41="B",CU41="G"),MAX(BK41:BL41),""))</x:f>
        <x:v/>
      </x:c>
      <x:c r="EZ41" s="829" t="str">
        <x:f t="shared" si="83"/>
        <x:v/>
      </x:c>
      <x:c r="FA41" s="829" t="str">
        <x:f>IF(AND(DE41="G", ISBLANK(BW41), ISBLANK(BX41)),VLOOKUP(MIN(BT41:BU41),TblJoistSize!$M$3:$N$10,2),IF(OR(DE41="B", DE41="G"),MIN(BW41:BX41),""))</x:f>
        <x:v/>
      </x:c>
      <x:c r="FB41" s="829" t="str">
        <x:f>IF(AND(DE41="G", ISBLANK(BW41), ISBLANK(BX41)),VLOOKUP(MAX(BT41:BU41),TblJoistSize!$M$3:$N$10,2),IF(OR(DE41="B", DE41="G"),MAX(BW41:BX41),""))</x:f>
        <x:v/>
      </x:c>
      <x:c r="FC41" s="829" t="str">
        <x:f t="shared" si="84"/>
        <x:v/>
      </x:c>
      <x:c r="FD41" s="821">
        <x:f t="shared" si="107"/>
        <x:v>0</x:v>
      </x:c>
      <x:c r="FE41" s="821">
        <x:f t="shared" si="85"/>
        <x:v>0</x:v>
      </x:c>
      <x:c r="FF41" s="821">
        <x:f t="shared" si="86"/>
        <x:v>0</x:v>
      </x:c>
      <x:c r="FG41" s="821" t="str">
        <x:f t="shared" si="87"/>
        <x:v/>
      </x:c>
      <x:c r="FH41" s="822" t="str">
        <x:f t="shared" si="88"/>
        <x:v/>
      </x:c>
      <x:c r="FI41" s="821">
        <x:f t="shared" si="108"/>
        <x:v>0</x:v>
      </x:c>
      <x:c r="FJ41" s="821">
        <x:f t="shared" si="89"/>
        <x:v>0</x:v>
      </x:c>
      <x:c r="FK41" s="821">
        <x:f t="shared" si="90"/>
        <x:v>0</x:v>
      </x:c>
      <x:c r="FL41" s="821" t="str">
        <x:f t="shared" si="91"/>
        <x:v/>
      </x:c>
      <x:c r="FM41" s="822" t="str">
        <x:f t="shared" si="92"/>
        <x:v/>
      </x:c>
      <x:c r="FN41" s="822" t="e">
        <x:f t="shared" si="93"/>
        <x:v>#VALUE!</x:v>
      </x:c>
      <x:c r="FO41" s="940" t="e">
        <x:f t="shared" si="94"/>
        <x:v>#VALUE!</x:v>
      </x:c>
      <x:c r="FP41" s="940" t="e">
        <x:f t="shared" si="95"/>
        <x:v>#VALUE!</x:v>
      </x:c>
      <x:c r="FQ41" s="830" t="e">
        <x:f t="shared" si="96"/>
        <x:v>#VALUE!</x:v>
      </x:c>
      <x:c r="FR41" s="831" t="e">
        <x:f t="shared" si="97"/>
        <x:v>#VALUE!</x:v>
      </x:c>
      <x:c r="FS41" s="832" t="str">
        <x:f t="shared" si="98"/>
        <x:v/>
      </x:c>
      <x:c r="FT41" s="833" t="str">
        <x:f t="shared" si="99"/>
        <x:v/>
      </x:c>
      <x:c r="FU41" s="870">
        <x:f t="shared" si="100"/>
        <x:v>0</x:v>
      </x:c>
      <x:c r="FV41" s="871">
        <x:f t="shared" si="101"/>
        <x:v>0</x:v>
      </x:c>
      <x:c r="GA41" s="1791" t="str">
        <x:f t="shared" ref="GA41:GA45" si="119">IF(GF41="","",BE41)</x:f>
        <x:v/>
      </x:c>
      <x:c r="GB41" s="1792" t="str">
        <x:f t="shared" ref="GB41:GB45" si="120">IF(GF41="","",BF41)</x:f>
        <x:v/>
      </x:c>
      <x:c r="GC41" s="1793" t="str">
        <x:f t="shared" ref="GC41:GC45" si="121">IF(GF41="","",IF(CV41="",0,CV41))</x:f>
        <x:v/>
      </x:c>
      <x:c r="GD41" s="1794" t="str">
        <x:f t="shared" ref="GD41:GD45" si="122">IF(GF41="","",IF(DF41="",0,DF41))</x:f>
        <x:v/>
      </x:c>
      <x:c r="GE41" s="1795" t="str">
        <x:f t="shared" si="102"/>
        <x:v/>
      </x:c>
      <x:c r="GF41" s="600" t="str">
        <x:f t="shared" si="103"/>
        <x:v/>
      </x:c>
      <x:c r="GG41" s="1130"/>
      <x:c r="GH41" s="1131"/>
      <x:c r="GI41" s="1130"/>
      <x:c r="GJ41" s="1131"/>
      <x:c r="GK41" s="1638">
        <x:f t="shared" si="104"/>
        <x:v>0</x:v>
      </x:c>
      <x:c r="GL41" s="1636" t="e">
        <x:f t="shared" si="105"/>
        <x:v>#VALUE!</x:v>
      </x:c>
      <x:c r="GM41" s="1637" t="e">
        <x:f>IF(ABS(GK41-GL41)&gt;='Job Info.'!$L$22,ABS(GK41-GL41),0)</x:f>
        <x:v>#VALUE!</x:v>
      </x:c>
      <x:c r="HA41" s="1269"/>
      <x:c r="HB41" s="1270"/>
      <x:c r="HC41" s="1270"/>
      <x:c r="HD41" s="1271"/>
      <x:c r="HE41" s="1272"/>
      <x:c r="HF41" s="1270"/>
      <x:c r="HG41" s="1270"/>
      <x:c r="HH41" s="1270"/>
      <x:c r="HI41" s="1273"/>
      <x:c r="HJ41" s="1270"/>
      <x:c r="HK41" s="1270"/>
      <x:c r="HL41" s="1270"/>
      <x:c r="HM41" s="1270"/>
      <x:c r="HN41" s="1270"/>
      <x:c r="HO41" s="1270"/>
      <x:c r="HP41" s="1270"/>
      <x:c r="HQ41" s="1273"/>
      <x:c r="HR41" s="1270"/>
      <x:c r="HS41" s="1270"/>
      <x:c r="HT41" s="1270"/>
      <x:c r="HU41" s="1270"/>
      <x:c r="HV41" s="1270"/>
      <x:c r="HW41" s="1272"/>
      <x:c r="HX41" s="1272"/>
      <x:c r="HY41" s="1272"/>
      <x:c r="HZ41" s="1272"/>
      <x:c r="IA41" s="1272"/>
      <x:c r="IB41" s="1272"/>
      <x:c r="IC41" s="1272"/>
      <x:c r="ID41" s="1272"/>
      <x:c r="IE41" s="1272"/>
      <x:c r="IF41" s="1274"/>
    </x:row>
    <x:row r="42" spans="1:240" ht="12.6" customHeight="1" x14ac:dyDescent="0.25">
      <x:c r="A42" s="2764" t="str">
        <x:f t="shared" si="109"/>
        <x:v/>
      </x:c>
      <x:c r="B42" s="2765"/>
      <x:c r="C42" s="2766" t="str">
        <x:f t="shared" si="110"/>
        <x:v/>
      </x:c>
      <x:c r="D42" s="2767" t="str">
        <x:f t="shared" si="111"/>
        <x:v/>
      </x:c>
      <x:c r="E42" s="2768" t="str">
        <x:f t="shared" si="112"/>
        <x:v/>
      </x:c>
      <x:c r="F42" s="2776" t="str">
        <x:f t="shared" si="1"/>
        <x:v/>
      </x:c>
      <x:c r="G42" s="2771" t="str">
        <x:f t="shared" si="2"/>
        <x:v/>
      </x:c>
      <x:c r="H42" s="2842" t="str">
        <x:f t="shared" si="3"/>
        <x:v/>
      </x:c>
      <x:c r="I42" s="2767" t="str">
        <x:f t="shared" si="4"/>
        <x:v/>
      </x:c>
      <x:c r="J42" s="2771" t="str">
        <x:f t="shared" si="5"/>
        <x:v/>
      </x:c>
      <x:c r="K42" s="2855" t="str">
        <x:f t="shared" si="6"/>
        <x:v/>
      </x:c>
      <x:c r="L42" s="2774" t="str">
        <x:f t="shared" si="113"/>
        <x:v/>
      </x:c>
      <x:c r="M42" s="2775" t="str">
        <x:f t="shared" si="113"/>
        <x:v/>
      </x:c>
      <x:c r="N42" s="2770" t="str">
        <x:f t="shared" si="7"/>
        <x:v/>
      </x:c>
      <x:c r="O42" s="2771" t="str">
        <x:f t="shared" si="8"/>
        <x:v/>
      </x:c>
      <x:c r="P42" s="2772" t="str">
        <x:f t="shared" si="9"/>
        <x:v/>
      </x:c>
      <x:c r="Q42" s="2767" t="str">
        <x:f t="shared" si="10"/>
        <x:v/>
      </x:c>
      <x:c r="R42" s="2771" t="str">
        <x:f t="shared" si="11"/>
        <x:v/>
      </x:c>
      <x:c r="S42" s="2773" t="str">
        <x:f t="shared" si="12"/>
        <x:v/>
      </x:c>
      <x:c r="T42" s="2776" t="str">
        <x:f t="shared" si="114"/>
        <x:v/>
      </x:c>
      <x:c r="U42" s="2771" t="str">
        <x:f t="shared" si="115"/>
        <x:v/>
      </x:c>
      <x:c r="V42" s="2767" t="str">
        <x:f t="shared" si="116"/>
        <x:v/>
      </x:c>
      <x:c r="W42" s="2771" t="str">
        <x:f t="shared" si="117"/>
        <x:v/>
      </x:c>
      <x:c r="X42" s="2775">
        <x:f t="shared" si="118"/>
        <x:v>0</x:v>
      </x:c>
      <x:c r="Y42" s="2844" t="str">
        <x:f t="shared" si="13"/>
        <x:v/>
      </x:c>
      <x:c r="Z42" s="2845" t="str">
        <x:f t="shared" si="14"/>
        <x:v/>
      </x:c>
      <x:c r="AA42" s="2846" t="s">
        <x:v>116</x:v>
      </x:c>
      <x:c r="AB42" s="1413"/>
      <x:c r="AC42" s="964" t="b">
        <x:v>0</x:v>
      </x:c>
      <x:c r="AD42" s="441">
        <x:f t="shared" si="15"/>
        <x:v>0</x:v>
      </x:c>
      <x:c r="AE42" s="442">
        <x:f t="shared" si="16"/>
        <x:v>0</x:v>
      </x:c>
      <x:c r="AF42" s="442">
        <x:f t="shared" si="17"/>
        <x:v>0</x:v>
      </x:c>
      <x:c r="AG42" s="442">
        <x:f t="shared" si="18"/>
        <x:v>0</x:v>
      </x:c>
      <x:c r="AH42" s="443">
        <x:f t="shared" si="19"/>
        <x:v>0</x:v>
      </x:c>
      <x:c r="AI42" s="444" t="b">
        <x:v>0</x:v>
      </x:c>
      <x:c r="AJ42" s="238">
        <x:f t="shared" si="20"/>
        <x:v>0</x:v>
      </x:c>
      <x:c r="AK42" s="830" t="str">
        <x:f t="shared" si="21"/>
        <x:v/>
      </x:c>
      <x:c r="AL42" s="945" t="str">
        <x:f t="shared" si="22"/>
        <x:v/>
      </x:c>
      <x:c r="AM42" s="830" t="str">
        <x:f t="shared" si="23"/>
        <x:v/>
      </x:c>
      <x:c r="AN42" s="830" t="str">
        <x:f t="shared" si="24"/>
        <x:v/>
      </x:c>
      <x:c r="AO42" s="830" t="str">
        <x:f t="shared" si="25"/>
        <x:v/>
      </x:c>
      <x:c r="AP42" s="830" t="b">
        <x:f>IF(ISERROR(AJ42),FALSE,IF(OR(AJ42=0,ISERROR(AL42),ISERROR(AM42),ISERROR(AN42),ISERROR(AO42)),FALSE,IF(AL42&lt;&gt;"",IF(ISERROR(VLOOKUP(SUBSTITUTE(SUBSTITUTE(C42,"R",""),"A",""),TblJoistSize!$A:$A,1,FALSE)),FALSE,TRUE),TRUE)))</x:f>
        <x:v>0</x:v>
      </x:c>
      <x:c r="AQ42" s="1038" t="e">
        <x:f t="shared" si="26"/>
        <x:v>#N/A</x:v>
      </x:c>
      <x:c r="AR42" s="945" t="b">
        <x:f t="shared" si="27"/>
        <x:v>0</x:v>
      </x:c>
      <x:c r="AS42" s="1038" t="e">
        <x:f t="shared" si="28"/>
        <x:v>#N/A</x:v>
      </x:c>
      <x:c r="AT42" s="945" t="b">
        <x:f t="shared" si="29"/>
        <x:v>0</x:v>
      </x:c>
      <x:c r="AU42" s="946" t="str">
        <x:f t="shared" si="30"/>
        <x:v/>
      </x:c>
      <x:c r="AV42" s="830" t="str">
        <x:f t="shared" si="31"/>
        <x:v/>
      </x:c>
      <x:c r="AW42" s="830" t="str">
        <x:f t="shared" si="32"/>
        <x:v/>
      </x:c>
      <x:c r="AX42" s="830" t="str">
        <x:f t="shared" si="106"/>
        <x:v/>
      </x:c>
      <x:c r="AY42" s="1039" t="b">
        <x:f t="shared" si="33"/>
        <x:v>0</x:v>
      </x:c>
      <x:c r="AZ42" s="856" t="str">
        <x:f t="shared" si="34"/>
        <x:v/>
      </x:c>
      <x:c r="BA42" s="549"/>
      <x:c r="BB42" s="672"/>
      <x:c r="BC42" s="1684"/>
      <x:c r="BD42" s="733"/>
      <x:c r="BE42" s="734"/>
      <x:c r="BF42" s="735"/>
      <x:c r="BG42" s="672"/>
      <x:c r="BH42" s="982"/>
      <x:c r="BI42" s="983"/>
      <x:c r="BJ42" s="1625"/>
      <x:c r="BK42" s="713"/>
      <x:c r="BL42" s="714"/>
      <x:c r="BM42" s="715"/>
      <x:c r="BN42" s="716"/>
      <x:c r="BO42" s="672" t="str">
        <x:f>IF(ISERROR(CU42),"",IF(CU42="","",IF(VLOOKUP(BG42,SectInfo!$B:$N,10,FALSE)="","","X")))</x:f>
        <x:v/>
      </x:c>
      <x:c r="BP42" s="738"/>
      <x:c r="BQ42" s="1551" t="str">
        <x:f t="shared" si="35"/>
        <x:v/>
      </x:c>
      <x:c r="BR42" s="910"/>
      <x:c r="BS42" s="672"/>
      <x:c r="BT42" s="713"/>
      <x:c r="BU42" s="714"/>
      <x:c r="BV42" s="1625"/>
      <x:c r="BW42" s="713"/>
      <x:c r="BX42" s="714"/>
      <x:c r="BY42" s="715"/>
      <x:c r="BZ42" s="716"/>
      <x:c r="CA42" s="680" t="str">
        <x:f>IF(ISERROR(DE42),"",IF(DE42="","",IF(VLOOKUP(BS42,SectInfo!$B:$N,10,FALSE)="","","X")))</x:f>
        <x:v/>
      </x:c>
      <x:c r="CB42" s="738"/>
      <x:c r="CC42" s="1551" t="str">
        <x:f t="shared" si="36"/>
        <x:v/>
      </x:c>
      <x:c r="CD42" s="910"/>
      <x:c r="CE42" s="717"/>
      <x:c r="CF42" s="736"/>
      <x:c r="CG42" s="737"/>
      <x:c r="CH42" s="591" t="str">
        <x:f t="shared" si="37"/>
        <x:v/>
      </x:c>
      <x:c r="CI42" s="592" t="str">
        <x:f t="shared" si="38"/>
        <x:v/>
      </x:c>
      <x:c r="CJ42" s="593" t="str">
        <x:f t="shared" si="39"/>
        <x:v/>
      </x:c>
      <x:c r="CK42" s="594" t="str">
        <x:f t="shared" si="40"/>
        <x:v/>
      </x:c>
      <x:c r="CL42" s="595" t="str">
        <x:f t="shared" si="41"/>
        <x:v/>
      </x:c>
      <x:c r="CM42" s="596" t="str">
        <x:f t="shared" si="42"/>
        <x:v/>
      </x:c>
      <x:c r="CN42" s="597" t="str">
        <x:f t="shared" si="43"/>
        <x:v/>
      </x:c>
      <x:c r="CO42" s="598" t="str">
        <x:f t="shared" si="44"/>
        <x:v/>
      </x:c>
      <x:c r="CP42" s="615" t="str">
        <x:f t="shared" si="45"/>
        <x:v/>
      </x:c>
      <x:c r="CQ42" s="616" t="str">
        <x:f t="shared" si="46"/>
        <x:v/>
      </x:c>
      <x:c r="CR42" s="750" t="str">
        <x:f t="shared" si="47"/>
        <x:v/>
      </x:c>
      <x:c r="CS42" s="751" t="str">
        <x:f t="shared" si="48"/>
        <x:v/>
      </x:c>
      <x:c r="CU42" s="817" t="str">
        <x:f>IF(BG42="","",VLOOKUP(BG42,SectInfo!$B:$N,12,FALSE))</x:f>
        <x:v/>
      </x:c>
      <x:c r="CV42" s="815" t="str">
        <x:f>IF(BG42="","",IF(ISBLANK(BP42),VLOOKUP(BG42,SectInfo!$B:$N,13,FALSE),BP42))</x:f>
        <x:v/>
      </x:c>
      <x:c r="CW42" s="815" t="str">
        <x:f>IF(BG42="","",IF(VLOOKUP(BG42,SectInfo!$B:$N,5,FALSE)="","R",UPPER(VLOOKUP(BG42,SectInfo!$B:$N,5,FALSE))))</x:f>
        <x:v/>
      </x:c>
      <x:c r="CX42" s="815" t="str">
        <x:f>IF(BG42="","",IF(ISBLANK(BR42),VLOOKUP(BG42,SectInfo!$B:$N,6,FALSE),BR42))</x:f>
        <x:v/>
      </x:c>
      <x:c r="CY42" s="1286" t="str">
        <x:f>IF(BG42="","",IF(VLOOKUP(BG42,SectInfo!$B:$N,10,FALSE)="","",(IF(BO42="X",VLOOKUP(BG42,SectInfo!$B:$N,10,FALSE),VALUE(BO42))*-1)))</x:f>
        <x:v/>
      </x:c>
      <x:c r="CZ42" s="1122" t="str">
        <x:f>IF(BG42="","",IF(VLOOKUP(BG42,SectInfo!$B:$N,11,FALSE)="","2",(VLOOKUP(BG42,SectInfo!$B:$N,11,FALSE))))</x:f>
        <x:v/>
      </x:c>
      <x:c r="DA42" s="815" t="str">
        <x:f>IF(BG42="","",IF(VLOOKUP(BG42,SectInfo!$B:$N,7,FALSE)="","",(VLOOKUP(BG42,SectInfo!$B:$N,7,FALSE)*-1)))</x:f>
        <x:v/>
      </x:c>
      <x:c r="DB42" s="815" t="str">
        <x:f>IF(BG42="","",IF(VLOOKUP(BG42,SectInfo!$B:$N,8,FALSE)="",VLOOKUP(AU42,$DF$2:$DN$9,6,FALSE),(VLOOKUP(BG42,SectInfo!$B:$N,8,FALSE))))</x:f>
        <x:v/>
      </x:c>
      <x:c r="DC42" s="815" t="str">
        <x:f>IF(BG42="","",VLOOKUP(BG42,SectInfo!$B:$N,9,FALSE))</x:f>
        <x:v/>
      </x:c>
      <x:c r="DD42" s="816">
        <x:f t="shared" si="49"/>
        <x:v>0</x:v>
      </x:c>
      <x:c r="DE42" s="817" t="str">
        <x:f>IF(BS42="","",VLOOKUP(BS42,SectInfo!$B:$N,12,FALSE))</x:f>
        <x:v/>
      </x:c>
      <x:c r="DF42" s="815" t="str">
        <x:f>IF(BS42="","",IF(ISBLANK(CB42),VLOOKUP(BS42,SectInfo!$B:$N,13,FALSE),CB42))</x:f>
        <x:v/>
      </x:c>
      <x:c r="DG42" s="815" t="str">
        <x:f>IF(BS42="","",IF(VLOOKUP(BS42,SectInfo!$B:$N,5,FALSE)="","R",UPPER(VLOOKUP(BS42,SectInfo!$B:$N,5,FALSE))))</x:f>
        <x:v/>
      </x:c>
      <x:c r="DH42" s="815" t="str">
        <x:f>IF(BS42="","",IF(ISBLANK(CD42),VLOOKUP(BS42,SectInfo!$B:$N,6,FALSE),CD42))</x:f>
        <x:v/>
      </x:c>
      <x:c r="DI42" s="1286" t="str">
        <x:f>IF(BS42="","",IF(VLOOKUP(BS42,SectInfo!$B:$N,10,FALSE)="","",(IF(CA42="X",VLOOKUP(BS42,SectInfo!$B:$N,10,FALSE),VALUE(CA42))*-1)))</x:f>
        <x:v/>
      </x:c>
      <x:c r="DJ42" s="1122" t="str">
        <x:f>IF(BS42="","",IF(VLOOKUP(BS42,SectInfo!$B:$N,11,FALSE)="","2",(VLOOKUP(BS42,SectInfo!$B:$N,11,FALSE))))</x:f>
        <x:v/>
      </x:c>
      <x:c r="DK42" s="815" t="str">
        <x:f>IF(BS42="","",IF(VLOOKUP(BS42,SectInfo!$B:$N,7,FALSE)="","",(VLOOKUP(BS42,SectInfo!$B:$N,7,FALSE)*-1)))</x:f>
        <x:v/>
      </x:c>
      <x:c r="DL42" s="815" t="str">
        <x:f>IF(BS42="","",IF(VLOOKUP(BS42,SectInfo!$B:$N,8,FALSE)="",VLOOKUP(AU42,$DF$2:$DN$9,6,FALSE),(VLOOKUP(BS42,SectInfo!$B:$N,8,FALSE))))</x:f>
        <x:v/>
      </x:c>
      <x:c r="DM42" s="815" t="str">
        <x:f>IF(BS42="","",VLOOKUP(BS42,SectInfo!$B:$N,9,FALSE))</x:f>
        <x:v/>
      </x:c>
      <x:c r="DN42" s="816">
        <x:f t="shared" si="50"/>
        <x:v>0</x:v>
      </x:c>
      <x:c r="DO42" s="818">
        <x:f t="shared" si="51"/>
        <x:v>0</x:v>
      </x:c>
      <x:c r="DP42" s="822" t="str">
        <x:f t="shared" si="52"/>
        <x:v/>
      </x:c>
      <x:c r="DQ42" s="822" t="str">
        <x:f t="shared" si="53"/>
        <x:v/>
      </x:c>
      <x:c r="DR42" s="822" t="str">
        <x:f t="shared" si="54"/>
        <x:v/>
      </x:c>
      <x:c r="DS42" s="821">
        <x:f t="shared" si="55"/>
        <x:v>0</x:v>
      </x:c>
      <x:c r="DT42" s="821">
        <x:f t="shared" si="56"/>
        <x:v>0</x:v>
      </x:c>
      <x:c r="DU42" s="821" t="str">
        <x:f t="shared" si="57"/>
        <x:v/>
      </x:c>
      <x:c r="DV42" s="822" t="str">
        <x:f t="shared" si="58"/>
        <x:v/>
      </x:c>
      <x:c r="DW42" s="856" t="str">
        <x:f t="shared" si="59"/>
        <x:v/>
      </x:c>
      <x:c r="DX42" s="1006">
        <x:f t="shared" si="60"/>
        <x:v>0</x:v>
      </x:c>
      <x:c r="DY42" s="822">
        <x:f t="shared" si="61"/>
        <x:v>0</x:v>
      </x:c>
      <x:c r="DZ42" s="821">
        <x:f t="shared" si="62"/>
        <x:v>0</x:v>
      </x:c>
      <x:c r="EA42" s="821" t="str">
        <x:f t="shared" si="63"/>
        <x:v/>
      </x:c>
      <x:c r="EB42" s="822" t="str">
        <x:f t="shared" si="64"/>
        <x:v/>
      </x:c>
      <x:c r="EC42" s="856" t="str">
        <x:f t="shared" si="65"/>
        <x:v/>
      </x:c>
      <x:c r="ED42" s="1006">
        <x:f t="shared" si="66"/>
        <x:v>0</x:v>
      </x:c>
      <x:c r="EE42" s="1293" t="str">
        <x:f t="shared" si="67"/>
        <x:v/>
      </x:c>
      <x:c r="EF42" s="1293" t="str">
        <x:f t="shared" si="68"/>
        <x:v/>
      </x:c>
      <x:c r="EG42" s="1293" t="str">
        <x:f t="shared" si="69"/>
        <x:v/>
      </x:c>
      <x:c r="EH42" s="856" t="e">
        <x:f t="shared" si="70"/>
        <x:v>#N/A</x:v>
      </x:c>
      <x:c r="EI42" s="856" t="e">
        <x:f t="shared" si="71"/>
        <x:v>#N/A</x:v>
      </x:c>
      <x:c r="EJ42" s="822" t="str">
        <x:f t="shared" si="72"/>
        <x:v/>
      </x:c>
      <x:c r="EK42" s="822" t="str">
        <x:f t="shared" si="72"/>
        <x:v/>
      </x:c>
      <x:c r="EL42" s="1293" t="str">
        <x:f t="shared" si="73"/>
        <x:v/>
      </x:c>
      <x:c r="EM42" s="822" t="str">
        <x:f t="shared" si="74"/>
        <x:v/>
      </x:c>
      <x:c r="EN42" s="822" t="str">
        <x:f t="shared" si="75"/>
        <x:v/>
      </x:c>
      <x:c r="EO42" s="856" t="e">
        <x:f t="shared" si="76"/>
        <x:v>#N/A</x:v>
      </x:c>
      <x:c r="EP42" s="856" t="e">
        <x:f t="shared" si="77"/>
        <x:v>#N/A</x:v>
      </x:c>
      <x:c r="EQ42" s="1293" t="str">
        <x:f t="shared" si="78"/>
        <x:v/>
      </x:c>
      <x:c r="ER42" s="822" t="str">
        <x:f t="shared" si="78"/>
        <x:v/>
      </x:c>
      <x:c r="ES42" s="822" t="str">
        <x:f t="shared" si="79"/>
        <x:v/>
      </x:c>
      <x:c r="ET42" s="822" t="str">
        <x:f t="shared" si="80"/>
        <x:v/>
      </x:c>
      <x:c r="EU42" s="829" t="str">
        <x:f t="shared" si="81"/>
        <x:v/>
      </x:c>
      <x:c r="EV42" s="824" t="str">
        <x:f t="shared" si="82"/>
        <x:v/>
      </x:c>
      <x:c r="EW42" s="829"/>
      <x:c r="EX42" s="829" t="str">
        <x:f>IF(AND(CU42="G", ISBLANK(BK42), ISBLANK(BL42)),VLOOKUP(MIN(BH42:BI42),TblJoistSize!$M$3:$N$10,2),IF(OR(CU42="B",CU42="G"),MIN(BK42:BL42),""))</x:f>
        <x:v/>
      </x:c>
      <x:c r="EY42" s="829" t="str">
        <x:f>IF(AND(CU42="G", ISBLANK(BK42), ISBLANK(BL42)),VLOOKUP(MAX(BH42:BI42),TblJoistSize!$M$3:$N$10,2),IF(OR(CU42="B",CU42="G"),MAX(BK42:BL42),""))</x:f>
        <x:v/>
      </x:c>
      <x:c r="EZ42" s="829" t="str">
        <x:f t="shared" si="83"/>
        <x:v/>
      </x:c>
      <x:c r="FA42" s="829" t="str">
        <x:f>IF(AND(DE42="G", ISBLANK(BW42), ISBLANK(BX42)),VLOOKUP(MIN(BT42:BU42),TblJoistSize!$M$3:$N$10,2),IF(OR(DE42="B", DE42="G"),MIN(BW42:BX42),""))</x:f>
        <x:v/>
      </x:c>
      <x:c r="FB42" s="829" t="str">
        <x:f>IF(AND(DE42="G", ISBLANK(BW42), ISBLANK(BX42)),VLOOKUP(MAX(BT42:BU42),TblJoistSize!$M$3:$N$10,2),IF(OR(DE42="B", DE42="G"),MAX(BW42:BX42),""))</x:f>
        <x:v/>
      </x:c>
      <x:c r="FC42" s="829" t="str">
        <x:f t="shared" si="84"/>
        <x:v/>
      </x:c>
      <x:c r="FD42" s="821">
        <x:f t="shared" si="107"/>
        <x:v>0</x:v>
      </x:c>
      <x:c r="FE42" s="821">
        <x:f t="shared" si="85"/>
        <x:v>0</x:v>
      </x:c>
      <x:c r="FF42" s="821">
        <x:f t="shared" si="86"/>
        <x:v>0</x:v>
      </x:c>
      <x:c r="FG42" s="821" t="str">
        <x:f t="shared" si="87"/>
        <x:v/>
      </x:c>
      <x:c r="FH42" s="822" t="str">
        <x:f t="shared" si="88"/>
        <x:v/>
      </x:c>
      <x:c r="FI42" s="821">
        <x:f t="shared" si="108"/>
        <x:v>0</x:v>
      </x:c>
      <x:c r="FJ42" s="821">
        <x:f t="shared" si="89"/>
        <x:v>0</x:v>
      </x:c>
      <x:c r="FK42" s="821">
        <x:f t="shared" si="90"/>
        <x:v>0</x:v>
      </x:c>
      <x:c r="FL42" s="821" t="str">
        <x:f t="shared" si="91"/>
        <x:v/>
      </x:c>
      <x:c r="FM42" s="822" t="str">
        <x:f t="shared" si="92"/>
        <x:v/>
      </x:c>
      <x:c r="FN42" s="822" t="e">
        <x:f t="shared" si="93"/>
        <x:v>#VALUE!</x:v>
      </x:c>
      <x:c r="FO42" s="940" t="e">
        <x:f t="shared" si="94"/>
        <x:v>#VALUE!</x:v>
      </x:c>
      <x:c r="FP42" s="940" t="e">
        <x:f t="shared" si="95"/>
        <x:v>#VALUE!</x:v>
      </x:c>
      <x:c r="FQ42" s="830" t="e">
        <x:f t="shared" si="96"/>
        <x:v>#VALUE!</x:v>
      </x:c>
      <x:c r="FR42" s="831" t="e">
        <x:f t="shared" si="97"/>
        <x:v>#VALUE!</x:v>
      </x:c>
      <x:c r="FS42" s="832" t="str">
        <x:f t="shared" si="98"/>
        <x:v/>
      </x:c>
      <x:c r="FT42" s="833" t="str">
        <x:f t="shared" si="99"/>
        <x:v/>
      </x:c>
      <x:c r="FU42" s="870">
        <x:f t="shared" si="100"/>
        <x:v>0</x:v>
      </x:c>
      <x:c r="FV42" s="871">
        <x:f t="shared" si="101"/>
        <x:v>0</x:v>
      </x:c>
      <x:c r="GA42" s="1791" t="str">
        <x:f t="shared" si="119"/>
        <x:v/>
      </x:c>
      <x:c r="GB42" s="1792" t="str">
        <x:f t="shared" si="120"/>
        <x:v/>
      </x:c>
      <x:c r="GC42" s="1793" t="str">
        <x:f t="shared" si="121"/>
        <x:v/>
      </x:c>
      <x:c r="GD42" s="1794" t="str">
        <x:f t="shared" si="122"/>
        <x:v/>
      </x:c>
      <x:c r="GE42" s="1795" t="str">
        <x:f t="shared" si="102"/>
        <x:v/>
      </x:c>
      <x:c r="GF42" s="600" t="str">
        <x:f t="shared" si="103"/>
        <x:v/>
      </x:c>
      <x:c r="GG42" s="1130"/>
      <x:c r="GH42" s="1131"/>
      <x:c r="GI42" s="1130"/>
      <x:c r="GJ42" s="1131"/>
      <x:c r="GK42" s="1638">
        <x:f t="shared" si="104"/>
        <x:v>0</x:v>
      </x:c>
      <x:c r="GL42" s="1636" t="e">
        <x:f t="shared" si="105"/>
        <x:v>#VALUE!</x:v>
      </x:c>
      <x:c r="GM42" s="1637" t="e">
        <x:f>IF(ABS(GK42-GL42)&gt;='Job Info.'!$L$22,ABS(GK42-GL42),0)</x:f>
        <x:v>#VALUE!</x:v>
      </x:c>
      <x:c r="HA42" s="1269"/>
      <x:c r="HB42" s="1270"/>
      <x:c r="HC42" s="1270"/>
      <x:c r="HD42" s="1271"/>
      <x:c r="HE42" s="1272"/>
      <x:c r="HF42" s="1270"/>
      <x:c r="HG42" s="1270"/>
      <x:c r="HH42" s="1270"/>
      <x:c r="HI42" s="1273"/>
      <x:c r="HJ42" s="1270"/>
      <x:c r="HK42" s="1270"/>
      <x:c r="HL42" s="1270"/>
      <x:c r="HM42" s="1270"/>
      <x:c r="HN42" s="1270"/>
      <x:c r="HO42" s="1270"/>
      <x:c r="HP42" s="1270"/>
      <x:c r="HQ42" s="1273"/>
      <x:c r="HR42" s="1270"/>
      <x:c r="HS42" s="1270"/>
      <x:c r="HT42" s="1270"/>
      <x:c r="HU42" s="1270"/>
      <x:c r="HV42" s="1270"/>
      <x:c r="HW42" s="1272"/>
      <x:c r="HX42" s="1272"/>
      <x:c r="HY42" s="1272"/>
      <x:c r="HZ42" s="1272"/>
      <x:c r="IA42" s="1272"/>
      <x:c r="IB42" s="1272"/>
      <x:c r="IC42" s="1272"/>
      <x:c r="ID42" s="1272"/>
      <x:c r="IE42" s="1272"/>
      <x:c r="IF42" s="1274"/>
    </x:row>
    <x:row r="43" spans="1:240" ht="12.6" customHeight="1" x14ac:dyDescent="0.25">
      <x:c r="A43" s="2764" t="str">
        <x:f t="shared" si="109"/>
        <x:v/>
      </x:c>
      <x:c r="B43" s="2765"/>
      <x:c r="C43" s="2766" t="str">
        <x:f t="shared" si="110"/>
        <x:v/>
      </x:c>
      <x:c r="D43" s="2767" t="str">
        <x:f t="shared" si="111"/>
        <x:v/>
      </x:c>
      <x:c r="E43" s="2768" t="str">
        <x:f t="shared" si="112"/>
        <x:v/>
      </x:c>
      <x:c r="F43" s="2776" t="str">
        <x:f t="shared" si="1"/>
        <x:v/>
      </x:c>
      <x:c r="G43" s="2771" t="str">
        <x:f t="shared" si="2"/>
        <x:v/>
      </x:c>
      <x:c r="H43" s="2842" t="str">
        <x:f t="shared" si="3"/>
        <x:v/>
      </x:c>
      <x:c r="I43" s="2767" t="str">
        <x:f t="shared" si="4"/>
        <x:v/>
      </x:c>
      <x:c r="J43" s="2771" t="str">
        <x:f t="shared" si="5"/>
        <x:v/>
      </x:c>
      <x:c r="K43" s="2855" t="str">
        <x:f t="shared" si="6"/>
        <x:v/>
      </x:c>
      <x:c r="L43" s="2774" t="str">
        <x:f t="shared" si="113"/>
        <x:v/>
      </x:c>
      <x:c r="M43" s="2775" t="str">
        <x:f t="shared" si="113"/>
        <x:v/>
      </x:c>
      <x:c r="N43" s="2770" t="str">
        <x:f t="shared" si="7"/>
        <x:v/>
      </x:c>
      <x:c r="O43" s="2771" t="str">
        <x:f t="shared" si="8"/>
        <x:v/>
      </x:c>
      <x:c r="P43" s="2772" t="str">
        <x:f t="shared" si="9"/>
        <x:v/>
      </x:c>
      <x:c r="Q43" s="2767" t="str">
        <x:f t="shared" si="10"/>
        <x:v/>
      </x:c>
      <x:c r="R43" s="2771" t="str">
        <x:f t="shared" si="11"/>
        <x:v/>
      </x:c>
      <x:c r="S43" s="2773" t="str">
        <x:f t="shared" si="12"/>
        <x:v/>
      </x:c>
      <x:c r="T43" s="2776" t="str">
        <x:f t="shared" si="114"/>
        <x:v/>
      </x:c>
      <x:c r="U43" s="2771" t="str">
        <x:f t="shared" si="115"/>
        <x:v/>
      </x:c>
      <x:c r="V43" s="2767" t="str">
        <x:f t="shared" si="116"/>
        <x:v/>
      </x:c>
      <x:c r="W43" s="2771" t="str">
        <x:f t="shared" si="117"/>
        <x:v/>
      </x:c>
      <x:c r="X43" s="2775">
        <x:f t="shared" si="118"/>
        <x:v>0</x:v>
      </x:c>
      <x:c r="Y43" s="2844" t="str">
        <x:f t="shared" si="13"/>
        <x:v/>
      </x:c>
      <x:c r="Z43" s="2845" t="str">
        <x:f t="shared" si="14"/>
        <x:v/>
      </x:c>
      <x:c r="AA43" s="2846" t="s">
        <x:v>116</x:v>
      </x:c>
      <x:c r="AB43" s="1413"/>
      <x:c r="AC43" s="964" t="b">
        <x:v>0</x:v>
      </x:c>
      <x:c r="AD43" s="441">
        <x:f t="shared" si="15"/>
        <x:v>0</x:v>
      </x:c>
      <x:c r="AE43" s="442">
        <x:f t="shared" si="16"/>
        <x:v>0</x:v>
      </x:c>
      <x:c r="AF43" s="442">
        <x:f t="shared" si="17"/>
        <x:v>0</x:v>
      </x:c>
      <x:c r="AG43" s="442">
        <x:f t="shared" si="18"/>
        <x:v>0</x:v>
      </x:c>
      <x:c r="AH43" s="443">
        <x:f t="shared" si="19"/>
        <x:v>0</x:v>
      </x:c>
      <x:c r="AI43" s="444" t="b">
        <x:v>0</x:v>
      </x:c>
      <x:c r="AJ43" s="238">
        <x:f t="shared" si="20"/>
        <x:v>0</x:v>
      </x:c>
      <x:c r="AK43" s="830" t="str">
        <x:f t="shared" si="21"/>
        <x:v/>
      </x:c>
      <x:c r="AL43" s="945" t="str">
        <x:f t="shared" si="22"/>
        <x:v/>
      </x:c>
      <x:c r="AM43" s="830" t="str">
        <x:f t="shared" si="23"/>
        <x:v/>
      </x:c>
      <x:c r="AN43" s="830" t="str">
        <x:f t="shared" si="24"/>
        <x:v/>
      </x:c>
      <x:c r="AO43" s="830" t="str">
        <x:f t="shared" si="25"/>
        <x:v/>
      </x:c>
      <x:c r="AP43" s="830" t="b">
        <x:f>IF(ISERROR(AJ43),FALSE,IF(OR(AJ43=0,ISERROR(AL43),ISERROR(AM43),ISERROR(AN43),ISERROR(AO43)),FALSE,IF(AL43&lt;&gt;"",IF(ISERROR(VLOOKUP(SUBSTITUTE(SUBSTITUTE(C43,"R",""),"A",""),TblJoistSize!$A:$A,1,FALSE)),FALSE,TRUE),TRUE)))</x:f>
        <x:v>0</x:v>
      </x:c>
      <x:c r="AQ43" s="1038" t="e">
        <x:f t="shared" si="26"/>
        <x:v>#N/A</x:v>
      </x:c>
      <x:c r="AR43" s="945" t="b">
        <x:f t="shared" si="27"/>
        <x:v>0</x:v>
      </x:c>
      <x:c r="AS43" s="1038" t="e">
        <x:f t="shared" si="28"/>
        <x:v>#N/A</x:v>
      </x:c>
      <x:c r="AT43" s="945" t="b">
        <x:f t="shared" si="29"/>
        <x:v>0</x:v>
      </x:c>
      <x:c r="AU43" s="946" t="str">
        <x:f t="shared" si="30"/>
        <x:v/>
      </x:c>
      <x:c r="AV43" s="830" t="str">
        <x:f t="shared" si="31"/>
        <x:v/>
      </x:c>
      <x:c r="AW43" s="830" t="str">
        <x:f t="shared" si="32"/>
        <x:v/>
      </x:c>
      <x:c r="AX43" s="830" t="str">
        <x:f t="shared" si="106"/>
        <x:v/>
      </x:c>
      <x:c r="AY43" s="1039" t="b">
        <x:f t="shared" si="33"/>
        <x:v>0</x:v>
      </x:c>
      <x:c r="AZ43" s="856" t="str">
        <x:f t="shared" si="34"/>
        <x:v/>
      </x:c>
      <x:c r="BA43" s="549"/>
      <x:c r="BB43" s="672"/>
      <x:c r="BC43" s="1684"/>
      <x:c r="BD43" s="733"/>
      <x:c r="BE43" s="734"/>
      <x:c r="BF43" s="735"/>
      <x:c r="BG43" s="672"/>
      <x:c r="BH43" s="982"/>
      <x:c r="BI43" s="983"/>
      <x:c r="BJ43" s="1625"/>
      <x:c r="BK43" s="713"/>
      <x:c r="BL43" s="714"/>
      <x:c r="BM43" s="715"/>
      <x:c r="BN43" s="716"/>
      <x:c r="BO43" s="672" t="str">
        <x:f>IF(ISERROR(CU43),"",IF(CU43="","",IF(VLOOKUP(BG43,SectInfo!$B:$N,10,FALSE)="","","X")))</x:f>
        <x:v/>
      </x:c>
      <x:c r="BP43" s="738"/>
      <x:c r="BQ43" s="1551" t="str">
        <x:f t="shared" si="35"/>
        <x:v/>
      </x:c>
      <x:c r="BR43" s="910"/>
      <x:c r="BS43" s="672"/>
      <x:c r="BT43" s="713"/>
      <x:c r="BU43" s="714"/>
      <x:c r="BV43" s="1625"/>
      <x:c r="BW43" s="713"/>
      <x:c r="BX43" s="714"/>
      <x:c r="BY43" s="715"/>
      <x:c r="BZ43" s="716"/>
      <x:c r="CA43" s="680" t="str">
        <x:f>IF(ISERROR(DE43),"",IF(DE43="","",IF(VLOOKUP(BS43,SectInfo!$B:$N,10,FALSE)="","","X")))</x:f>
        <x:v/>
      </x:c>
      <x:c r="CB43" s="738"/>
      <x:c r="CC43" s="1551" t="str">
        <x:f t="shared" si="36"/>
        <x:v/>
      </x:c>
      <x:c r="CD43" s="910"/>
      <x:c r="CE43" s="717"/>
      <x:c r="CF43" s="736"/>
      <x:c r="CG43" s="737"/>
      <x:c r="CH43" s="591" t="str">
        <x:f t="shared" si="37"/>
        <x:v/>
      </x:c>
      <x:c r="CI43" s="592" t="str">
        <x:f t="shared" si="38"/>
        <x:v/>
      </x:c>
      <x:c r="CJ43" s="593" t="str">
        <x:f t="shared" si="39"/>
        <x:v/>
      </x:c>
      <x:c r="CK43" s="594" t="str">
        <x:f t="shared" si="40"/>
        <x:v/>
      </x:c>
      <x:c r="CL43" s="595" t="str">
        <x:f t="shared" si="41"/>
        <x:v/>
      </x:c>
      <x:c r="CM43" s="596" t="str">
        <x:f t="shared" si="42"/>
        <x:v/>
      </x:c>
      <x:c r="CN43" s="597" t="str">
        <x:f t="shared" si="43"/>
        <x:v/>
      </x:c>
      <x:c r="CO43" s="598" t="str">
        <x:f t="shared" si="44"/>
        <x:v/>
      </x:c>
      <x:c r="CP43" s="615" t="str">
        <x:f t="shared" si="45"/>
        <x:v/>
      </x:c>
      <x:c r="CQ43" s="616" t="str">
        <x:f t="shared" si="46"/>
        <x:v/>
      </x:c>
      <x:c r="CR43" s="750" t="str">
        <x:f t="shared" si="47"/>
        <x:v/>
      </x:c>
      <x:c r="CS43" s="751" t="str">
        <x:f t="shared" si="48"/>
        <x:v/>
      </x:c>
      <x:c r="CU43" s="817" t="str">
        <x:f>IF(BG43="","",VLOOKUP(BG43,SectInfo!$B:$N,12,FALSE))</x:f>
        <x:v/>
      </x:c>
      <x:c r="CV43" s="815" t="str">
        <x:f>IF(BG43="","",IF(ISBLANK(BP43),VLOOKUP(BG43,SectInfo!$B:$N,13,FALSE),BP43))</x:f>
        <x:v/>
      </x:c>
      <x:c r="CW43" s="815" t="str">
        <x:f>IF(BG43="","",IF(VLOOKUP(BG43,SectInfo!$B:$N,5,FALSE)="","R",UPPER(VLOOKUP(BG43,SectInfo!$B:$N,5,FALSE))))</x:f>
        <x:v/>
      </x:c>
      <x:c r="CX43" s="815" t="str">
        <x:f>IF(BG43="","",IF(ISBLANK(BR43),VLOOKUP(BG43,SectInfo!$B:$N,6,FALSE),BR43))</x:f>
        <x:v/>
      </x:c>
      <x:c r="CY43" s="1286" t="str">
        <x:f>IF(BG43="","",IF(VLOOKUP(BG43,SectInfo!$B:$N,10,FALSE)="","",(IF(BO43="X",VLOOKUP(BG43,SectInfo!$B:$N,10,FALSE),VALUE(BO43))*-1)))</x:f>
        <x:v/>
      </x:c>
      <x:c r="CZ43" s="1122" t="str">
        <x:f>IF(BG43="","",IF(VLOOKUP(BG43,SectInfo!$B:$N,11,FALSE)="","2",(VLOOKUP(BG43,SectInfo!$B:$N,11,FALSE))))</x:f>
        <x:v/>
      </x:c>
      <x:c r="DA43" s="815" t="str">
        <x:f>IF(BG43="","",IF(VLOOKUP(BG43,SectInfo!$B:$N,7,FALSE)="","",(VLOOKUP(BG43,SectInfo!$B:$N,7,FALSE)*-1)))</x:f>
        <x:v/>
      </x:c>
      <x:c r="DB43" s="815" t="str">
        <x:f>IF(BG43="","",IF(VLOOKUP(BG43,SectInfo!$B:$N,8,FALSE)="",VLOOKUP(AU43,$DF$2:$DN$9,6,FALSE),(VLOOKUP(BG43,SectInfo!$B:$N,8,FALSE))))</x:f>
        <x:v/>
      </x:c>
      <x:c r="DC43" s="815" t="str">
        <x:f>IF(BG43="","",VLOOKUP(BG43,SectInfo!$B:$N,9,FALSE))</x:f>
        <x:v/>
      </x:c>
      <x:c r="DD43" s="816">
        <x:f t="shared" si="49"/>
        <x:v>0</x:v>
      </x:c>
      <x:c r="DE43" s="817" t="str">
        <x:f>IF(BS43="","",VLOOKUP(BS43,SectInfo!$B:$N,12,FALSE))</x:f>
        <x:v/>
      </x:c>
      <x:c r="DF43" s="815" t="str">
        <x:f>IF(BS43="","",IF(ISBLANK(CB43),VLOOKUP(BS43,SectInfo!$B:$N,13,FALSE),CB43))</x:f>
        <x:v/>
      </x:c>
      <x:c r="DG43" s="815" t="str">
        <x:f>IF(BS43="","",IF(VLOOKUP(BS43,SectInfo!$B:$N,5,FALSE)="","R",UPPER(VLOOKUP(BS43,SectInfo!$B:$N,5,FALSE))))</x:f>
        <x:v/>
      </x:c>
      <x:c r="DH43" s="815" t="str">
        <x:f>IF(BS43="","",IF(ISBLANK(CD43),VLOOKUP(BS43,SectInfo!$B:$N,6,FALSE),CD43))</x:f>
        <x:v/>
      </x:c>
      <x:c r="DI43" s="1286" t="str">
        <x:f>IF(BS43="","",IF(VLOOKUP(BS43,SectInfo!$B:$N,10,FALSE)="","",(IF(CA43="X",VLOOKUP(BS43,SectInfo!$B:$N,10,FALSE),VALUE(CA43))*-1)))</x:f>
        <x:v/>
      </x:c>
      <x:c r="DJ43" s="1122" t="str">
        <x:f>IF(BS43="","",IF(VLOOKUP(BS43,SectInfo!$B:$N,11,FALSE)="","2",(VLOOKUP(BS43,SectInfo!$B:$N,11,FALSE))))</x:f>
        <x:v/>
      </x:c>
      <x:c r="DK43" s="815" t="str">
        <x:f>IF(BS43="","",IF(VLOOKUP(BS43,SectInfo!$B:$N,7,FALSE)="","",(VLOOKUP(BS43,SectInfo!$B:$N,7,FALSE)*-1)))</x:f>
        <x:v/>
      </x:c>
      <x:c r="DL43" s="815" t="str">
        <x:f>IF(BS43="","",IF(VLOOKUP(BS43,SectInfo!$B:$N,8,FALSE)="",VLOOKUP(AU43,$DF$2:$DN$9,6,FALSE),(VLOOKUP(BS43,SectInfo!$B:$N,8,FALSE))))</x:f>
        <x:v/>
      </x:c>
      <x:c r="DM43" s="815" t="str">
        <x:f>IF(BS43="","",VLOOKUP(BS43,SectInfo!$B:$N,9,FALSE))</x:f>
        <x:v/>
      </x:c>
      <x:c r="DN43" s="816">
        <x:f t="shared" si="50"/>
        <x:v>0</x:v>
      </x:c>
      <x:c r="DO43" s="818">
        <x:f t="shared" si="51"/>
        <x:v>0</x:v>
      </x:c>
      <x:c r="DP43" s="822" t="str">
        <x:f t="shared" si="52"/>
        <x:v/>
      </x:c>
      <x:c r="DQ43" s="822" t="str">
        <x:f t="shared" si="53"/>
        <x:v/>
      </x:c>
      <x:c r="DR43" s="822" t="str">
        <x:f t="shared" si="54"/>
        <x:v/>
      </x:c>
      <x:c r="DS43" s="821">
        <x:f t="shared" si="55"/>
        <x:v>0</x:v>
      </x:c>
      <x:c r="DT43" s="821">
        <x:f t="shared" si="56"/>
        <x:v>0</x:v>
      </x:c>
      <x:c r="DU43" s="821" t="str">
        <x:f t="shared" si="57"/>
        <x:v/>
      </x:c>
      <x:c r="DV43" s="822" t="str">
        <x:f t="shared" si="58"/>
        <x:v/>
      </x:c>
      <x:c r="DW43" s="856" t="str">
        <x:f t="shared" si="59"/>
        <x:v/>
      </x:c>
      <x:c r="DX43" s="1006">
        <x:f t="shared" si="60"/>
        <x:v>0</x:v>
      </x:c>
      <x:c r="DY43" s="822">
        <x:f t="shared" si="61"/>
        <x:v>0</x:v>
      </x:c>
      <x:c r="DZ43" s="821">
        <x:f t="shared" si="62"/>
        <x:v>0</x:v>
      </x:c>
      <x:c r="EA43" s="821" t="str">
        <x:f t="shared" si="63"/>
        <x:v/>
      </x:c>
      <x:c r="EB43" s="822" t="str">
        <x:f t="shared" si="64"/>
        <x:v/>
      </x:c>
      <x:c r="EC43" s="856" t="str">
        <x:f t="shared" si="65"/>
        <x:v/>
      </x:c>
      <x:c r="ED43" s="1006">
        <x:f t="shared" si="66"/>
        <x:v>0</x:v>
      </x:c>
      <x:c r="EE43" s="1293" t="str">
        <x:f t="shared" si="67"/>
        <x:v/>
      </x:c>
      <x:c r="EF43" s="1293" t="str">
        <x:f t="shared" si="68"/>
        <x:v/>
      </x:c>
      <x:c r="EG43" s="1293" t="str">
        <x:f t="shared" si="69"/>
        <x:v/>
      </x:c>
      <x:c r="EH43" s="856" t="e">
        <x:f t="shared" si="70"/>
        <x:v>#N/A</x:v>
      </x:c>
      <x:c r="EI43" s="856" t="e">
        <x:f t="shared" si="71"/>
        <x:v>#N/A</x:v>
      </x:c>
      <x:c r="EJ43" s="822" t="str">
        <x:f t="shared" si="72"/>
        <x:v/>
      </x:c>
      <x:c r="EK43" s="822" t="str">
        <x:f t="shared" si="72"/>
        <x:v/>
      </x:c>
      <x:c r="EL43" s="1293" t="str">
        <x:f t="shared" si="73"/>
        <x:v/>
      </x:c>
      <x:c r="EM43" s="822" t="str">
        <x:f t="shared" si="74"/>
        <x:v/>
      </x:c>
      <x:c r="EN43" s="822" t="str">
        <x:f t="shared" si="75"/>
        <x:v/>
      </x:c>
      <x:c r="EO43" s="856" t="e">
        <x:f t="shared" si="76"/>
        <x:v>#N/A</x:v>
      </x:c>
      <x:c r="EP43" s="856" t="e">
        <x:f t="shared" si="77"/>
        <x:v>#N/A</x:v>
      </x:c>
      <x:c r="EQ43" s="1293" t="str">
        <x:f t="shared" si="78"/>
        <x:v/>
      </x:c>
      <x:c r="ER43" s="822" t="str">
        <x:f t="shared" si="78"/>
        <x:v/>
      </x:c>
      <x:c r="ES43" s="822" t="str">
        <x:f t="shared" si="79"/>
        <x:v/>
      </x:c>
      <x:c r="ET43" s="822" t="str">
        <x:f t="shared" si="80"/>
        <x:v/>
      </x:c>
      <x:c r="EU43" s="829" t="str">
        <x:f t="shared" si="81"/>
        <x:v/>
      </x:c>
      <x:c r="EV43" s="824" t="str">
        <x:f t="shared" si="82"/>
        <x:v/>
      </x:c>
      <x:c r="EW43" s="829"/>
      <x:c r="EX43" s="829" t="str">
        <x:f>IF(AND(CU43="G", ISBLANK(BK43), ISBLANK(BL43)),VLOOKUP(MIN(BH43:BI43),TblJoistSize!$M$3:$N$10,2),IF(OR(CU43="B",CU43="G"),MIN(BK43:BL43),""))</x:f>
        <x:v/>
      </x:c>
      <x:c r="EY43" s="829" t="str">
        <x:f>IF(AND(CU43="G", ISBLANK(BK43), ISBLANK(BL43)),VLOOKUP(MAX(BH43:BI43),TblJoistSize!$M$3:$N$10,2),IF(OR(CU43="B",CU43="G"),MAX(BK43:BL43),""))</x:f>
        <x:v/>
      </x:c>
      <x:c r="EZ43" s="829" t="str">
        <x:f t="shared" si="83"/>
        <x:v/>
      </x:c>
      <x:c r="FA43" s="829" t="str">
        <x:f>IF(AND(DE43="G", ISBLANK(BW43), ISBLANK(BX43)),VLOOKUP(MIN(BT43:BU43),TblJoistSize!$M$3:$N$10,2),IF(OR(DE43="B", DE43="G"),MIN(BW43:BX43),""))</x:f>
        <x:v/>
      </x:c>
      <x:c r="FB43" s="829" t="str">
        <x:f>IF(AND(DE43="G", ISBLANK(BW43), ISBLANK(BX43)),VLOOKUP(MAX(BT43:BU43),TblJoistSize!$M$3:$N$10,2),IF(OR(DE43="B", DE43="G"),MAX(BW43:BX43),""))</x:f>
        <x:v/>
      </x:c>
      <x:c r="FC43" s="829" t="str">
        <x:f t="shared" si="84"/>
        <x:v/>
      </x:c>
      <x:c r="FD43" s="821">
        <x:f t="shared" si="107"/>
        <x:v>0</x:v>
      </x:c>
      <x:c r="FE43" s="821">
        <x:f t="shared" si="85"/>
        <x:v>0</x:v>
      </x:c>
      <x:c r="FF43" s="821">
        <x:f t="shared" si="86"/>
        <x:v>0</x:v>
      </x:c>
      <x:c r="FG43" s="821" t="str">
        <x:f t="shared" si="87"/>
        <x:v/>
      </x:c>
      <x:c r="FH43" s="822" t="str">
        <x:f t="shared" si="88"/>
        <x:v/>
      </x:c>
      <x:c r="FI43" s="821">
        <x:f t="shared" si="108"/>
        <x:v>0</x:v>
      </x:c>
      <x:c r="FJ43" s="821">
        <x:f t="shared" si="89"/>
        <x:v>0</x:v>
      </x:c>
      <x:c r="FK43" s="821">
        <x:f t="shared" si="90"/>
        <x:v>0</x:v>
      </x:c>
      <x:c r="FL43" s="821" t="str">
        <x:f t="shared" si="91"/>
        <x:v/>
      </x:c>
      <x:c r="FM43" s="822" t="str">
        <x:f t="shared" si="92"/>
        <x:v/>
      </x:c>
      <x:c r="FN43" s="822" t="e">
        <x:f t="shared" si="93"/>
        <x:v>#VALUE!</x:v>
      </x:c>
      <x:c r="FO43" s="940" t="e">
        <x:f t="shared" si="94"/>
        <x:v>#VALUE!</x:v>
      </x:c>
      <x:c r="FP43" s="940" t="e">
        <x:f t="shared" si="95"/>
        <x:v>#VALUE!</x:v>
      </x:c>
      <x:c r="FQ43" s="830" t="e">
        <x:f t="shared" si="96"/>
        <x:v>#VALUE!</x:v>
      </x:c>
      <x:c r="FR43" s="831" t="e">
        <x:f t="shared" si="97"/>
        <x:v>#VALUE!</x:v>
      </x:c>
      <x:c r="FS43" s="832" t="str">
        <x:f t="shared" si="98"/>
        <x:v/>
      </x:c>
      <x:c r="FT43" s="833" t="str">
        <x:f t="shared" si="99"/>
        <x:v/>
      </x:c>
      <x:c r="FU43" s="870">
        <x:f t="shared" si="100"/>
        <x:v>0</x:v>
      </x:c>
      <x:c r="FV43" s="871">
        <x:f t="shared" si="101"/>
        <x:v>0</x:v>
      </x:c>
      <x:c r="GA43" s="1791" t="str">
        <x:f t="shared" si="119"/>
        <x:v/>
      </x:c>
      <x:c r="GB43" s="1792" t="str">
        <x:f t="shared" si="120"/>
        <x:v/>
      </x:c>
      <x:c r="GC43" s="1793" t="str">
        <x:f t="shared" si="121"/>
        <x:v/>
      </x:c>
      <x:c r="GD43" s="1794" t="str">
        <x:f t="shared" si="122"/>
        <x:v/>
      </x:c>
      <x:c r="GE43" s="1795" t="str">
        <x:f t="shared" si="102"/>
        <x:v/>
      </x:c>
      <x:c r="GF43" s="600" t="str">
        <x:f t="shared" si="103"/>
        <x:v/>
      </x:c>
      <x:c r="GG43" s="1130"/>
      <x:c r="GH43" s="1131"/>
      <x:c r="GI43" s="1130"/>
      <x:c r="GJ43" s="1131"/>
      <x:c r="GK43" s="1638">
        <x:f t="shared" si="104"/>
        <x:v>0</x:v>
      </x:c>
      <x:c r="GL43" s="1636" t="e">
        <x:f t="shared" si="105"/>
        <x:v>#VALUE!</x:v>
      </x:c>
      <x:c r="GM43" s="1637" t="e">
        <x:f>IF(ABS(GK43-GL43)&gt;='Job Info.'!$L$22,ABS(GK43-GL43),0)</x:f>
        <x:v>#VALUE!</x:v>
      </x:c>
      <x:c r="HA43" s="1269"/>
      <x:c r="HB43" s="1270"/>
      <x:c r="HC43" s="1270"/>
      <x:c r="HD43" s="1271"/>
      <x:c r="HE43" s="1272"/>
      <x:c r="HF43" s="1270"/>
      <x:c r="HG43" s="1270"/>
      <x:c r="HH43" s="1270"/>
      <x:c r="HI43" s="1273"/>
      <x:c r="HJ43" s="1270"/>
      <x:c r="HK43" s="1270"/>
      <x:c r="HL43" s="1270"/>
      <x:c r="HM43" s="1270"/>
      <x:c r="HN43" s="1270"/>
      <x:c r="HO43" s="1270"/>
      <x:c r="HP43" s="1270"/>
      <x:c r="HQ43" s="1273"/>
      <x:c r="HR43" s="1270"/>
      <x:c r="HS43" s="1270"/>
      <x:c r="HT43" s="1270"/>
      <x:c r="HU43" s="1270"/>
      <x:c r="HV43" s="1270"/>
      <x:c r="HW43" s="1272"/>
      <x:c r="HX43" s="1272"/>
      <x:c r="HY43" s="1272"/>
      <x:c r="HZ43" s="1272"/>
      <x:c r="IA43" s="1272"/>
      <x:c r="IB43" s="1272"/>
      <x:c r="IC43" s="1272"/>
      <x:c r="ID43" s="1272"/>
      <x:c r="IE43" s="1272"/>
      <x:c r="IF43" s="1274"/>
    </x:row>
    <x:row r="44" spans="1:240" ht="12.6" customHeight="1" x14ac:dyDescent="0.25">
      <x:c r="A44" s="2764" t="str">
        <x:f t="shared" si="109"/>
        <x:v/>
      </x:c>
      <x:c r="B44" s="2765"/>
      <x:c r="C44" s="2766" t="str">
        <x:f t="shared" si="110"/>
        <x:v/>
      </x:c>
      <x:c r="D44" s="2767" t="str">
        <x:f t="shared" si="111"/>
        <x:v/>
      </x:c>
      <x:c r="E44" s="2768" t="str">
        <x:f t="shared" si="112"/>
        <x:v/>
      </x:c>
      <x:c r="F44" s="2776" t="str">
        <x:f t="shared" si="1"/>
        <x:v/>
      </x:c>
      <x:c r="G44" s="2771" t="str">
        <x:f t="shared" si="2"/>
        <x:v/>
      </x:c>
      <x:c r="H44" s="2842" t="str">
        <x:f t="shared" si="3"/>
        <x:v/>
      </x:c>
      <x:c r="I44" s="2767" t="str">
        <x:f t="shared" si="4"/>
        <x:v/>
      </x:c>
      <x:c r="J44" s="2771" t="str">
        <x:f t="shared" si="5"/>
        <x:v/>
      </x:c>
      <x:c r="K44" s="2855" t="str">
        <x:f t="shared" si="6"/>
        <x:v/>
      </x:c>
      <x:c r="L44" s="2774" t="str">
        <x:f t="shared" si="113"/>
        <x:v/>
      </x:c>
      <x:c r="M44" s="2775" t="str">
        <x:f t="shared" si="113"/>
        <x:v/>
      </x:c>
      <x:c r="N44" s="2770" t="str">
        <x:f t="shared" si="7"/>
        <x:v/>
      </x:c>
      <x:c r="O44" s="2771" t="str">
        <x:f t="shared" si="8"/>
        <x:v/>
      </x:c>
      <x:c r="P44" s="2772" t="str">
        <x:f t="shared" si="9"/>
        <x:v/>
      </x:c>
      <x:c r="Q44" s="2767" t="str">
        <x:f t="shared" si="10"/>
        <x:v/>
      </x:c>
      <x:c r="R44" s="2771" t="str">
        <x:f t="shared" si="11"/>
        <x:v/>
      </x:c>
      <x:c r="S44" s="2773" t="str">
        <x:f t="shared" si="12"/>
        <x:v/>
      </x:c>
      <x:c r="T44" s="2776" t="str">
        <x:f t="shared" si="114"/>
        <x:v/>
      </x:c>
      <x:c r="U44" s="2771" t="str">
        <x:f t="shared" si="115"/>
        <x:v/>
      </x:c>
      <x:c r="V44" s="2767" t="str">
        <x:f t="shared" si="116"/>
        <x:v/>
      </x:c>
      <x:c r="W44" s="2771" t="str">
        <x:f t="shared" si="117"/>
        <x:v/>
      </x:c>
      <x:c r="X44" s="2775">
        <x:f t="shared" si="118"/>
        <x:v>0</x:v>
      </x:c>
      <x:c r="Y44" s="2844" t="str">
        <x:f t="shared" si="13"/>
        <x:v/>
      </x:c>
      <x:c r="Z44" s="2845" t="str">
        <x:f t="shared" si="14"/>
        <x:v/>
      </x:c>
      <x:c r="AA44" s="2846" t="s">
        <x:v>116</x:v>
      </x:c>
      <x:c r="AB44" s="1413"/>
      <x:c r="AC44" s="964" t="b">
        <x:v>0</x:v>
      </x:c>
      <x:c r="AD44" s="441">
        <x:f t="shared" si="15"/>
        <x:v>0</x:v>
      </x:c>
      <x:c r="AE44" s="442">
        <x:f t="shared" si="16"/>
        <x:v>0</x:v>
      </x:c>
      <x:c r="AF44" s="442">
        <x:f t="shared" si="17"/>
        <x:v>0</x:v>
      </x:c>
      <x:c r="AG44" s="442">
        <x:f t="shared" si="18"/>
        <x:v>0</x:v>
      </x:c>
      <x:c r="AH44" s="443">
        <x:f t="shared" si="19"/>
        <x:v>0</x:v>
      </x:c>
      <x:c r="AI44" s="444" t="b">
        <x:v>0</x:v>
      </x:c>
      <x:c r="AJ44" s="238">
        <x:f t="shared" si="20"/>
        <x:v>0</x:v>
      </x:c>
      <x:c r="AK44" s="830" t="str">
        <x:f t="shared" si="21"/>
        <x:v/>
      </x:c>
      <x:c r="AL44" s="945" t="str">
        <x:f t="shared" si="22"/>
        <x:v/>
      </x:c>
      <x:c r="AM44" s="830" t="str">
        <x:f t="shared" si="23"/>
        <x:v/>
      </x:c>
      <x:c r="AN44" s="830" t="str">
        <x:f t="shared" si="24"/>
        <x:v/>
      </x:c>
      <x:c r="AO44" s="830" t="str">
        <x:f t="shared" si="25"/>
        <x:v/>
      </x:c>
      <x:c r="AP44" s="830" t="b">
        <x:f>IF(ISERROR(AJ44),FALSE,IF(OR(AJ44=0,ISERROR(AL44),ISERROR(AM44),ISERROR(AN44),ISERROR(AO44)),FALSE,IF(AL44&lt;&gt;"",IF(ISERROR(VLOOKUP(SUBSTITUTE(SUBSTITUTE(C44,"R",""),"A",""),TblJoistSize!$A:$A,1,FALSE)),FALSE,TRUE),TRUE)))</x:f>
        <x:v>0</x:v>
      </x:c>
      <x:c r="AQ44" s="1038" t="e">
        <x:f t="shared" si="26"/>
        <x:v>#N/A</x:v>
      </x:c>
      <x:c r="AR44" s="945" t="b">
        <x:f t="shared" si="27"/>
        <x:v>0</x:v>
      </x:c>
      <x:c r="AS44" s="1038" t="e">
        <x:f t="shared" si="28"/>
        <x:v>#N/A</x:v>
      </x:c>
      <x:c r="AT44" s="945" t="b">
        <x:f t="shared" si="29"/>
        <x:v>0</x:v>
      </x:c>
      <x:c r="AU44" s="946" t="str">
        <x:f t="shared" si="30"/>
        <x:v/>
      </x:c>
      <x:c r="AV44" s="830" t="str">
        <x:f t="shared" si="31"/>
        <x:v/>
      </x:c>
      <x:c r="AW44" s="830" t="str">
        <x:f t="shared" si="32"/>
        <x:v/>
      </x:c>
      <x:c r="AX44" s="830" t="str">
        <x:f t="shared" si="106"/>
        <x:v/>
      </x:c>
      <x:c r="AY44" s="1039" t="b">
        <x:f t="shared" si="33"/>
        <x:v>0</x:v>
      </x:c>
      <x:c r="AZ44" s="856" t="str">
        <x:f t="shared" si="34"/>
        <x:v/>
      </x:c>
      <x:c r="BA44" s="549"/>
      <x:c r="BB44" s="672"/>
      <x:c r="BC44" s="1684"/>
      <x:c r="BD44" s="733"/>
      <x:c r="BE44" s="734"/>
      <x:c r="BF44" s="735"/>
      <x:c r="BG44" s="672"/>
      <x:c r="BH44" s="982"/>
      <x:c r="BI44" s="983"/>
      <x:c r="BJ44" s="1625"/>
      <x:c r="BK44" s="713"/>
      <x:c r="BL44" s="714"/>
      <x:c r="BM44" s="715"/>
      <x:c r="BN44" s="716"/>
      <x:c r="BO44" s="672" t="str">
        <x:f>IF(ISERROR(CU44),"",IF(CU44="","",IF(VLOOKUP(BG44,SectInfo!$B:$N,10,FALSE)="","","X")))</x:f>
        <x:v/>
      </x:c>
      <x:c r="BP44" s="738"/>
      <x:c r="BQ44" s="1551" t="str">
        <x:f t="shared" si="35"/>
        <x:v/>
      </x:c>
      <x:c r="BR44" s="910"/>
      <x:c r="BS44" s="672"/>
      <x:c r="BT44" s="713"/>
      <x:c r="BU44" s="714"/>
      <x:c r="BV44" s="1625"/>
      <x:c r="BW44" s="713"/>
      <x:c r="BX44" s="714"/>
      <x:c r="BY44" s="715"/>
      <x:c r="BZ44" s="716"/>
      <x:c r="CA44" s="680" t="str">
        <x:f>IF(ISERROR(DE44),"",IF(DE44="","",IF(VLOOKUP(BS44,SectInfo!$B:$N,10,FALSE)="","","X")))</x:f>
        <x:v/>
      </x:c>
      <x:c r="CB44" s="738"/>
      <x:c r="CC44" s="1551" t="str">
        <x:f t="shared" si="36"/>
        <x:v/>
      </x:c>
      <x:c r="CD44" s="910"/>
      <x:c r="CE44" s="717"/>
      <x:c r="CF44" s="736"/>
      <x:c r="CG44" s="737"/>
      <x:c r="CH44" s="591" t="str">
        <x:f t="shared" si="37"/>
        <x:v/>
      </x:c>
      <x:c r="CI44" s="592" t="str">
        <x:f t="shared" si="38"/>
        <x:v/>
      </x:c>
      <x:c r="CJ44" s="593" t="str">
        <x:f t="shared" si="39"/>
        <x:v/>
      </x:c>
      <x:c r="CK44" s="594" t="str">
        <x:f t="shared" si="40"/>
        <x:v/>
      </x:c>
      <x:c r="CL44" s="595" t="str">
        <x:f t="shared" si="41"/>
        <x:v/>
      </x:c>
      <x:c r="CM44" s="596" t="str">
        <x:f t="shared" si="42"/>
        <x:v/>
      </x:c>
      <x:c r="CN44" s="597" t="str">
        <x:f t="shared" si="43"/>
        <x:v/>
      </x:c>
      <x:c r="CO44" s="598" t="str">
        <x:f t="shared" si="44"/>
        <x:v/>
      </x:c>
      <x:c r="CP44" s="615" t="str">
        <x:f t="shared" si="45"/>
        <x:v/>
      </x:c>
      <x:c r="CQ44" s="616" t="str">
        <x:f t="shared" si="46"/>
        <x:v/>
      </x:c>
      <x:c r="CR44" s="750" t="str">
        <x:f t="shared" si="47"/>
        <x:v/>
      </x:c>
      <x:c r="CS44" s="751" t="str">
        <x:f t="shared" si="48"/>
        <x:v/>
      </x:c>
      <x:c r="CU44" s="817" t="str">
        <x:f>IF(BG44="","",VLOOKUP(BG44,SectInfo!$B:$N,12,FALSE))</x:f>
        <x:v/>
      </x:c>
      <x:c r="CV44" s="815" t="str">
        <x:f>IF(BG44="","",IF(ISBLANK(BP44),VLOOKUP(BG44,SectInfo!$B:$N,13,FALSE),BP44))</x:f>
        <x:v/>
      </x:c>
      <x:c r="CW44" s="815" t="str">
        <x:f>IF(BG44="","",IF(VLOOKUP(BG44,SectInfo!$B:$N,5,FALSE)="","R",UPPER(VLOOKUP(BG44,SectInfo!$B:$N,5,FALSE))))</x:f>
        <x:v/>
      </x:c>
      <x:c r="CX44" s="815" t="str">
        <x:f>IF(BG44="","",IF(ISBLANK(BR44),VLOOKUP(BG44,SectInfo!$B:$N,6,FALSE),BR44))</x:f>
        <x:v/>
      </x:c>
      <x:c r="CY44" s="1286" t="str">
        <x:f>IF(BG44="","",IF(VLOOKUP(BG44,SectInfo!$B:$N,10,FALSE)="","",(IF(BO44="X",VLOOKUP(BG44,SectInfo!$B:$N,10,FALSE),VALUE(BO44))*-1)))</x:f>
        <x:v/>
      </x:c>
      <x:c r="CZ44" s="1122" t="str">
        <x:f>IF(BG44="","",IF(VLOOKUP(BG44,SectInfo!$B:$N,11,FALSE)="","2",(VLOOKUP(BG44,SectInfo!$B:$N,11,FALSE))))</x:f>
        <x:v/>
      </x:c>
      <x:c r="DA44" s="815" t="str">
        <x:f>IF(BG44="","",IF(VLOOKUP(BG44,SectInfo!$B:$N,7,FALSE)="","",(VLOOKUP(BG44,SectInfo!$B:$N,7,FALSE)*-1)))</x:f>
        <x:v/>
      </x:c>
      <x:c r="DB44" s="815" t="str">
        <x:f>IF(BG44="","",IF(VLOOKUP(BG44,SectInfo!$B:$N,8,FALSE)="",VLOOKUP(AU44,$DF$2:$DN$9,6,FALSE),(VLOOKUP(BG44,SectInfo!$B:$N,8,FALSE))))</x:f>
        <x:v/>
      </x:c>
      <x:c r="DC44" s="815" t="str">
        <x:f>IF(BG44="","",VLOOKUP(BG44,SectInfo!$B:$N,9,FALSE))</x:f>
        <x:v/>
      </x:c>
      <x:c r="DD44" s="816">
        <x:f t="shared" si="49"/>
        <x:v>0</x:v>
      </x:c>
      <x:c r="DE44" s="817" t="str">
        <x:f>IF(BS44="","",VLOOKUP(BS44,SectInfo!$B:$N,12,FALSE))</x:f>
        <x:v/>
      </x:c>
      <x:c r="DF44" s="815" t="str">
        <x:f>IF(BS44="","",IF(ISBLANK(CB44),VLOOKUP(BS44,SectInfo!$B:$N,13,FALSE),CB44))</x:f>
        <x:v/>
      </x:c>
      <x:c r="DG44" s="815" t="str">
        <x:f>IF(BS44="","",IF(VLOOKUP(BS44,SectInfo!$B:$N,5,FALSE)="","R",UPPER(VLOOKUP(BS44,SectInfo!$B:$N,5,FALSE))))</x:f>
        <x:v/>
      </x:c>
      <x:c r="DH44" s="815" t="str">
        <x:f>IF(BS44="","",IF(ISBLANK(CD44),VLOOKUP(BS44,SectInfo!$B:$N,6,FALSE),CD44))</x:f>
        <x:v/>
      </x:c>
      <x:c r="DI44" s="1286" t="str">
        <x:f>IF(BS44="","",IF(VLOOKUP(BS44,SectInfo!$B:$N,10,FALSE)="","",(IF(CA44="X",VLOOKUP(BS44,SectInfo!$B:$N,10,FALSE),VALUE(CA44))*-1)))</x:f>
        <x:v/>
      </x:c>
      <x:c r="DJ44" s="1122" t="str">
        <x:f>IF(BS44="","",IF(VLOOKUP(BS44,SectInfo!$B:$N,11,FALSE)="","2",(VLOOKUP(BS44,SectInfo!$B:$N,11,FALSE))))</x:f>
        <x:v/>
      </x:c>
      <x:c r="DK44" s="815" t="str">
        <x:f>IF(BS44="","",IF(VLOOKUP(BS44,SectInfo!$B:$N,7,FALSE)="","",(VLOOKUP(BS44,SectInfo!$B:$N,7,FALSE)*-1)))</x:f>
        <x:v/>
      </x:c>
      <x:c r="DL44" s="815" t="str">
        <x:f>IF(BS44="","",IF(VLOOKUP(BS44,SectInfo!$B:$N,8,FALSE)="",VLOOKUP(AU44,$DF$2:$DN$9,6,FALSE),(VLOOKUP(BS44,SectInfo!$B:$N,8,FALSE))))</x:f>
        <x:v/>
      </x:c>
      <x:c r="DM44" s="815" t="str">
        <x:f>IF(BS44="","",VLOOKUP(BS44,SectInfo!$B:$N,9,FALSE))</x:f>
        <x:v/>
      </x:c>
      <x:c r="DN44" s="816">
        <x:f t="shared" si="50"/>
        <x:v>0</x:v>
      </x:c>
      <x:c r="DO44" s="818">
        <x:f t="shared" si="51"/>
        <x:v>0</x:v>
      </x:c>
      <x:c r="DP44" s="822" t="str">
        <x:f t="shared" si="52"/>
        <x:v/>
      </x:c>
      <x:c r="DQ44" s="822" t="str">
        <x:f t="shared" si="53"/>
        <x:v/>
      </x:c>
      <x:c r="DR44" s="822" t="str">
        <x:f t="shared" si="54"/>
        <x:v/>
      </x:c>
      <x:c r="DS44" s="821">
        <x:f t="shared" si="55"/>
        <x:v>0</x:v>
      </x:c>
      <x:c r="DT44" s="821">
        <x:f t="shared" si="56"/>
        <x:v>0</x:v>
      </x:c>
      <x:c r="DU44" s="821" t="str">
        <x:f t="shared" si="57"/>
        <x:v/>
      </x:c>
      <x:c r="DV44" s="822" t="str">
        <x:f t="shared" si="58"/>
        <x:v/>
      </x:c>
      <x:c r="DW44" s="856" t="str">
        <x:f t="shared" si="59"/>
        <x:v/>
      </x:c>
      <x:c r="DX44" s="1006">
        <x:f t="shared" si="60"/>
        <x:v>0</x:v>
      </x:c>
      <x:c r="DY44" s="822">
        <x:f t="shared" si="61"/>
        <x:v>0</x:v>
      </x:c>
      <x:c r="DZ44" s="821">
        <x:f t="shared" si="62"/>
        <x:v>0</x:v>
      </x:c>
      <x:c r="EA44" s="821" t="str">
        <x:f t="shared" si="63"/>
        <x:v/>
      </x:c>
      <x:c r="EB44" s="822" t="str">
        <x:f t="shared" si="64"/>
        <x:v/>
      </x:c>
      <x:c r="EC44" s="856" t="str">
        <x:f t="shared" si="65"/>
        <x:v/>
      </x:c>
      <x:c r="ED44" s="1006">
        <x:f t="shared" si="66"/>
        <x:v>0</x:v>
      </x:c>
      <x:c r="EE44" s="1293" t="str">
        <x:f t="shared" si="67"/>
        <x:v/>
      </x:c>
      <x:c r="EF44" s="1293" t="str">
        <x:f t="shared" si="68"/>
        <x:v/>
      </x:c>
      <x:c r="EG44" s="1293" t="str">
        <x:f t="shared" si="69"/>
        <x:v/>
      </x:c>
      <x:c r="EH44" s="856" t="e">
        <x:f t="shared" si="70"/>
        <x:v>#N/A</x:v>
      </x:c>
      <x:c r="EI44" s="856" t="e">
        <x:f t="shared" si="71"/>
        <x:v>#N/A</x:v>
      </x:c>
      <x:c r="EJ44" s="822" t="str">
        <x:f t="shared" si="72"/>
        <x:v/>
      </x:c>
      <x:c r="EK44" s="822" t="str">
        <x:f t="shared" si="72"/>
        <x:v/>
      </x:c>
      <x:c r="EL44" s="1293" t="str">
        <x:f t="shared" si="73"/>
        <x:v/>
      </x:c>
      <x:c r="EM44" s="822" t="str">
        <x:f t="shared" si="74"/>
        <x:v/>
      </x:c>
      <x:c r="EN44" s="822" t="str">
        <x:f t="shared" si="75"/>
        <x:v/>
      </x:c>
      <x:c r="EO44" s="856" t="e">
        <x:f t="shared" si="76"/>
        <x:v>#N/A</x:v>
      </x:c>
      <x:c r="EP44" s="856" t="e">
        <x:f t="shared" si="77"/>
        <x:v>#N/A</x:v>
      </x:c>
      <x:c r="EQ44" s="1293" t="str">
        <x:f t="shared" si="78"/>
        <x:v/>
      </x:c>
      <x:c r="ER44" s="822" t="str">
        <x:f t="shared" si="78"/>
        <x:v/>
      </x:c>
      <x:c r="ES44" s="822" t="str">
        <x:f t="shared" si="79"/>
        <x:v/>
      </x:c>
      <x:c r="ET44" s="822" t="str">
        <x:f t="shared" si="80"/>
        <x:v/>
      </x:c>
      <x:c r="EU44" s="829" t="str">
        <x:f t="shared" si="81"/>
        <x:v/>
      </x:c>
      <x:c r="EV44" s="824" t="str">
        <x:f t="shared" si="82"/>
        <x:v/>
      </x:c>
      <x:c r="EW44" s="829"/>
      <x:c r="EX44" s="829" t="str">
        <x:f>IF(AND(CU44="G", ISBLANK(BK44), ISBLANK(BL44)),VLOOKUP(MIN(BH44:BI44),TblJoistSize!$M$3:$N$10,2),IF(OR(CU44="B",CU44="G"),MIN(BK44:BL44),""))</x:f>
        <x:v/>
      </x:c>
      <x:c r="EY44" s="829" t="str">
        <x:f>IF(AND(CU44="G", ISBLANK(BK44), ISBLANK(BL44)),VLOOKUP(MAX(BH44:BI44),TblJoistSize!$M$3:$N$10,2),IF(OR(CU44="B",CU44="G"),MAX(BK44:BL44),""))</x:f>
        <x:v/>
      </x:c>
      <x:c r="EZ44" s="829" t="str">
        <x:f t="shared" si="83"/>
        <x:v/>
      </x:c>
      <x:c r="FA44" s="829" t="str">
        <x:f>IF(AND(DE44="G", ISBLANK(BW44), ISBLANK(BX44)),VLOOKUP(MIN(BT44:BU44),TblJoistSize!$M$3:$N$10,2),IF(OR(DE44="B", DE44="G"),MIN(BW44:BX44),""))</x:f>
        <x:v/>
      </x:c>
      <x:c r="FB44" s="829" t="str">
        <x:f>IF(AND(DE44="G", ISBLANK(BW44), ISBLANK(BX44)),VLOOKUP(MAX(BT44:BU44),TblJoistSize!$M$3:$N$10,2),IF(OR(DE44="B", DE44="G"),MAX(BW44:BX44),""))</x:f>
        <x:v/>
      </x:c>
      <x:c r="FC44" s="829" t="str">
        <x:f t="shared" si="84"/>
        <x:v/>
      </x:c>
      <x:c r="FD44" s="821">
        <x:f t="shared" si="107"/>
        <x:v>0</x:v>
      </x:c>
      <x:c r="FE44" s="821">
        <x:f t="shared" si="85"/>
        <x:v>0</x:v>
      </x:c>
      <x:c r="FF44" s="821">
        <x:f t="shared" si="86"/>
        <x:v>0</x:v>
      </x:c>
      <x:c r="FG44" s="821" t="str">
        <x:f t="shared" si="87"/>
        <x:v/>
      </x:c>
      <x:c r="FH44" s="822" t="str">
        <x:f t="shared" si="88"/>
        <x:v/>
      </x:c>
      <x:c r="FI44" s="821">
        <x:f t="shared" si="108"/>
        <x:v>0</x:v>
      </x:c>
      <x:c r="FJ44" s="821">
        <x:f t="shared" si="89"/>
        <x:v>0</x:v>
      </x:c>
      <x:c r="FK44" s="821">
        <x:f t="shared" si="90"/>
        <x:v>0</x:v>
      </x:c>
      <x:c r="FL44" s="821" t="str">
        <x:f t="shared" si="91"/>
        <x:v/>
      </x:c>
      <x:c r="FM44" s="822" t="str">
        <x:f t="shared" si="92"/>
        <x:v/>
      </x:c>
      <x:c r="FN44" s="822" t="e">
        <x:f t="shared" si="93"/>
        <x:v>#VALUE!</x:v>
      </x:c>
      <x:c r="FO44" s="940" t="e">
        <x:f t="shared" si="94"/>
        <x:v>#VALUE!</x:v>
      </x:c>
      <x:c r="FP44" s="940" t="e">
        <x:f t="shared" si="95"/>
        <x:v>#VALUE!</x:v>
      </x:c>
      <x:c r="FQ44" s="830" t="e">
        <x:f t="shared" si="96"/>
        <x:v>#VALUE!</x:v>
      </x:c>
      <x:c r="FR44" s="831" t="e">
        <x:f t="shared" si="97"/>
        <x:v>#VALUE!</x:v>
      </x:c>
      <x:c r="FS44" s="832" t="str">
        <x:f t="shared" si="98"/>
        <x:v/>
      </x:c>
      <x:c r="FT44" s="833" t="str">
        <x:f t="shared" si="99"/>
        <x:v/>
      </x:c>
      <x:c r="FU44" s="870">
        <x:f t="shared" si="100"/>
        <x:v>0</x:v>
      </x:c>
      <x:c r="FV44" s="871">
        <x:f t="shared" si="101"/>
        <x:v>0</x:v>
      </x:c>
      <x:c r="GA44" s="1791" t="str">
        <x:f t="shared" si="119"/>
        <x:v/>
      </x:c>
      <x:c r="GB44" s="1792" t="str">
        <x:f t="shared" si="120"/>
        <x:v/>
      </x:c>
      <x:c r="GC44" s="1793" t="str">
        <x:f t="shared" si="121"/>
        <x:v/>
      </x:c>
      <x:c r="GD44" s="1794" t="str">
        <x:f t="shared" si="122"/>
        <x:v/>
      </x:c>
      <x:c r="GE44" s="1795" t="str">
        <x:f t="shared" si="102"/>
        <x:v/>
      </x:c>
      <x:c r="GF44" s="600" t="str">
        <x:f t="shared" si="103"/>
        <x:v/>
      </x:c>
      <x:c r="GG44" s="1130"/>
      <x:c r="GH44" s="1131"/>
      <x:c r="GI44" s="1130"/>
      <x:c r="GJ44" s="1131"/>
      <x:c r="GK44" s="1638">
        <x:f t="shared" si="104"/>
        <x:v>0</x:v>
      </x:c>
      <x:c r="GL44" s="1636" t="e">
        <x:f t="shared" si="105"/>
        <x:v>#VALUE!</x:v>
      </x:c>
      <x:c r="GM44" s="1637" t="e">
        <x:f>IF(ABS(GK44-GL44)&gt;='Job Info.'!$L$22,ABS(GK44-GL44),0)</x:f>
        <x:v>#VALUE!</x:v>
      </x:c>
      <x:c r="HA44" s="1269"/>
      <x:c r="HB44" s="1270"/>
      <x:c r="HC44" s="1270"/>
      <x:c r="HD44" s="1271"/>
      <x:c r="HE44" s="1272"/>
      <x:c r="HF44" s="1270"/>
      <x:c r="HG44" s="1270"/>
      <x:c r="HH44" s="1270"/>
      <x:c r="HI44" s="1273"/>
      <x:c r="HJ44" s="1270"/>
      <x:c r="HK44" s="1270"/>
      <x:c r="HL44" s="1270"/>
      <x:c r="HM44" s="1270"/>
      <x:c r="HN44" s="1270"/>
      <x:c r="HO44" s="1270"/>
      <x:c r="HP44" s="1270"/>
      <x:c r="HQ44" s="1273"/>
      <x:c r="HR44" s="1270"/>
      <x:c r="HS44" s="1270"/>
      <x:c r="HT44" s="1270"/>
      <x:c r="HU44" s="1270"/>
      <x:c r="HV44" s="1270"/>
      <x:c r="HW44" s="1272"/>
      <x:c r="HX44" s="1272"/>
      <x:c r="HY44" s="1272"/>
      <x:c r="HZ44" s="1272"/>
      <x:c r="IA44" s="1272"/>
      <x:c r="IB44" s="1272"/>
      <x:c r="IC44" s="1272"/>
      <x:c r="ID44" s="1272"/>
      <x:c r="IE44" s="1272"/>
      <x:c r="IF44" s="1274"/>
    </x:row>
    <x:row r="45" spans="1:240" ht="12.6" customHeight="1" thickBot="1" x14ac:dyDescent="0.3">
      <x:c r="A45" s="2782" t="str">
        <x:f>IF(BB45="","",UPPER(BB45))</x:f>
        <x:v/>
      </x:c>
      <x:c r="B45" s="2783"/>
      <x:c r="C45" s="2784" t="str">
        <x:f>IF(BD45="","",UPPER(BD45))</x:f>
        <x:v/>
      </x:c>
      <x:c r="D45" s="2785" t="str">
        <x:f>IF(DP45="","",TRUNC(DP45/12))</x:f>
        <x:v/>
      </x:c>
      <x:c r="E45" s="2786" t="str">
        <x:f>IF(DP45="","",DP45-(D45*12))</x:f>
        <x:v/>
      </x:c>
      <x:c r="F45" s="2794" t="str">
        <x:f>IF(DX45=0,"",TRUNC(DX45/12))</x:f>
        <x:v/>
      </x:c>
      <x:c r="G45" s="2789" t="str">
        <x:f>IF(DX45=0,"",DX45-(F45*12))</x:f>
        <x:v/>
      </x:c>
      <x:c r="H45" s="2848" t="str">
        <x:f>IF(DX45=0,"",CW45)</x:f>
        <x:v/>
      </x:c>
      <x:c r="I45" s="2785" t="str">
        <x:f>IF(ED45=0,"",TRUNC(ED45/12))</x:f>
        <x:v/>
      </x:c>
      <x:c r="J45" s="2789" t="str">
        <x:f>IF(ED45=0,"",ED45-(I45*12))</x:f>
        <x:v/>
      </x:c>
      <x:c r="K45" s="2856" t="str">
        <x:f>IF(ED45=0,"",DG45)</x:f>
        <x:v/>
      </x:c>
      <x:c r="L45" s="2792" t="str">
        <x:f>DQ45</x:f>
        <x:v/>
      </x:c>
      <x:c r="M45" s="2793" t="str">
        <x:f>DR45</x:f>
        <x:v/>
      </x:c>
      <x:c r="N45" s="2788" t="str">
        <x:f t="shared" si="7"/>
        <x:v/>
      </x:c>
      <x:c r="O45" s="2789" t="str">
        <x:f t="shared" si="8"/>
        <x:v/>
      </x:c>
      <x:c r="P45" s="2790" t="str">
        <x:f t="shared" si="9"/>
        <x:v/>
      </x:c>
      <x:c r="Q45" s="2785" t="str">
        <x:f t="shared" si="10"/>
        <x:v/>
      </x:c>
      <x:c r="R45" s="2789" t="str">
        <x:f t="shared" si="11"/>
        <x:v/>
      </x:c>
      <x:c r="S45" s="2791" t="str">
        <x:f t="shared" si="12"/>
        <x:v/>
      </x:c>
      <x:c r="T45" s="2794" t="str">
        <x:f t="shared" si="114"/>
        <x:v/>
      </x:c>
      <x:c r="U45" s="2789" t="str">
        <x:f t="shared" si="115"/>
        <x:v/>
      </x:c>
      <x:c r="V45" s="2785" t="str">
        <x:f t="shared" si="116"/>
        <x:v/>
      </x:c>
      <x:c r="W45" s="2789" t="str">
        <x:f t="shared" si="117"/>
        <x:v/>
      </x:c>
      <x:c r="X45" s="2793">
        <x:f>IF(EV45="",0,EV45)</x:f>
        <x:v>0</x:v>
      </x:c>
      <x:c r="Y45" s="2850" t="str">
        <x:f>FG45</x:f>
        <x:v/>
      </x:c>
      <x:c r="Z45" s="2851" t="str">
        <x:f>FL45</x:f>
        <x:v/>
      </x:c>
      <x:c r="AA45" s="2852" t="s">
        <x:v>116</x:v>
      </x:c>
      <x:c r="AB45" s="1413"/>
      <x:c r="AC45" s="964" t="b">
        <x:v>0</x:v>
      </x:c>
      <x:c r="AD45" s="441">
        <x:f t="shared" si="15"/>
        <x:v>0</x:v>
      </x:c>
      <x:c r="AE45" s="442">
        <x:f t="shared" si="16"/>
        <x:v>0</x:v>
      </x:c>
      <x:c r="AF45" s="442">
        <x:f t="shared" si="17"/>
        <x:v>0</x:v>
      </x:c>
      <x:c r="AG45" s="442">
        <x:f t="shared" si="18"/>
        <x:v>0</x:v>
      </x:c>
      <x:c r="AH45" s="443">
        <x:f t="shared" si="19"/>
        <x:v>0</x:v>
      </x:c>
      <x:c r="AI45" s="444" t="b">
        <x:v>0</x:v>
      </x:c>
      <x:c r="AJ45" s="238">
        <x:f t="shared" si="20"/>
        <x:v>0</x:v>
      </x:c>
      <x:c r="AK45" s="830" t="str">
        <x:f t="shared" si="21"/>
        <x:v/>
      </x:c>
      <x:c r="AL45" s="945" t="str">
        <x:f t="shared" si="22"/>
        <x:v/>
      </x:c>
      <x:c r="AM45" s="830" t="str">
        <x:f t="shared" si="23"/>
        <x:v/>
      </x:c>
      <x:c r="AN45" s="830" t="str">
        <x:f t="shared" si="24"/>
        <x:v/>
      </x:c>
      <x:c r="AO45" s="830" t="str">
        <x:f t="shared" si="25"/>
        <x:v/>
      </x:c>
      <x:c r="AP45" s="830" t="b">
        <x:f>IF(ISERROR(AJ45),FALSE,IF(OR(AJ45=0,ISERROR(AL45),ISERROR(AM45),ISERROR(AN45),ISERROR(AO45)),FALSE,IF(AL45&lt;&gt;"",IF(ISERROR(VLOOKUP(SUBSTITUTE(SUBSTITUTE(C45,"R",""),"A",""),TblJoistSize!$A:$A,1,FALSE)),FALSE,TRUE),TRUE)))</x:f>
        <x:v>0</x:v>
      </x:c>
      <x:c r="AQ45" s="1038" t="e">
        <x:f t="shared" si="26"/>
        <x:v>#N/A</x:v>
      </x:c>
      <x:c r="AR45" s="945" t="b">
        <x:f t="shared" si="27"/>
        <x:v>0</x:v>
      </x:c>
      <x:c r="AS45" s="1038" t="e">
        <x:f t="shared" si="28"/>
        <x:v>#N/A</x:v>
      </x:c>
      <x:c r="AT45" s="945" t="b">
        <x:f t="shared" si="29"/>
        <x:v>0</x:v>
      </x:c>
      <x:c r="AU45" s="946" t="str">
        <x:f t="shared" si="30"/>
        <x:v/>
      </x:c>
      <x:c r="AV45" s="830" t="str">
        <x:f t="shared" si="31"/>
        <x:v/>
      </x:c>
      <x:c r="AW45" s="830" t="str">
        <x:f t="shared" si="32"/>
        <x:v/>
      </x:c>
      <x:c r="AX45" s="830" t="str">
        <x:f t="shared" si="106"/>
        <x:v/>
      </x:c>
      <x:c r="AY45" s="1039" t="b">
        <x:f t="shared" si="33"/>
        <x:v>0</x:v>
      </x:c>
      <x:c r="AZ45" s="856" t="str">
        <x:f t="shared" si="34"/>
        <x:v/>
      </x:c>
      <x:c r="BA45" s="549"/>
      <x:c r="BB45" s="681"/>
      <x:c r="BC45" s="1685"/>
      <x:c r="BD45" s="807"/>
      <x:c r="BE45" s="808"/>
      <x:c r="BF45" s="809"/>
      <x:c r="BG45" s="681"/>
      <x:c r="BH45" s="985"/>
      <x:c r="BI45" s="986"/>
      <x:c r="BJ45" s="1626"/>
      <x:c r="BK45" s="718"/>
      <x:c r="BL45" s="719"/>
      <x:c r="BM45" s="720"/>
      <x:c r="BN45" s="721"/>
      <x:c r="BO45" s="681" t="str">
        <x:f>IF(ISERROR(CU45),"",IF(CU45="","",IF(VLOOKUP(BG45,SectInfo!$B:$N,10,FALSE)="","","X")))</x:f>
        <x:v/>
      </x:c>
      <x:c r="BP45" s="741"/>
      <x:c r="BQ45" s="1552" t="str">
        <x:f t="shared" si="35"/>
        <x:v/>
      </x:c>
      <x:c r="BR45" s="911"/>
      <x:c r="BS45" s="681"/>
      <x:c r="BT45" s="718"/>
      <x:c r="BU45" s="719"/>
      <x:c r="BV45" s="1626"/>
      <x:c r="BW45" s="718"/>
      <x:c r="BX45" s="719"/>
      <x:c r="BY45" s="720"/>
      <x:c r="BZ45" s="721"/>
      <x:c r="CA45" s="689" t="str">
        <x:f>IF(ISERROR(DE45),"",IF(DE45="","",IF(VLOOKUP(BS45,SectInfo!$B:$N,10,FALSE)="","","X")))</x:f>
        <x:v/>
      </x:c>
      <x:c r="CB45" s="741"/>
      <x:c r="CC45" s="1552" t="str">
        <x:f t="shared" si="36"/>
        <x:v/>
      </x:c>
      <x:c r="CD45" s="911"/>
      <x:c r="CE45" s="722"/>
      <x:c r="CF45" s="739"/>
      <x:c r="CG45" s="740"/>
      <x:c r="CH45" s="601" t="str">
        <x:f t="shared" si="37"/>
        <x:v/>
      </x:c>
      <x:c r="CI45" s="602" t="str">
        <x:f t="shared" si="38"/>
        <x:v/>
      </x:c>
      <x:c r="CJ45" s="603" t="str">
        <x:f t="shared" si="39"/>
        <x:v/>
      </x:c>
      <x:c r="CK45" s="604" t="str">
        <x:f t="shared" si="40"/>
        <x:v/>
      </x:c>
      <x:c r="CL45" s="605" t="str">
        <x:f t="shared" si="41"/>
        <x:v/>
      </x:c>
      <x:c r="CM45" s="606" t="str">
        <x:f t="shared" si="42"/>
        <x:v/>
      </x:c>
      <x:c r="CN45" s="607" t="str">
        <x:f t="shared" si="43"/>
        <x:v/>
      </x:c>
      <x:c r="CO45" s="608" t="str">
        <x:f t="shared" si="44"/>
        <x:v/>
      </x:c>
      <x:c r="CP45" s="617" t="str">
        <x:f t="shared" si="45"/>
        <x:v/>
      </x:c>
      <x:c r="CQ45" s="618" t="str">
        <x:f t="shared" si="46"/>
        <x:v/>
      </x:c>
      <x:c r="CR45" s="752" t="str">
        <x:f t="shared" si="47"/>
        <x:v/>
      </x:c>
      <x:c r="CS45" s="753" t="str">
        <x:f t="shared" si="48"/>
        <x:v/>
      </x:c>
      <x:c r="CU45" s="817" t="str">
        <x:f>IF(BG45="","",VLOOKUP(BG45,SectInfo!$B:$N,12,FALSE))</x:f>
        <x:v/>
      </x:c>
      <x:c r="CV45" s="815" t="str">
        <x:f>IF(BG45="","",IF(ISBLANK(BP45),VLOOKUP(BG45,SectInfo!$B:$N,13,FALSE),BP45))</x:f>
        <x:v/>
      </x:c>
      <x:c r="CW45" s="815" t="str">
        <x:f>IF(BG45="","",IF(VLOOKUP(BG45,SectInfo!$B:$N,5,FALSE)="","R",UPPER(VLOOKUP(BG45,SectInfo!$B:$N,5,FALSE))))</x:f>
        <x:v/>
      </x:c>
      <x:c r="CX45" s="815" t="str">
        <x:f>IF(BG45="","",IF(ISBLANK(BR45),VLOOKUP(BG45,SectInfo!$B:$N,6,FALSE),BR45))</x:f>
        <x:v/>
      </x:c>
      <x:c r="CY45" s="1286" t="str">
        <x:f>IF(BG45="","",IF(VLOOKUP(BG45,SectInfo!$B:$N,10,FALSE)="","",(IF(BO45="X",VLOOKUP(BG45,SectInfo!$B:$N,10,FALSE),VALUE(BO45))*-1)))</x:f>
        <x:v/>
      </x:c>
      <x:c r="CZ45" s="1122" t="str">
        <x:f>IF(BG45="","",IF(VLOOKUP(BG45,SectInfo!$B:$N,11,FALSE)="","2",(VLOOKUP(BG45,SectInfo!$B:$N,11,FALSE))))</x:f>
        <x:v/>
      </x:c>
      <x:c r="DA45" s="815" t="str">
        <x:f>IF(BG45="","",IF(VLOOKUP(BG45,SectInfo!$B:$N,7,FALSE)="","",(VLOOKUP(BG45,SectInfo!$B:$N,7,FALSE)*-1)))</x:f>
        <x:v/>
      </x:c>
      <x:c r="DB45" s="815" t="str">
        <x:f>IF(BG45="","",IF(VLOOKUP(BG45,SectInfo!$B:$N,8,FALSE)="",VLOOKUP(AU45,$DF$2:$DN$9,6,FALSE),(VLOOKUP(BG45,SectInfo!$B:$N,8,FALSE))))</x:f>
        <x:v/>
      </x:c>
      <x:c r="DC45" s="815" t="str">
        <x:f>IF(BG45="","",VLOOKUP(BG45,SectInfo!$B:$N,9,FALSE))</x:f>
        <x:v/>
      </x:c>
      <x:c r="DD45" s="816">
        <x:f t="shared" si="49"/>
        <x:v>0</x:v>
      </x:c>
      <x:c r="DE45" s="817" t="str">
        <x:f>IF(BS45="","",VLOOKUP(BS45,SectInfo!$B:$N,12,FALSE))</x:f>
        <x:v/>
      </x:c>
      <x:c r="DF45" s="815" t="str">
        <x:f>IF(BS45="","",IF(ISBLANK(CB45),VLOOKUP(BS45,SectInfo!$B:$N,13,FALSE),CB45))</x:f>
        <x:v/>
      </x:c>
      <x:c r="DG45" s="815" t="str">
        <x:f>IF(BS45="","",IF(VLOOKUP(BS45,SectInfo!$B:$N,5,FALSE)="","R",UPPER(VLOOKUP(BS45,SectInfo!$B:$N,5,FALSE))))</x:f>
        <x:v/>
      </x:c>
      <x:c r="DH45" s="815" t="str">
        <x:f>IF(BS45="","",IF(ISBLANK(CD45),VLOOKUP(BS45,SectInfo!$B:$N,6,FALSE),CD45))</x:f>
        <x:v/>
      </x:c>
      <x:c r="DI45" s="1286" t="str">
        <x:f>IF(BS45="","",IF(VLOOKUP(BS45,SectInfo!$B:$N,10,FALSE)="","",(IF(CA45="X",VLOOKUP(BS45,SectInfo!$B:$N,10,FALSE),VALUE(CA45))*-1)))</x:f>
        <x:v/>
      </x:c>
      <x:c r="DJ45" s="1122" t="str">
        <x:f>IF(BS45="","",IF(VLOOKUP(BS45,SectInfo!$B:$N,11,FALSE)="","2",(VLOOKUP(BS45,SectInfo!$B:$N,11,FALSE))))</x:f>
        <x:v/>
      </x:c>
      <x:c r="DK45" s="815" t="str">
        <x:f>IF(BS45="","",IF(VLOOKUP(BS45,SectInfo!$B:$N,7,FALSE)="","",(VLOOKUP(BS45,SectInfo!$B:$N,7,FALSE)*-1)))</x:f>
        <x:v/>
      </x:c>
      <x:c r="DL45" s="815" t="str">
        <x:f>IF(BS45="","",IF(VLOOKUP(BS45,SectInfo!$B:$N,8,FALSE)="",VLOOKUP(AU45,$DF$2:$DN$9,6,FALSE),(VLOOKUP(BS45,SectInfo!$B:$N,8,FALSE))))</x:f>
        <x:v/>
      </x:c>
      <x:c r="DM45" s="815" t="str">
        <x:f>IF(BS45="","",VLOOKUP(BS45,SectInfo!$B:$N,9,FALSE))</x:f>
        <x:v/>
      </x:c>
      <x:c r="DN45" s="816">
        <x:f t="shared" si="50"/>
        <x:v>0</x:v>
      </x:c>
      <x:c r="DO45" s="818">
        <x:f t="shared" si="51"/>
        <x:v>0</x:v>
      </x:c>
      <x:c r="DP45" s="822" t="str">
        <x:f t="shared" si="52"/>
        <x:v/>
      </x:c>
      <x:c r="DQ45" s="822" t="str">
        <x:f t="shared" si="53"/>
        <x:v/>
      </x:c>
      <x:c r="DR45" s="822" t="str">
        <x:f t="shared" si="54"/>
        <x:v/>
      </x:c>
      <x:c r="DS45" s="821">
        <x:f t="shared" si="55"/>
        <x:v>0</x:v>
      </x:c>
      <x:c r="DT45" s="821">
        <x:f t="shared" si="56"/>
        <x:v>0</x:v>
      </x:c>
      <x:c r="DU45" s="821" t="str">
        <x:f t="shared" si="57"/>
        <x:v/>
      </x:c>
      <x:c r="DV45" s="822" t="str">
        <x:f t="shared" si="58"/>
        <x:v/>
      </x:c>
      <x:c r="DW45" s="856" t="str">
        <x:f t="shared" si="59"/>
        <x:v/>
      </x:c>
      <x:c r="DX45" s="1006">
        <x:f t="shared" si="60"/>
        <x:v>0</x:v>
      </x:c>
      <x:c r="DY45" s="822">
        <x:f t="shared" si="61"/>
        <x:v>0</x:v>
      </x:c>
      <x:c r="DZ45" s="821">
        <x:f t="shared" si="62"/>
        <x:v>0</x:v>
      </x:c>
      <x:c r="EA45" s="821" t="str">
        <x:f t="shared" si="63"/>
        <x:v/>
      </x:c>
      <x:c r="EB45" s="822" t="str">
        <x:f t="shared" si="64"/>
        <x:v/>
      </x:c>
      <x:c r="EC45" s="856" t="str">
        <x:f t="shared" si="65"/>
        <x:v/>
      </x:c>
      <x:c r="ED45" s="1006">
        <x:f t="shared" si="66"/>
        <x:v>0</x:v>
      </x:c>
      <x:c r="EE45" s="1293" t="str">
        <x:f t="shared" si="67"/>
        <x:v/>
      </x:c>
      <x:c r="EF45" s="1293" t="str">
        <x:f t="shared" si="68"/>
        <x:v/>
      </x:c>
      <x:c r="EG45" s="1293" t="str">
        <x:f t="shared" si="69"/>
        <x:v/>
      </x:c>
      <x:c r="EH45" s="856" t="e">
        <x:f t="shared" si="70"/>
        <x:v>#N/A</x:v>
      </x:c>
      <x:c r="EI45" s="856" t="e">
        <x:f t="shared" si="71"/>
        <x:v>#N/A</x:v>
      </x:c>
      <x:c r="EJ45" s="822" t="str">
        <x:f t="shared" si="72"/>
        <x:v/>
      </x:c>
      <x:c r="EK45" s="822" t="str">
        <x:f t="shared" si="72"/>
        <x:v/>
      </x:c>
      <x:c r="EL45" s="1293" t="str">
        <x:f t="shared" si="73"/>
        <x:v/>
      </x:c>
      <x:c r="EM45" s="822" t="str">
        <x:f t="shared" si="74"/>
        <x:v/>
      </x:c>
      <x:c r="EN45" s="822" t="str">
        <x:f t="shared" si="75"/>
        <x:v/>
      </x:c>
      <x:c r="EO45" s="856" t="e">
        <x:f t="shared" si="76"/>
        <x:v>#N/A</x:v>
      </x:c>
      <x:c r="EP45" s="856" t="e">
        <x:f t="shared" si="77"/>
        <x:v>#N/A</x:v>
      </x:c>
      <x:c r="EQ45" s="1293" t="str">
        <x:f t="shared" si="78"/>
        <x:v/>
      </x:c>
      <x:c r="ER45" s="822" t="str">
        <x:f t="shared" si="78"/>
        <x:v/>
      </x:c>
      <x:c r="ES45" s="822" t="str">
        <x:f t="shared" si="79"/>
        <x:v/>
      </x:c>
      <x:c r="ET45" s="822" t="str">
        <x:f t="shared" si="80"/>
        <x:v/>
      </x:c>
      <x:c r="EU45" s="829" t="str">
        <x:f t="shared" si="81"/>
        <x:v/>
      </x:c>
      <x:c r="EV45" s="824" t="str">
        <x:f t="shared" si="82"/>
        <x:v/>
      </x:c>
      <x:c r="EW45" s="829"/>
      <x:c r="EX45" s="829" t="str">
        <x:f>IF(AND(CU45="G", ISBLANK(BK45), ISBLANK(BL45)),VLOOKUP(MIN(BH45:BI45),TblJoistSize!$M$3:$N$10,2),IF(OR(CU45="B",CU45="G"),MIN(BK45:BL45),""))</x:f>
        <x:v/>
      </x:c>
      <x:c r="EY45" s="829" t="str">
        <x:f>IF(AND(CU45="G", ISBLANK(BK45), ISBLANK(BL45)),VLOOKUP(MAX(BH45:BI45),TblJoistSize!$M$3:$N$10,2),IF(OR(CU45="B",CU45="G"),MAX(BK45:BL45),""))</x:f>
        <x:v/>
      </x:c>
      <x:c r="EZ45" s="829" t="str">
        <x:f t="shared" si="83"/>
        <x:v/>
      </x:c>
      <x:c r="FA45" s="829" t="str">
        <x:f>IF(AND(DE45="G", ISBLANK(BW45), ISBLANK(BX45)),VLOOKUP(MIN(BT45:BU45),TblJoistSize!$M$3:$N$10,2),IF(OR(DE45="B", DE45="G"),MIN(BW45:BX45),""))</x:f>
        <x:v/>
      </x:c>
      <x:c r="FB45" s="829" t="str">
        <x:f>IF(AND(DE45="G", ISBLANK(BW45), ISBLANK(BX45)),VLOOKUP(MAX(BT45:BU45),TblJoistSize!$M$3:$N$10,2),IF(OR(DE45="B", DE45="G"),MAX(BW45:BX45),""))</x:f>
        <x:v/>
      </x:c>
      <x:c r="FC45" s="829" t="str">
        <x:f t="shared" si="84"/>
        <x:v/>
      </x:c>
      <x:c r="FD45" s="821">
        <x:f t="shared" si="107"/>
        <x:v>0</x:v>
      </x:c>
      <x:c r="FE45" s="821">
        <x:f t="shared" si="85"/>
        <x:v>0</x:v>
      </x:c>
      <x:c r="FF45" s="821">
        <x:f t="shared" si="86"/>
        <x:v>0</x:v>
      </x:c>
      <x:c r="FG45" s="821" t="str">
        <x:f t="shared" si="87"/>
        <x:v/>
      </x:c>
      <x:c r="FH45" s="822" t="str">
        <x:f t="shared" si="88"/>
        <x:v/>
      </x:c>
      <x:c r="FI45" s="821">
        <x:f t="shared" si="108"/>
        <x:v>0</x:v>
      </x:c>
      <x:c r="FJ45" s="821">
        <x:f t="shared" si="89"/>
        <x:v>0</x:v>
      </x:c>
      <x:c r="FK45" s="821">
        <x:f t="shared" si="90"/>
        <x:v>0</x:v>
      </x:c>
      <x:c r="FL45" s="821" t="str">
        <x:f t="shared" si="91"/>
        <x:v/>
      </x:c>
      <x:c r="FM45" s="822" t="str">
        <x:f t="shared" si="92"/>
        <x:v/>
      </x:c>
      <x:c r="FN45" s="822" t="e">
        <x:f t="shared" si="93"/>
        <x:v>#VALUE!</x:v>
      </x:c>
      <x:c r="FO45" s="940" t="e">
        <x:f t="shared" si="94"/>
        <x:v>#VALUE!</x:v>
      </x:c>
      <x:c r="FP45" s="940" t="e">
        <x:f t="shared" si="95"/>
        <x:v>#VALUE!</x:v>
      </x:c>
      <x:c r="FQ45" s="830" t="e">
        <x:f t="shared" si="96"/>
        <x:v>#VALUE!</x:v>
      </x:c>
      <x:c r="FR45" s="831" t="e">
        <x:f t="shared" si="97"/>
        <x:v>#VALUE!</x:v>
      </x:c>
      <x:c r="FS45" s="832" t="str">
        <x:f t="shared" si="98"/>
        <x:v/>
      </x:c>
      <x:c r="FT45" s="833" t="str">
        <x:f t="shared" si="99"/>
        <x:v/>
      </x:c>
      <x:c r="FU45" s="870">
        <x:f t="shared" si="100"/>
        <x:v>0</x:v>
      </x:c>
      <x:c r="FV45" s="871">
        <x:f t="shared" si="101"/>
        <x:v>0</x:v>
      </x:c>
      <x:c r="GA45" s="1791" t="str">
        <x:f t="shared" si="119"/>
        <x:v/>
      </x:c>
      <x:c r="GB45" s="1792" t="str">
        <x:f t="shared" si="120"/>
        <x:v/>
      </x:c>
      <x:c r="GC45" s="1793" t="str">
        <x:f t="shared" si="121"/>
        <x:v/>
      </x:c>
      <x:c r="GD45" s="1794" t="str">
        <x:f t="shared" si="122"/>
        <x:v/>
      </x:c>
      <x:c r="GE45" s="1795" t="str">
        <x:f t="shared" si="102"/>
        <x:v/>
      </x:c>
      <x:c r="GF45" s="600" t="str">
        <x:f t="shared" si="103"/>
        <x:v/>
      </x:c>
      <x:c r="GG45" s="1132"/>
      <x:c r="GH45" s="1133"/>
      <x:c r="GI45" s="1132"/>
      <x:c r="GJ45" s="1133"/>
      <x:c r="GK45" s="1638">
        <x:f t="shared" si="104"/>
        <x:v>0</x:v>
      </x:c>
      <x:c r="GL45" s="1636" t="e">
        <x:f t="shared" si="105"/>
        <x:v>#VALUE!</x:v>
      </x:c>
      <x:c r="GM45" s="1637" t="e">
        <x:f>IF(ABS(GK45-GL45)&gt;='Job Info.'!$L$22,ABS(GK45-GL45),0)</x:f>
        <x:v>#VALUE!</x:v>
      </x:c>
      <x:c r="HA45" s="1275"/>
      <x:c r="HB45" s="1276"/>
      <x:c r="HC45" s="1276"/>
      <x:c r="HD45" s="1277"/>
      <x:c r="HE45" s="1278"/>
      <x:c r="HF45" s="1276"/>
      <x:c r="HG45" s="1276"/>
      <x:c r="HH45" s="1276"/>
      <x:c r="HI45" s="1279"/>
      <x:c r="HJ45" s="1276"/>
      <x:c r="HK45" s="1276"/>
      <x:c r="HL45" s="1276"/>
      <x:c r="HM45" s="1276"/>
      <x:c r="HN45" s="1276"/>
      <x:c r="HO45" s="1276"/>
      <x:c r="HP45" s="1276"/>
      <x:c r="HQ45" s="1279"/>
      <x:c r="HR45" s="1276"/>
      <x:c r="HS45" s="1276"/>
      <x:c r="HT45" s="1276"/>
      <x:c r="HU45" s="1276"/>
      <x:c r="HV45" s="1276"/>
      <x:c r="HW45" s="1278"/>
      <x:c r="HX45" s="1278"/>
      <x:c r="HY45" s="1278"/>
      <x:c r="HZ45" s="1278"/>
      <x:c r="IA45" s="1278"/>
      <x:c r="IB45" s="1278"/>
      <x:c r="IC45" s="1278"/>
      <x:c r="ID45" s="1278"/>
      <x:c r="IE45" s="1278"/>
      <x:c r="IF45" s="1280"/>
    </x:row>
    <x:row r="46" spans="1:240" ht="15" customHeight="1" thickTop="1" thickBot="1" x14ac:dyDescent="0.25">
      <x:c r="A46" s="1146"/>
      <x:c r="B46" s="1146"/>
      <x:c r="C46" s="1146"/>
      <x:c r="D46" s="1146"/>
      <x:c r="E46" s="1146"/>
      <x:c r="F46" s="1146"/>
      <x:c r="G46" s="1146"/>
      <x:c r="H46" s="1146"/>
      <x:c r="I46" s="1146"/>
      <x:c r="J46" s="1146"/>
      <x:c r="K46" s="1146"/>
      <x:c r="L46" s="1146"/>
      <x:c r="M46" s="1146"/>
      <x:c r="N46" s="1146"/>
      <x:c r="O46" s="1146"/>
      <x:c r="P46" s="1146"/>
      <x:c r="Q46" s="1146"/>
      <x:c r="R46" s="1146"/>
      <x:c r="S46" s="1146"/>
      <x:c r="T46" s="1146"/>
      <x:c r="U46" s="1146"/>
      <x:c r="V46" s="1146"/>
      <x:c r="W46" s="1146"/>
      <x:c r="X46" s="1146"/>
      <x:c r="Y46" s="1146"/>
      <x:c r="Z46" s="1146"/>
      <x:c r="AA46" s="1146"/>
      <x:c r="AD46" s="452">
        <x:f>SUM(AD16:AD45)</x:f>
        <x:v>0</x:v>
      </x:c>
      <x:c r="AE46" s="453">
        <x:f>SUM(AE16:AE45)</x:f>
        <x:v>217</x:v>
      </x:c>
      <x:c r="AF46" s="453">
        <x:f>SUM(AF16:AF45)</x:f>
        <x:v>0</x:v>
      </x:c>
      <x:c r="AG46" s="453">
        <x:f>SUM(AG16:AG45)</x:f>
        <x:v>0</x:v>
      </x:c>
      <x:c r="AH46" s="454">
        <x:f>SUM(AH16:AH45)</x:f>
        <x:v>0</x:v>
      </x:c>
      <x:c r="CF46" s="912"/>
      <x:c r="CG46" s="912"/>
      <x:c r="CN46" s="246"/>
      <x:c r="CO46" s="246"/>
      <x:c r="GA46" s="455"/>
      <x:c r="GB46" s="455"/>
      <x:c r="GC46" s="455"/>
      <x:c r="GD46" s="455"/>
      <x:c r="GE46" s="455"/>
      <x:c r="GF46" s="455"/>
    </x:row>
    <x:row r="47" spans="1:240" ht="15" customHeight="1" thickBot="1" x14ac:dyDescent="0.25">
      <x:c r="A47" s="907" t="s">
        <x:v>720</x:v>
      </x:c>
      <x:c r="AD47" s="906">
        <x:f>SUM(AD46:AH46)</x:f>
        <x:v>217</x:v>
      </x:c>
      <x:c r="AK47" s="456"/>
      <x:c r="AL47" s="457"/>
      <x:c r="AM47" s="457"/>
      <x:c r="AN47" s="457"/>
    </x:row>
    <x:row r="48" spans="1:240" s="563" customFormat="1" ht="15" hidden="1" customHeight="1" x14ac:dyDescent="0.2">
      <x:c r="AA48" s="762"/>
      <x:c r="AI48" s="564"/>
      <x:c r="HD48" s="565"/>
      <x:c r="HE48" s="566"/>
    </x:row>
    <x:row r="49" spans="1:192" ht="15" hidden="1" customHeight="1" x14ac:dyDescent="0.2">
      <x:c r="AJ49" s="245" t="s">
        <x:v>414</x:v>
      </x:c>
      <x:c r="AK49" s="456">
        <x:f>$DA$4</x:f>
        <x:v>0.5625</x:v>
      </x:c>
      <x:c r="AL49" s="457">
        <x:f>$DB$4</x:f>
        <x:v>1.5</x:v>
      </x:c>
      <x:c r="AM49" s="457">
        <x:f>$CX$4</x:f>
        <x:v>4</x:v>
      </x:c>
      <x:c r="AN49" s="457">
        <x:f>$CW$4</x:f>
        <x:v>2.5</x:v>
      </x:c>
    </x:row>
    <x:row r="50" spans="1:192" ht="12" hidden="1" thickBot="1" x14ac:dyDescent="0.25"/>
    <x:row r="51" spans="1:192" ht="12" hidden="1" thickBot="1" x14ac:dyDescent="0.25"/>
    <x:row r="52" spans="1:192" ht="15" hidden="1" customHeight="1" x14ac:dyDescent="0.2">
      <x:c r="AJ52" s="245" t="s">
        <x:v>416</x:v>
      </x:c>
      <x:c r="AK52" s="456">
        <x:f>$DA$5</x:f>
        <x:v>0.5625</x:v>
      </x:c>
      <x:c r="AL52" s="457">
        <x:f>$DB$5</x:f>
        <x:v>1.5</x:v>
      </x:c>
      <x:c r="AM52" s="457">
        <x:f>$CX$5</x:f>
        <x:v>4</x:v>
      </x:c>
      <x:c r="AN52" s="457">
        <x:f>$CW$5</x:f>
        <x:v>2.5</x:v>
      </x:c>
    </x:row>
    <x:row r="53" spans="1:192" ht="15" hidden="1" customHeight="1" x14ac:dyDescent="0.2">
      <x:c r="AJ53" s="245" t="s">
        <x:v>75</x:v>
      </x:c>
      <x:c r="AK53" s="456">
        <x:f>$DA$4</x:f>
        <x:v>0.5625</x:v>
      </x:c>
      <x:c r="AL53" s="457">
        <x:f>$DB$4</x:f>
        <x:v>1.5</x:v>
      </x:c>
      <x:c r="AM53" s="457">
        <x:f>$CX$4</x:f>
        <x:v>4</x:v>
      </x:c>
      <x:c r="AN53" s="457">
        <x:f>$CW$4</x:f>
        <x:v>2.5</x:v>
      </x:c>
    </x:row>
    <x:row r="54" spans="1:192" ht="15" hidden="1" customHeight="1" x14ac:dyDescent="0.2">
      <x:c r="AJ54" s="245" t="s">
        <x:v>114</x:v>
      </x:c>
      <x:c r="AK54" s="456">
        <x:f>$DA$5</x:f>
        <x:v>0.5625</x:v>
      </x:c>
      <x:c r="AL54" s="457">
        <x:f>$DB$5</x:f>
        <x:v>1.5</x:v>
      </x:c>
      <x:c r="AM54" s="457">
        <x:f>$CX$5</x:f>
        <x:v>4</x:v>
      </x:c>
      <x:c r="AN54" s="457">
        <x:f>$CW$5</x:f>
        <x:v>2.5</x:v>
      </x:c>
    </x:row>
    <x:row r="55" spans="1:192" ht="15" hidden="1" customHeight="1" x14ac:dyDescent="0.2"/>
    <x:row r="56" spans="1:192" ht="15" hidden="1" customHeight="1" x14ac:dyDescent="0.2">
      <x:c r="AA56" s="1144"/>
    </x:row>
    <x:row r="57" spans="1:192" ht="15" hidden="1" customHeight="1" x14ac:dyDescent="0.25">
      <x:c r="A57" s="1001" t="str">
        <x:f>IF(BB57="","",UPPER(BB57))</x:f>
        <x:v/>
      </x:c>
      <x:c r="B57" s="1002" t="str">
        <x:f>IF(BC57="","",BC57)</x:f>
        <x:v/>
      </x:c>
      <x:c r="C57" s="1002" t="str">
        <x:f>IF(BD57="","",UPPER(BD57))</x:f>
        <x:v/>
      </x:c>
      <x:c r="D57" s="998" t="str">
        <x:f>IF(DP57="","",TRUNC(DP57/12))</x:f>
        <x:v/>
      </x:c>
      <x:c r="E57" s="1061" t="str">
        <x:f>IF(DP57="","",DP57-(D57*12))</x:f>
        <x:v/>
      </x:c>
      <x:c r="F57" s="1046" t="str">
        <x:f>IF(DX57=0,"",TRUNC(DX57/12))</x:f>
        <x:v/>
      </x:c>
      <x:c r="G57" s="999" t="str">
        <x:f>IF(DX57=0,"",DX57-(F57*12))</x:f>
        <x:v/>
      </x:c>
      <x:c r="H57" s="1003" t="str">
        <x:f>IF(DX57=0,"",CW57)</x:f>
        <x:v/>
      </x:c>
      <x:c r="I57" s="998" t="str">
        <x:f>IF(ED57=0,"",TRUNC(ED57/12))</x:f>
        <x:v/>
      </x:c>
      <x:c r="J57" s="999" t="str">
        <x:f>IF(ED57=0,"",ED57-(I57*12))</x:f>
        <x:v/>
      </x:c>
      <x:c r="K57" s="1064" t="str">
        <x:f>IF(ED57=0,"",DG57)</x:f>
        <x:v/>
      </x:c>
      <x:c r="L57" s="1045">
        <x:f>DQ57</x:f>
        <x:v>0</x:v>
      </x:c>
      <x:c r="M57" s="1047">
        <x:f>DR57</x:f>
        <x:v>0</x:v>
      </x:c>
      <x:c r="N57" s="1000" t="str">
        <x:f>IF(ES57="","",IF(AND(ES57&lt;0,ES57&gt;-12),TRUNC(ES57/12)-0.0000001,TRUNC(ES57/12)))</x:f>
        <x:v/>
      </x:c>
      <x:c r="O57" s="999" t="str">
        <x:f>IF(ES57="","",IF(AND(ES57-(N57*12)=0,ES57&lt;0),-0.000001,ES57-(N57*12)))</x:f>
        <x:v/>
      </x:c>
      <x:c r="P57" s="997" t="str">
        <x:f>IF(ES57="","",IF(OR(CW57="Q",CW57="C"),3,CZ57))</x:f>
        <x:v/>
      </x:c>
      <x:c r="Q57" s="998" t="str">
        <x:f>IF(ET57="","",IF(AND(ET57&lt;0,ET57&gt;-12),TRUNC(ET57/12)-0.0000001,TRUNC(ET57/12)))</x:f>
        <x:v/>
      </x:c>
      <x:c r="R57" s="999" t="str">
        <x:f>IF(ET57="","",IF(AND(ET57-(Q57*12)=0,ET57&lt;0),-0.000001,ET57-(Q57*12)))</x:f>
        <x:v/>
      </x:c>
      <x:c r="S57" s="1067" t="str">
        <x:f>IF(ET57="","",IF(OR(DG57="Q",DG57="C"),3,DJ57))</x:f>
        <x:v/>
      </x:c>
      <x:c r="T57" s="1046"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47">
        <x:f>IF(EV57="",0,EV57)</x:f>
        <x:v>0</x:v>
      </x:c>
      <x:c r="Y57" s="1069">
        <x:f>FG57</x:f>
        <x:v>0</x:v>
      </x:c>
      <x:c r="Z57" s="1070">
        <x:f>FL57</x:f>
        <x:v>0</x:v>
      </x:c>
      <x:c r="AA57" s="1068" t="str">
        <x:f>CONCATENATE(IF(BY57="","",CONCATENATE("[",SUBSTITUTE(BY57," ",""),"]")),IF(BX57="","",CONCATENATE("(",SUBSTITUTE(BX57," ",""),") ")))</x:f>
        <x:v/>
      </x:c>
      <x:c r="AH57" s="256" t="s">
        <x:v>1130</x:v>
      </x:c>
      <x:c r="AI57" s="444" t="b">
        <x:v>0</x:v>
      </x:c>
      <x:c r="AJ57" s="238">
        <x:f>IF(OR(ISERROR(VALUE(LEFT(C57,SEARCH(AK57,C57)-1))),AK57=""),0,VALUE(LEFT(C57,SEARCH(AK57,C57)-1)))</x:f>
        <x:v>0</x:v>
      </x:c>
      <x:c r="AK57" s="830" t="str">
        <x:f>IF(AV57="",AW57,AV57)</x:f>
        <x:v/>
      </x:c>
      <x:c r="AL57" s="830" t="str">
        <x:f>IF(AK57="","",IF(ISERROR(SEARCH("/",C57)),IF(VALUE(MID(C57,SEARCH(AK57,C57)+LEN(AK57),LEN(C57)))&gt;25,"",VALUE(MID(C57,SEARCH(AK57,C57)+LEN(AK57),LEN(C57)))),""))</x:f>
        <x:v/>
      </x:c>
      <x:c r="AM57" s="830" t="str">
        <x:f>IF(AK57="","",IF(ISERROR(SEARCH("/",C57)),IF(VALUE(MID(C57,SEARCH(AK57,C57)+LEN(AK57),LEN(C57)))&lt;26,"",VALUE(MID(C57,SEARCH(AK57,C57)+LEN(AK57),LEN(C57)))),VALUE(MID(C57,SEARCH(AK57,C57)+LEN(AK57),SEARCH("/",C57)-SEARCH(AK57,C57)-LEN(AK57)))))</x:f>
        <x:v/>
      </x:c>
      <x:c r="AN57" s="830" t="str">
        <x:f>IF(AK57="","",IF(AK57="CJ",MID(MID(C57,SEARCH("/",C57)+1,LEN(C57)),1,SEARCH("/",MID(C57,SEARCH("/",C57)+1,LEN(C57)))-1),IF(ISERROR(SEARCH("/",C57)),"",VALUE(MID(C57,SEARCH("/",C57)+1,LEN(C57))))))</x:f>
        <x:v/>
      </x:c>
      <x:c r="AO57" s="830" t="str">
        <x:f>IF(AK57="CJ",VALUE(MID(MID(C57,SEARCH("/",C57)+1,LEN(C57)),SEARCH("/",MID(C57,SEARCH("/",C57)+1,LEN(C57)))+1,LEN(MID(C57,SEARCH("/",C57)+1,LEN(C57))))),"")</x:f>
        <x:v/>
      </x:c>
      <x:c r="AP57" s="830" t="b">
        <x:f>IF(ISERROR(AJ57),FALSE,IF(OR(AJ57=0,ISERROR(AL57),ISERROR(AM57),ISERROR(AN57),ISERROR(AO57)),FALSE,IF(AL57&lt;&gt;"",IF(ISERROR(VLOOKUP(SUBSTITUTE(SUBSTITUTE(C57,"R",""),"A",""),TblJoistSize!$A:$A,1,FALSE)),FALSE,TRUE),TRUE)))</x:f>
        <x:v>0</x:v>
      </x:c>
      <x:c r="AQ57" s="1038" t="e">
        <x:f>VLOOKUP(AK57,$DF$2:$DN$9,4,FALSE)+IF(LEFT(H57,1)="R",IF(ISNUMBER(F57),F57*12,0)+IF(ISNUMBER(G57),G57,0),0)</x:f>
        <x:v>#N/A</x:v>
      </x:c>
      <x:c r="AR57" s="1038" t="b">
        <x:f>IF(IF(ISNUMBER(T57),T57*12,0)+IF(ISNUMBER(U57),U57,0)&gt;0,IF(AND((IF(ISNUMBER(T57),T57*12,0)+IF(ISNUMBER(U57),U57,0))&gt;=1,(IF(ISNUMBER(T57),T57*12,0)+IF(ISNUMBER(U57),U57,0))&lt;=(AQ57-1)+IF(H57="X",2,0)),TRUE,FALSE),FALSE)</x:f>
        <x:v>0</x:v>
      </x:c>
      <x:c r="AS57" s="1038" t="e">
        <x:f>VLOOKUP(AK57,$DF$2:$DN$9,4,FALSE)+IF(LEFT(K57,1)="R",(IF(ISNUMBER(I57),I57*12,0)+IF(ISNUMBER(J57),J57,0)),0)</x:f>
        <x:v>#N/A</x:v>
      </x:c>
      <x:c r="AT57" s="1038" t="b">
        <x:f>IF(IF(ISNUMBER(V57),V57*12,0)+IF(ISNUMBER(W57),W57,0)&gt;0,IF(AND((IF(ISNUMBER(V57),V57*12,0)+IF(ISNUMBER(W57),W57,0))&gt;=1,(IF(ISNUMBER(V57),V57*12,0)+IF(ISNUMBER(W57),W57,0))&lt;=(AS57-1)+IF(K57="X",2,0)),TRUE,FALSE),FALSE)</x:f>
        <x:v>0</x:v>
      </x:c>
      <x:c r="AU57" s="830" t="str">
        <x:f>IF(ISERROR(AJ57),IF(AK57&lt;&gt;"HDR","",AK57),IF(AND(AJ57=2.5,AK57="K"),"JS",IF(OR(AK57="KCSR",AK57="KCSA",AK57="KCS"),"KCS",IF(OR(AK57="KR",AK57="KA",AK57="K"),"K",IF(AND(AK57="LH",AL57&lt;7),"LH&lt;7",AK57)))))</x:f>
        <x:v/>
      </x:c>
      <x:c r="AV57" s="830" t="str">
        <x:f>IF(NOT(ISERROR(SEARCH("KCSR",C57))),"KCSR",IF(NOT(ISERROR(SEARCH("KCSA",C57))),"KCSA",IF(NOT(ISERROR(SEARCH("KCS",C57))),"KCS",IF(NOT(ISERROR(SEARCH("KR",C57))),"KR",IF(NOT(ISERROR(SEARCH("KA",C57))),"KA",IF(NOT(ISERROR(SEARCH("K",C57))),"K",IF(NOT(ISERROR(SEARCH("CJ",C57))),"CJ","")))))))</x:f>
        <x:v/>
      </x:c>
      <x:c r="AW57" s="830" t="str">
        <x:f>IF(NOT(ISERROR(SEARCH("HDR",C57))),"HDR",IF(NOT(ISERROR(SEARCH("JS",C57))),"JS",IF(NOT(ISERROR(SEARCH("SLH",C57))),"SLH",IF(NOT(ISERROR(SEARCH("DLH",C57))),"DLH",IF(NOT(ISERROR(SEARCH("LH",C57))),"LH","")))))</x:f>
        <x:v/>
      </x:c>
      <x:c r="AX57" s="830" t="str">
        <x:f>IF(AND(OR(ISBLANK(A57),A57=""),AA57&lt;&gt;""),AX56,IF(OR(ISBLANK(A57),A57=""),"",A57))</x:f>
        <x:v/>
      </x:c>
      <x:c r="AY57" s="1039" t="b">
        <x:f>IF($AE$1,IF(AX57=AX56,AY56,IF(AND(AX57&lt;&gt;"",OR(B57=0,B57="")),TRUE,FALSE)),FALSE)</x:f>
        <x:v>0</x:v>
      </x:c>
      <x:c r="AZ57" s="822" t="str">
        <x:f>IF(AP57,((IF(D57="",0,D57)*12+IF(E57="",0,E57))-(IF(F57="",0,F57)*12+IF(G57="",0,G57))-(IF(I57="",0,I57)*12+IF(J57="",0,J57)))&gt;AJ57*24,"")</x:f>
        <x:v/>
      </x:c>
      <x:c r="CP57" s="2323"/>
      <x:c r="CQ57" s="2324"/>
      <x:c r="CR57" s="114"/>
      <x:c r="CS57" s="115"/>
      <x:c r="CT57" s="115"/>
      <x:c r="CU57" s="115"/>
      <x:c r="CV57" s="115"/>
      <x:c r="CW57" s="118"/>
      <x:c r="CX57" s="115"/>
      <x:c r="CY57" s="115"/>
      <x:c r="CZ57" s="115"/>
      <x:c r="DA57" s="107"/>
      <x:c r="DB57" s="114"/>
      <x:c r="DC57" s="115"/>
      <x:c r="DD57" s="115"/>
      <x:c r="DE57" s="115"/>
      <x:c r="DF57" s="115"/>
      <x:c r="DG57" s="118"/>
      <x:c r="DH57" s="115"/>
      <x:c r="DI57" s="115"/>
      <x:c r="DJ57" s="115"/>
      <x:c r="DK57" s="107"/>
      <x:c r="DL57" s="116"/>
      <x:c r="DM57" s="125"/>
      <x:c r="DN57" s="109"/>
      <x:c r="DO57" s="108"/>
      <x:c r="DP57" s="109"/>
      <x:c r="DQ57" s="109"/>
      <x:c r="DR57" s="110"/>
      <x:c r="DS57" s="110"/>
      <x:c r="DT57" s="110"/>
      <x:c r="DU57" s="109"/>
      <x:c r="DV57" s="109"/>
      <x:c r="DW57" s="111"/>
      <x:c r="DX57" s="109"/>
      <x:c r="DY57" s="110"/>
      <x:c r="DZ57" s="110"/>
      <x:c r="EA57" s="109"/>
      <x:c r="EB57" s="109"/>
      <x:c r="EC57" s="111"/>
      <x:c r="ED57" s="109"/>
      <x:c r="EE57" s="109"/>
      <x:c r="EF57" s="109"/>
      <x:c r="EG57" s="109"/>
      <x:c r="EH57" s="109"/>
      <x:c r="EI57" s="109"/>
      <x:c r="EJ57" s="109"/>
      <x:c r="EK57" s="109"/>
      <x:c r="EL57" s="109"/>
      <x:c r="EM57" s="109"/>
      <x:c r="EN57" s="109"/>
      <x:c r="EO57" s="109"/>
      <x:c r="EP57" s="109"/>
      <x:c r="EQ57" s="109"/>
      <x:c r="ER57" s="109"/>
      <x:c r="ES57" s="109"/>
      <x:c r="ET57" s="109"/>
      <x:c r="EU57" s="112"/>
      <x:c r="EV57" s="113"/>
      <x:c r="EW57" s="112"/>
      <x:c r="EX57" s="112"/>
      <x:c r="EY57" s="112"/>
      <x:c r="EZ57" s="112"/>
      <x:c r="FA57" s="112"/>
      <x:c r="FB57" s="112"/>
      <x:c r="FC57" s="112"/>
      <x:c r="FD57" s="110"/>
      <x:c r="FE57" s="110"/>
      <x:c r="FF57" s="110"/>
      <x:c r="FG57" s="110"/>
      <x:c r="FH57" s="109"/>
      <x:c r="FI57" s="110"/>
      <x:c r="FJ57" s="110"/>
      <x:c r="FK57" s="110"/>
      <x:c r="FL57" s="110"/>
      <x:c r="FM57" s="109"/>
      <x:c r="FN57" s="109"/>
      <x:c r="FO57" s="134"/>
      <x:c r="FP57" s="134"/>
      <x:c r="FQ57" s="238"/>
      <x:c r="FR57" s="449"/>
      <x:c r="FS57" s="450"/>
      <x:c r="FT57" s="451"/>
      <x:c r="GA57" s="599" t="str">
        <x:f t="shared" ref="GA57" si="123">IF(GF57="","",BE57)</x:f>
        <x:v/>
      </x:c>
      <x:c r="GB57" s="619" t="str">
        <x:f t="shared" ref="GB57" si="124">IF(GF57="","",BF57)</x:f>
        <x:v/>
      </x:c>
      <x:c r="GC57" s="621" t="str">
        <x:f t="shared" ref="GC57" si="125">IF(GF57="","",IF(CV57="",0,CV57))</x:f>
        <x:v/>
      </x:c>
      <x:c r="GD57" s="622" t="str">
        <x:f t="shared" ref="GD57" si="126">IF(GF57="","",IF(DF57="",0,DF57))</x:f>
        <x:v/>
      </x:c>
      <x:c r="GE57" s="620" t="str">
        <x:f>IF(GF57="","",IF(ISBLANK(BW57),IF(Y57=Z57,0,MAX(ABS(Y57),ABS(Z57))*IF(Y57&lt;0,-1,1)),BW57))</x:f>
        <x:v/>
      </x:c>
      <x:c r="GF57" s="600" t="str">
        <x:f>IF(A57=0,"",A57)</x:f>
        <x:v/>
      </x:c>
      <x:c r="GG57" s="1130"/>
      <x:c r="GH57" s="1131"/>
      <x:c r="GI57" s="1130"/>
      <x:c r="GJ57" s="1131"/>
    </x:row>
    <x:row r="58" spans="1:192" ht="15" hidden="1" customHeight="1" x14ac:dyDescent="0.2">
      <x:c r="AA58" s="1145"/>
    </x:row>
    <x:row r="59" spans="1:192" ht="15" hidden="1" customHeight="1" x14ac:dyDescent="0.2"/>
    <x:row r="60" spans="1:192" ht="15" hidden="1" customHeight="1" x14ac:dyDescent="0.2">
      <x:c r="A60" s="892" t="s">
        <x:v>1175</x:v>
      </x:c>
    </x:row>
    <x:row r="61" spans="1:192" ht="15" hidden="1" customHeight="1" x14ac:dyDescent="0.2">
      <x:c r="A61" s="894" t="s">
        <x:v>1679</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907" t="s">
        <x:v>721</x:v>
      </x:c>
      <x:c r="EL71" s="2326" t="s">
        <x:v>524</x:v>
      </x:c>
      <x:c r="EM71" s="2327"/>
      <x:c r="EN71" s="2327"/>
      <x:c r="EO71" s="2328"/>
    </x:row>
    <x:row r="72" spans="1:145" ht="15" customHeight="1" thickBot="1" x14ac:dyDescent="0.25">
      <x:c r="EL72" s="2479" t="s">
        <x:v>535</x:v>
      </x:c>
      <x:c r="EM72" s="2482" t="s">
        <x:v>536</x:v>
      </x:c>
      <x:c r="EN72" s="2482" t="s">
        <x:v>537</x:v>
      </x:c>
      <x:c r="EO72" s="2485" t="s">
        <x:v>538</x:v>
      </x:c>
    </x:row>
    <x:row r="73" spans="1:145" ht="15" customHeight="1" thickBot="1" x14ac:dyDescent="0.25">
      <x:c r="EJ73" s="2486" t="s">
        <x:v>542</x:v>
      </x:c>
      <x:c r="EL73" s="2480"/>
      <x:c r="EM73" s="2483"/>
      <x:c r="EN73" s="2483"/>
      <x:c r="EO73" s="2387"/>
    </x:row>
    <x:row r="74" spans="1:145" ht="15" customHeight="1" thickBot="1" x14ac:dyDescent="0.25">
      <x:c r="EJ74" s="2487"/>
      <x:c r="EL74" s="2481"/>
      <x:c r="EM74" s="2484"/>
      <x:c r="EN74" s="2484"/>
      <x:c r="EO74" s="2388"/>
    </x:row>
    <x:row r="75" spans="1:145" ht="15" customHeight="1" thickTop="1" x14ac:dyDescent="0.2">
      <x:c r="EJ75" s="507">
        <x:f t="shared" ref="EJ75:EJ104" si="127">IF(AU16="","",IF(OR(AU16="K",AU16="KCS"),(BE16*12+BF16+IF(CU16="M",MAX(CV16,$CX$4),0)+IF(DE16="M",MAX(DF16,$CX$4),0))/12,IF(OR(AU16="LH",AU16="DLH"),(BE16*12+BF16+8-MAX(MAX(BH16,BI16)/2,DC16)-MAX(MAX(BT16,BU16)/2,DM16))/12,IF(OR(AU16="JS",AU16="HDR"),""))))</x:f>
        <x:v>0.66666666666666663</x:v>
      </x:c>
      <x:c r="EL75" s="445"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446" t="str">
        <x:f t="shared" ref="EM75:EM104" si="128">IF(BD16="","",IF(EL75="-","-",IF(EO75="No",0,IF(AZ16/12&lt;60,1,IF(AZ16/12&lt;100,2,EL75)))))</x:f>
        <x:v/>
      </x:c>
      <x:c r="EN75" s="447" t="str">
        <x:f>IF(BD16="","",IF(ISERROR(VLOOKUP(BD16,TblJoistSize!$A$1:$G$274,2,FALSE)),"-",VLOOKUP(BD16,TblJoistSize!$A$1:$G$274,2,FALSE)))</x:f>
        <x:v/>
      </x:c>
      <x:c r="EO75" s="448" t="str">
        <x:f t="shared" ref="EO75:EO104" si="129">IF(BD16="","",IF(EN75="-","-",IF(EN75="NM","No",IF(EN75&lt;=AZ16/12,"Yes","No"))))</x:f>
        <x:v/>
      </x:c>
    </x:row>
    <x:row r="76" spans="1:145" ht="15" customHeight="1" x14ac:dyDescent="0.2">
      <x:c r="EJ76" s="507">
        <x:f t="shared" si="127"/>
        <x:v>0.66666666666666663</x:v>
      </x:c>
      <x:c r="EL76" s="445"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446" t="str">
        <x:f t="shared" si="128"/>
        <x:v/>
      </x:c>
      <x:c r="EN76" s="447" t="str">
        <x:f>IF(BD17="","",IF(ISERROR(VLOOKUP(BD17,TblJoistSize!$A$1:$G$274,2,FALSE)),"-",VLOOKUP(BD17,TblJoistSize!$A$1:$G$274,2,FALSE)))</x:f>
        <x:v/>
      </x:c>
      <x:c r="EO76" s="448" t="str">
        <x:f t="shared" si="129"/>
        <x:v/>
      </x:c>
    </x:row>
    <x:row r="77" spans="1:145" ht="15" customHeight="1" x14ac:dyDescent="0.2">
      <x:c r="EJ77" s="507">
        <x:f t="shared" si="127"/>
        <x:v>0.66666666666666663</x:v>
      </x:c>
      <x:c r="EL77" s="445"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446" t="str">
        <x:f t="shared" si="128"/>
        <x:v/>
      </x:c>
      <x:c r="EN77" s="447" t="str">
        <x:f>IF(BD18="","",IF(ISERROR(VLOOKUP(BD18,TblJoistSize!$A$1:$G$274,2,FALSE)),"-",VLOOKUP(BD18,TblJoistSize!$A$1:$G$274,2,FALSE)))</x:f>
        <x:v/>
      </x:c>
      <x:c r="EO77" s="448" t="str">
        <x:f t="shared" si="129"/>
        <x:v/>
      </x:c>
    </x:row>
    <x:row r="78" spans="1:145" ht="15" customHeight="1" x14ac:dyDescent="0.2">
      <x:c r="EJ78" s="507">
        <x:f t="shared" si="127"/>
        <x:v>0.66666666666666663</x:v>
      </x:c>
      <x:c r="EL78" s="445"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446" t="str">
        <x:f t="shared" si="128"/>
        <x:v/>
      </x:c>
      <x:c r="EN78" s="447" t="str">
        <x:f>IF(BD19="","",IF(ISERROR(VLOOKUP(BD19,TblJoistSize!$A$1:$G$274,2,FALSE)),"-",VLOOKUP(BD19,TblJoistSize!$A$1:$G$274,2,FALSE)))</x:f>
        <x:v/>
      </x:c>
      <x:c r="EO78" s="448" t="str">
        <x:f t="shared" si="129"/>
        <x:v/>
      </x:c>
    </x:row>
    <x:row r="79" spans="1:145" ht="15" customHeight="1" x14ac:dyDescent="0.2">
      <x:c r="EJ79" s="507">
        <x:f t="shared" si="127"/>
        <x:v>0.66666666666666663</x:v>
      </x:c>
      <x:c r="EL79" s="445"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446" t="str">
        <x:f t="shared" si="128"/>
        <x:v/>
      </x:c>
      <x:c r="EN79" s="447" t="str">
        <x:f>IF(BD20="","",IF(ISERROR(VLOOKUP(BD20,TblJoistSize!$A$1:$G$274,2,FALSE)),"-",VLOOKUP(BD20,TblJoistSize!$A$1:$G$274,2,FALSE)))</x:f>
        <x:v/>
      </x:c>
      <x:c r="EO79" s="448" t="str">
        <x:f t="shared" si="129"/>
        <x:v/>
      </x:c>
    </x:row>
    <x:row r="80" spans="1:145" ht="15" customHeight="1" x14ac:dyDescent="0.2">
      <x:c r="EJ80" s="507">
        <x:f t="shared" si="127"/>
        <x:v>0.66666666666666663</x:v>
      </x:c>
      <x:c r="EL80" s="445"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446" t="str">
        <x:f t="shared" si="128"/>
        <x:v/>
      </x:c>
      <x:c r="EN80" s="447" t="str">
        <x:f>IF(BD21="","",IF(ISERROR(VLOOKUP(BD21,TblJoistSize!$A$1:$G$274,2,FALSE)),"-",VLOOKUP(BD21,TblJoistSize!$A$1:$G$274,2,FALSE)))</x:f>
        <x:v/>
      </x:c>
      <x:c r="EO80" s="448" t="str">
        <x:f t="shared" si="129"/>
        <x:v/>
      </x:c>
    </x:row>
    <x:row r="81" spans="140:145" ht="15" customHeight="1" x14ac:dyDescent="0.2">
      <x:c r="EJ81" s="507">
        <x:f t="shared" si="127"/>
        <x:v>0.66666666666666663</x:v>
      </x:c>
      <x:c r="EL81" s="445"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446" t="str">
        <x:f t="shared" si="128"/>
        <x:v/>
      </x:c>
      <x:c r="EN81" s="447" t="str">
        <x:f>IF(BD22="","",IF(ISERROR(VLOOKUP(BD22,TblJoistSize!$A$1:$G$274,2,FALSE)),"-",VLOOKUP(BD22,TblJoistSize!$A$1:$G$274,2,FALSE)))</x:f>
        <x:v/>
      </x:c>
      <x:c r="EO81" s="448" t="str">
        <x:f t="shared" si="129"/>
        <x:v/>
      </x:c>
    </x:row>
    <x:row r="82" spans="140:145" ht="15" customHeight="1" x14ac:dyDescent="0.2">
      <x:c r="EJ82" s="507">
        <x:f t="shared" si="127"/>
        <x:v>0.66666666666666663</x:v>
      </x:c>
      <x:c r="EL82" s="445"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446" t="str">
        <x:f t="shared" si="128"/>
        <x:v/>
      </x:c>
      <x:c r="EN82" s="447" t="str">
        <x:f>IF(BD23="","",IF(ISERROR(VLOOKUP(BD23,TblJoistSize!$A$1:$G$274,2,FALSE)),"-",VLOOKUP(BD23,TblJoistSize!$A$1:$G$274,2,FALSE)))</x:f>
        <x:v/>
      </x:c>
      <x:c r="EO82" s="448" t="str">
        <x:f t="shared" si="129"/>
        <x:v/>
      </x:c>
    </x:row>
    <x:row r="83" spans="140:145" ht="15" customHeight="1" x14ac:dyDescent="0.2">
      <x:c r="EJ83" s="507">
        <x:f t="shared" si="127"/>
        <x:v>0.66666666666666663</x:v>
      </x:c>
      <x:c r="EL83" s="445"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446" t="str">
        <x:f t="shared" si="128"/>
        <x:v/>
      </x:c>
      <x:c r="EN83" s="447" t="str">
        <x:f>IF(BD24="","",IF(ISERROR(VLOOKUP(BD24,TblJoistSize!$A$1:$G$274,2,FALSE)),"-",VLOOKUP(BD24,TblJoistSize!$A$1:$G$274,2,FALSE)))</x:f>
        <x:v/>
      </x:c>
      <x:c r="EO83" s="448" t="str">
        <x:f t="shared" si="129"/>
        <x:v/>
      </x:c>
    </x:row>
    <x:row r="84" spans="140:145" ht="15" customHeight="1" x14ac:dyDescent="0.2">
      <x:c r="EJ84" s="507">
        <x:f t="shared" si="127"/>
        <x:v>0.66666666666666663</x:v>
      </x:c>
      <x:c r="EL84" s="445"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446" t="str">
        <x:f t="shared" si="128"/>
        <x:v/>
      </x:c>
      <x:c r="EN84" s="447" t="str">
        <x:f>IF(BD25="","",IF(ISERROR(VLOOKUP(BD25,TblJoistSize!$A$1:$G$274,2,FALSE)),"-",VLOOKUP(BD25,TblJoistSize!$A$1:$G$274,2,FALSE)))</x:f>
        <x:v/>
      </x:c>
      <x:c r="EO84" s="448" t="str">
        <x:f t="shared" si="129"/>
        <x:v/>
      </x:c>
    </x:row>
    <x:row r="85" spans="140:145" ht="15" customHeight="1" x14ac:dyDescent="0.2">
      <x:c r="EJ85" s="507">
        <x:f t="shared" si="127"/>
        <x:v>0.66666666666666663</x:v>
      </x:c>
      <x:c r="EL85" s="445"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446" t="str">
        <x:f t="shared" si="128"/>
        <x:v/>
      </x:c>
      <x:c r="EN85" s="447" t="str">
        <x:f>IF(BD26="","",IF(ISERROR(VLOOKUP(BD26,TblJoistSize!$A$1:$G$274,2,FALSE)),"-",VLOOKUP(BD26,TblJoistSize!$A$1:$G$274,2,FALSE)))</x:f>
        <x:v/>
      </x:c>
      <x:c r="EO85" s="448" t="str">
        <x:f t="shared" si="129"/>
        <x:v/>
      </x:c>
    </x:row>
    <x:row r="86" spans="140:145" ht="15" customHeight="1" x14ac:dyDescent="0.2">
      <x:c r="EJ86" s="507">
        <x:f t="shared" si="127"/>
        <x:v>0.66666666666666663</x:v>
      </x:c>
      <x:c r="EL86" s="445"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446" t="str">
        <x:f t="shared" si="128"/>
        <x:v/>
      </x:c>
      <x:c r="EN86" s="447" t="str">
        <x:f>IF(BD27="","",IF(ISERROR(VLOOKUP(BD27,TblJoistSize!$A$1:$G$274,2,FALSE)),"-",VLOOKUP(BD27,TblJoistSize!$A$1:$G$274,2,FALSE)))</x:f>
        <x:v/>
      </x:c>
      <x:c r="EO86" s="448" t="str">
        <x:f t="shared" si="129"/>
        <x:v/>
      </x:c>
    </x:row>
    <x:row r="87" spans="140:145" ht="15" customHeight="1" x14ac:dyDescent="0.2">
      <x:c r="EJ87" s="507">
        <x:f t="shared" si="127"/>
        <x:v>0.66666666666666663</x:v>
      </x:c>
      <x:c r="EL87" s="445"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446" t="str">
        <x:f t="shared" si="128"/>
        <x:v/>
      </x:c>
      <x:c r="EN87" s="447" t="str">
        <x:f>IF(BD28="","",IF(ISERROR(VLOOKUP(BD28,TblJoistSize!$A$1:$G$274,2,FALSE)),"-",VLOOKUP(BD28,TblJoistSize!$A$1:$G$274,2,FALSE)))</x:f>
        <x:v/>
      </x:c>
      <x:c r="EO87" s="448" t="str">
        <x:f t="shared" si="129"/>
        <x:v/>
      </x:c>
    </x:row>
    <x:row r="88" spans="140:145" ht="15" customHeight="1" x14ac:dyDescent="0.2">
      <x:c r="EJ88" s="507">
        <x:f t="shared" si="127"/>
        <x:v>0.66666666666666663</x:v>
      </x:c>
      <x:c r="EL88" s="445"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446" t="str">
        <x:f t="shared" si="128"/>
        <x:v/>
      </x:c>
      <x:c r="EN88" s="447" t="str">
        <x:f>IF(BD29="","",IF(ISERROR(VLOOKUP(BD29,TblJoistSize!$A$1:$G$274,2,FALSE)),"-",VLOOKUP(BD29,TblJoistSize!$A$1:$G$274,2,FALSE)))</x:f>
        <x:v/>
      </x:c>
      <x:c r="EO88" s="448" t="str">
        <x:f t="shared" si="129"/>
        <x:v/>
      </x:c>
    </x:row>
    <x:row r="89" spans="140:145" ht="15" customHeight="1" x14ac:dyDescent="0.2">
      <x:c r="EJ89" s="507">
        <x:f t="shared" si="127"/>
        <x:v>0.66666666666666663</x:v>
      </x:c>
      <x:c r="EL89" s="445"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446" t="str">
        <x:f t="shared" si="128"/>
        <x:v/>
      </x:c>
      <x:c r="EN89" s="447" t="str">
        <x:f>IF(BD30="","",IF(ISERROR(VLOOKUP(BD30,TblJoistSize!$A$1:$G$274,2,FALSE)),"-",VLOOKUP(BD30,TblJoistSize!$A$1:$G$274,2,FALSE)))</x:f>
        <x:v/>
      </x:c>
      <x:c r="EO89" s="448" t="str">
        <x:f t="shared" si="129"/>
        <x:v/>
      </x:c>
    </x:row>
    <x:row r="90" spans="140:145" ht="15" customHeight="1" x14ac:dyDescent="0.2">
      <x:c r="EJ90" s="507">
        <x:f t="shared" si="127"/>
        <x:v>0.66666666666666663</x:v>
      </x:c>
      <x:c r="EL90" s="445"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446" t="str">
        <x:f t="shared" si="128"/>
        <x:v/>
      </x:c>
      <x:c r="EN90" s="447" t="str">
        <x:f>IF(BD31="","",IF(ISERROR(VLOOKUP(BD31,TblJoistSize!$A$1:$G$274,2,FALSE)),"-",VLOOKUP(BD31,TblJoistSize!$A$1:$G$274,2,FALSE)))</x:f>
        <x:v/>
      </x:c>
      <x:c r="EO90" s="448" t="str">
        <x:f t="shared" si="129"/>
        <x:v/>
      </x:c>
    </x:row>
    <x:row r="91" spans="140:145" ht="15" customHeight="1" x14ac:dyDescent="0.2">
      <x:c r="EJ91" s="507">
        <x:f t="shared" si="127"/>
        <x:v>0.66666666666666663</x:v>
      </x:c>
      <x:c r="EL91" s="445"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446" t="str">
        <x:f t="shared" si="128"/>
        <x:v/>
      </x:c>
      <x:c r="EN91" s="447" t="str">
        <x:f>IF(BD32="","",IF(ISERROR(VLOOKUP(BD32,TblJoistSize!$A$1:$G$274,2,FALSE)),"-",VLOOKUP(BD32,TblJoistSize!$A$1:$G$274,2,FALSE)))</x:f>
        <x:v/>
      </x:c>
      <x:c r="EO91" s="448" t="str">
        <x:f t="shared" si="129"/>
        <x:v/>
      </x:c>
    </x:row>
    <x:row r="92" spans="140:145" ht="15" customHeight="1" x14ac:dyDescent="0.2">
      <x:c r="EJ92" s="507">
        <x:f t="shared" si="127"/>
        <x:v>0.66666666666666663</x:v>
      </x:c>
      <x:c r="EL92" s="445"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446" t="str">
        <x:f t="shared" si="128"/>
        <x:v/>
      </x:c>
      <x:c r="EN92" s="447" t="str">
        <x:f>IF(BD33="","",IF(ISERROR(VLOOKUP(BD33,TblJoistSize!$A$1:$G$274,2,FALSE)),"-",VLOOKUP(BD33,TblJoistSize!$A$1:$G$274,2,FALSE)))</x:f>
        <x:v/>
      </x:c>
      <x:c r="EO92" s="448" t="str">
        <x:f t="shared" si="129"/>
        <x:v/>
      </x:c>
    </x:row>
    <x:row r="93" spans="140:145" ht="15" customHeight="1" x14ac:dyDescent="0.2">
      <x:c r="EJ93" s="507">
        <x:f t="shared" si="127"/>
        <x:v>0.66666666666666663</x:v>
      </x:c>
      <x:c r="EL93" s="445"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446" t="str">
        <x:f t="shared" si="128"/>
        <x:v/>
      </x:c>
      <x:c r="EN93" s="447" t="str">
        <x:f>IF(BD34="","",IF(ISERROR(VLOOKUP(BD34,TblJoistSize!$A$1:$G$274,2,FALSE)),"-",VLOOKUP(BD34,TblJoistSize!$A$1:$G$274,2,FALSE)))</x:f>
        <x:v/>
      </x:c>
      <x:c r="EO93" s="448" t="str">
        <x:f t="shared" si="129"/>
        <x:v/>
      </x:c>
    </x:row>
    <x:row r="94" spans="140:145" ht="15" customHeight="1" x14ac:dyDescent="0.2">
      <x:c r="EJ94" s="507">
        <x:f t="shared" si="127"/>
        <x:v>0.66666666666666663</x:v>
      </x:c>
      <x:c r="EL94" s="445"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446" t="str">
        <x:f t="shared" si="128"/>
        <x:v/>
      </x:c>
      <x:c r="EN94" s="447" t="str">
        <x:f>IF(BD35="","",IF(ISERROR(VLOOKUP(BD35,TblJoistSize!$A$1:$G$274,2,FALSE)),"-",VLOOKUP(BD35,TblJoistSize!$A$1:$G$274,2,FALSE)))</x:f>
        <x:v/>
      </x:c>
      <x:c r="EO94" s="448" t="str">
        <x:f t="shared" si="129"/>
        <x:v/>
      </x:c>
    </x:row>
    <x:row r="95" spans="140:145" ht="15" customHeight="1" x14ac:dyDescent="0.2">
      <x:c r="EJ95" s="507">
        <x:f t="shared" si="127"/>
        <x:v>0.66666666666666663</x:v>
      </x:c>
      <x:c r="EL95" s="445"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446" t="str">
        <x:f t="shared" si="128"/>
        <x:v/>
      </x:c>
      <x:c r="EN95" s="447" t="str">
        <x:f>IF(BD36="","",IF(ISERROR(VLOOKUP(BD36,TblJoistSize!$A$1:$G$274,2,FALSE)),"-",VLOOKUP(BD36,TblJoistSize!$A$1:$G$274,2,FALSE)))</x:f>
        <x:v/>
      </x:c>
      <x:c r="EO95" s="448" t="str">
        <x:f t="shared" si="129"/>
        <x:v/>
      </x:c>
    </x:row>
    <x:row r="96" spans="140:145" ht="15" customHeight="1" x14ac:dyDescent="0.2">
      <x:c r="EJ96" s="507">
        <x:f t="shared" si="127"/>
        <x:v>0.66666666666666663</x:v>
      </x:c>
      <x:c r="EL96" s="445"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446" t="str">
        <x:f t="shared" si="128"/>
        <x:v/>
      </x:c>
      <x:c r="EN96" s="447" t="str">
        <x:f>IF(BD37="","",IF(ISERROR(VLOOKUP(BD37,TblJoistSize!$A$1:$G$274,2,FALSE)),"-",VLOOKUP(BD37,TblJoistSize!$A$1:$G$274,2,FALSE)))</x:f>
        <x:v/>
      </x:c>
      <x:c r="EO96" s="448" t="str">
        <x:f t="shared" si="129"/>
        <x:v/>
      </x:c>
    </x:row>
    <x:row r="97" spans="140:145" ht="15" customHeight="1" x14ac:dyDescent="0.2">
      <x:c r="EJ97" s="507">
        <x:f t="shared" si="127"/>
        <x:v>0.66666666666666663</x:v>
      </x:c>
      <x:c r="EL97" s="445"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446" t="str">
        <x:f t="shared" si="128"/>
        <x:v/>
      </x:c>
      <x:c r="EN97" s="447" t="str">
        <x:f>IF(BD38="","",IF(ISERROR(VLOOKUP(BD38,TblJoistSize!$A$1:$G$274,2,FALSE)),"-",VLOOKUP(BD38,TblJoistSize!$A$1:$G$274,2,FALSE)))</x:f>
        <x:v/>
      </x:c>
      <x:c r="EO97" s="448" t="str">
        <x:f t="shared" si="129"/>
        <x:v/>
      </x:c>
    </x:row>
    <x:row r="98" spans="140:145" ht="15" customHeight="1" x14ac:dyDescent="0.2">
      <x:c r="EJ98" s="507">
        <x:f t="shared" si="127"/>
        <x:v>0.66666666666666663</x:v>
      </x:c>
      <x:c r="EL98" s="445"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446" t="str">
        <x:f t="shared" si="128"/>
        <x:v/>
      </x:c>
      <x:c r="EN98" s="447" t="str">
        <x:f>IF(BD39="","",IF(ISERROR(VLOOKUP(BD39,TblJoistSize!$A$1:$G$274,2,FALSE)),"-",VLOOKUP(BD39,TblJoistSize!$A$1:$G$274,2,FALSE)))</x:f>
        <x:v/>
      </x:c>
      <x:c r="EO98" s="448" t="str">
        <x:f t="shared" si="129"/>
        <x:v/>
      </x:c>
    </x:row>
    <x:row r="99" spans="140:145" ht="15" customHeight="1" x14ac:dyDescent="0.2">
      <x:c r="EJ99" s="507">
        <x:f t="shared" si="127"/>
        <x:v>0.66666666666666663</x:v>
      </x:c>
      <x:c r="EL99" s="445"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446" t="str">
        <x:f t="shared" si="128"/>
        <x:v/>
      </x:c>
      <x:c r="EN99" s="447" t="str">
        <x:f>IF(BD40="","",IF(ISERROR(VLOOKUP(BD40,TblJoistSize!$A$1:$G$274,2,FALSE)),"-",VLOOKUP(BD40,TblJoistSize!$A$1:$G$274,2,FALSE)))</x:f>
        <x:v/>
      </x:c>
      <x:c r="EO99" s="448" t="str">
        <x:f t="shared" si="129"/>
        <x:v/>
      </x:c>
    </x:row>
    <x:row r="100" spans="140:145" ht="15" customHeight="1" x14ac:dyDescent="0.2">
      <x:c r="EJ100" s="507" t="str">
        <x:f t="shared" si="127"/>
        <x:v/>
      </x:c>
      <x:c r="EL100" s="445"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446" t="str">
        <x:f t="shared" si="128"/>
        <x:v/>
      </x:c>
      <x:c r="EN100" s="447" t="str">
        <x:f>IF(BD41="","",IF(ISERROR(VLOOKUP(BD41,TblJoistSize!$A$1:$G$274,2,FALSE)),"-",VLOOKUP(BD41,TblJoistSize!$A$1:$G$274,2,FALSE)))</x:f>
        <x:v/>
      </x:c>
      <x:c r="EO100" s="448" t="str">
        <x:f t="shared" si="129"/>
        <x:v/>
      </x:c>
    </x:row>
    <x:row r="101" spans="140:145" x14ac:dyDescent="0.2">
      <x:c r="EJ101" s="507" t="str">
        <x:f t="shared" si="127"/>
        <x:v/>
      </x:c>
      <x:c r="EL101" s="445"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446" t="str">
        <x:f t="shared" si="128"/>
        <x:v/>
      </x:c>
      <x:c r="EN101" s="447" t="str">
        <x:f>IF(BD42="","",IF(ISERROR(VLOOKUP(BD42,TblJoistSize!$A$1:$G$274,2,FALSE)),"-",VLOOKUP(BD42,TblJoistSize!$A$1:$G$274,2,FALSE)))</x:f>
        <x:v/>
      </x:c>
      <x:c r="EO101" s="448" t="str">
        <x:f t="shared" si="129"/>
        <x:v/>
      </x:c>
    </x:row>
    <x:row r="102" spans="140:145" x14ac:dyDescent="0.2">
      <x:c r="EJ102" s="507" t="str">
        <x:f t="shared" si="127"/>
        <x:v/>
      </x:c>
      <x:c r="EL102" s="445"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446" t="str">
        <x:f t="shared" si="128"/>
        <x:v/>
      </x:c>
      <x:c r="EN102" s="447" t="str">
        <x:f>IF(BD43="","",IF(ISERROR(VLOOKUP(BD43,TblJoistSize!$A$1:$G$274,2,FALSE)),"-",VLOOKUP(BD43,TblJoistSize!$A$1:$G$274,2,FALSE)))</x:f>
        <x:v/>
      </x:c>
      <x:c r="EO102" s="448" t="str">
        <x:f t="shared" si="129"/>
        <x:v/>
      </x:c>
    </x:row>
    <x:row r="103" spans="140:145" x14ac:dyDescent="0.2">
      <x:c r="EJ103" s="507" t="str">
        <x:f t="shared" si="127"/>
        <x:v/>
      </x:c>
      <x:c r="EL103" s="445"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446" t="str">
        <x:f t="shared" si="128"/>
        <x:v/>
      </x:c>
      <x:c r="EN103" s="447" t="str">
        <x:f>IF(BD44="","",IF(ISERROR(VLOOKUP(BD44,TblJoistSize!$A$1:$G$274,2,FALSE)),"-",VLOOKUP(BD44,TblJoistSize!$A$1:$G$274,2,FALSE)))</x:f>
        <x:v/>
      </x:c>
      <x:c r="EO103" s="448" t="str">
        <x:f t="shared" si="129"/>
        <x:v/>
      </x:c>
    </x:row>
    <x:row r="104" spans="140:145" x14ac:dyDescent="0.2">
      <x:c r="EJ104" s="507" t="str">
        <x:f t="shared" si="127"/>
        <x:v/>
      </x:c>
      <x:c r="EL104" s="445"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446" t="str">
        <x:f t="shared" si="128"/>
        <x:v/>
      </x:c>
      <x:c r="EN104" s="447" t="str">
        <x:f>IF(BD45="","",IF(ISERROR(VLOOKUP(BD45,TblJoistSize!$A$1:$G$274,2,FALSE)),"-",VLOOKUP(BD45,TblJoistSize!$A$1:$G$274,2,FALSE)))</x:f>
        <x:v/>
      </x:c>
      <x:c r="EO104" s="448" t="str">
        <x:f t="shared" si="129"/>
        <x:v/>
      </x:c>
    </x:row>
  </x:sheetData>
  <x:sheetProtection algorithmName="SHA-512" hashValue="wp0O+/C7+FR0qphgr0JOesOvhNOo+kt0RWhWW1JEN/IXgnnQKk3X3psCbSvQu85hlvW+vlr0Q6GP7VXEsbiUBg==" saltValue="8CDjPwmKcLX9KaA7EdfKCg==" spinCount="100000" sheet="1" objects="1" scenarios="1" selectLockedCells="1"/>
  <x:dataConsolidate link="1"/>
  <x:mergeCells count="190">
    <x:mergeCell ref="CC6:CF6"/>
    <x:mergeCell ref="M7:S7"/>
    <x:mergeCell ref="C9:O9"/>
    <x:mergeCell ref="S9:AA9"/>
    <x:mergeCell ref="C10:O10"/>
    <x:mergeCell ref="S10:W10"/>
    <x:mergeCell ref="Z10:AA10"/>
    <x:mergeCell ref="P1:S1"/>
    <x:mergeCell ref="P2:S3"/>
    <x:mergeCell ref="P4:S4"/>
    <x:mergeCell ref="A5:M5"/>
    <x:mergeCell ref="M6:T6"/>
    <x:mergeCell ref="Y6:Z6"/>
    <x:mergeCell ref="HA12:IF13"/>
    <x:mergeCell ref="AU13:AU15"/>
    <x:mergeCell ref="AV13:AW15"/>
    <x:mergeCell ref="BB13:BF13"/>
    <x:mergeCell ref="BG13:BR13"/>
    <x:mergeCell ref="BS13:CD13"/>
    <x:mergeCell ref="CE13:CE15"/>
    <x:mergeCell ref="CF13:CG14"/>
    <x:mergeCell ref="FH12:FH15"/>
    <x:mergeCell ref="FI12:FI15"/>
    <x:mergeCell ref="FJ12:FJ15"/>
    <x:mergeCell ref="FK12:FK15"/>
    <x:mergeCell ref="FL12:FL15"/>
    <x:mergeCell ref="FM12:FM15"/>
    <x:mergeCell ref="FB12:FB15"/>
    <x:mergeCell ref="FC12:FC15"/>
    <x:mergeCell ref="FD12:FD15"/>
    <x:mergeCell ref="FE12:FE15"/>
    <x:mergeCell ref="FF12:FF15"/>
    <x:mergeCell ref="FG12:FG15"/>
    <x:mergeCell ref="EV12:EV15"/>
    <x:mergeCell ref="EW12:EW15"/>
    <x:mergeCell ref="EX12:EX15"/>
    <x:mergeCell ref="EY12:EY15"/>
    <x:mergeCell ref="CU13:DD13"/>
    <x:mergeCell ref="DE13:DN13"/>
    <x:mergeCell ref="GA13:GJ13"/>
    <x:mergeCell ref="A14:A15"/>
    <x:mergeCell ref="B14:B15"/>
    <x:mergeCell ref="C14:C15"/>
    <x:mergeCell ref="D14:E15"/>
    <x:mergeCell ref="F14:H14"/>
    <x:mergeCell ref="I14:K14"/>
    <x:mergeCell ref="L14:M14"/>
    <x:mergeCell ref="FN12:FN15"/>
    <x:mergeCell ref="FQ12:FR13"/>
    <x:mergeCell ref="EZ12:EZ15"/>
    <x:mergeCell ref="FA12:FA15"/>
    <x:mergeCell ref="BB11:CB12"/>
    <x:mergeCell ref="CD11:CG12"/>
    <x:mergeCell ref="CN12:CO14"/>
    <x:mergeCell ref="CP12:CQ14"/>
    <x:mergeCell ref="CR12:CR15"/>
    <x:mergeCell ref="CS12:CS15"/>
    <x:mergeCell ref="BC14:BC15"/>
    <x:mergeCell ref="BD14:BD15"/>
    <x:mergeCell ref="BE14:BF15"/>
    <x:mergeCell ref="BG14:BG15"/>
    <x:mergeCell ref="BH14:BI15"/>
    <x:mergeCell ref="BJ14:BJ15"/>
    <x:mergeCell ref="BK14:BL15"/>
    <x:mergeCell ref="BM14:BM15"/>
    <x:mergeCell ref="BN14:BN15"/>
    <x:mergeCell ref="BO14:BO15"/>
    <x:mergeCell ref="N14:P14"/>
    <x:mergeCell ref="Q14:S14"/>
    <x:mergeCell ref="T14:X14"/>
    <x:mergeCell ref="Y14:Z14"/>
    <x:mergeCell ref="AZ14:AZ15"/>
    <x:mergeCell ref="BB14:BB15"/>
    <x:mergeCell ref="BZ14:BZ15"/>
    <x:mergeCell ref="CA14:CA15"/>
    <x:mergeCell ref="CB14:CD14"/>
    <x:mergeCell ref="CH14:CJ14"/>
    <x:mergeCell ref="CK14:CK15"/>
    <x:mergeCell ref="CL14:CM14"/>
    <x:mergeCell ref="BP14:BR14"/>
    <x:mergeCell ref="BS14:BS15"/>
    <x:mergeCell ref="BT14:BU15"/>
    <x:mergeCell ref="BV14:BV15"/>
    <x:mergeCell ref="BW14:BX15"/>
    <x:mergeCell ref="BY14:BY15"/>
    <x:mergeCell ref="DA14:DA15"/>
    <x:mergeCell ref="DB14:DB15"/>
    <x:mergeCell ref="DC14:DC15"/>
    <x:mergeCell ref="DD14:DD15"/>
    <x:mergeCell ref="DE14:DE15"/>
    <x:mergeCell ref="DF14:DF15"/>
    <x:mergeCell ref="CU14:CU15"/>
    <x:mergeCell ref="CV14:CV15"/>
    <x:mergeCell ref="CW14:CW15"/>
    <x:mergeCell ref="CX14:CX15"/>
    <x:mergeCell ref="CY14:CY15"/>
    <x:mergeCell ref="CZ14:CZ15"/>
    <x:mergeCell ref="DM14:DM15"/>
    <x:mergeCell ref="DN14:DN15"/>
    <x:mergeCell ref="DO14:DO15"/>
    <x:mergeCell ref="DP14:DP15"/>
    <x:mergeCell ref="DQ14:DQ15"/>
    <x:mergeCell ref="DR14:DR15"/>
    <x:mergeCell ref="DG14:DG15"/>
    <x:mergeCell ref="DH14:DH15"/>
    <x:mergeCell ref="DI14:DI15"/>
    <x:mergeCell ref="DJ14:DJ15"/>
    <x:mergeCell ref="DK14:DK15"/>
    <x:mergeCell ref="DL14:DL15"/>
    <x:mergeCell ref="DZ14:EA14"/>
    <x:mergeCell ref="EB14:EB15"/>
    <x:mergeCell ref="EC14:EC15"/>
    <x:mergeCell ref="ED14:ED15"/>
    <x:mergeCell ref="EE14:EE15"/>
    <x:mergeCell ref="EF14:EG14"/>
    <x:mergeCell ref="DS14:DS15"/>
    <x:mergeCell ref="DT14:DU14"/>
    <x:mergeCell ref="DV14:DV15"/>
    <x:mergeCell ref="DW14:DW15"/>
    <x:mergeCell ref="DX14:DX15"/>
    <x:mergeCell ref="DY14:DY15"/>
    <x:mergeCell ref="ES14:ES15"/>
    <x:mergeCell ref="ET14:ET15"/>
    <x:mergeCell ref="EU14:EU15"/>
    <x:mergeCell ref="FO14:FO15"/>
    <x:mergeCell ref="FP14:FP15"/>
    <x:mergeCell ref="FQ14:FQ15"/>
    <x:mergeCell ref="EH14:EI14"/>
    <x:mergeCell ref="EJ14:EK14"/>
    <x:mergeCell ref="EL14:EL15"/>
    <x:mergeCell ref="EM14:EN14"/>
    <x:mergeCell ref="EO14:EP14"/>
    <x:mergeCell ref="EQ14:ER14"/>
    <x:mergeCell ref="GI14:GJ14"/>
    <x:mergeCell ref="GK14:GK15"/>
    <x:mergeCell ref="GL14:GL15"/>
    <x:mergeCell ref="FR14:FR15"/>
    <x:mergeCell ref="FS14:FS15"/>
    <x:mergeCell ref="FT14:FT15"/>
    <x:mergeCell ref="FU14:FV14"/>
    <x:mergeCell ref="GA14:GB14"/>
    <x:mergeCell ref="GC14:GD14"/>
    <x:mergeCell ref="F15:G15"/>
    <x:mergeCell ref="I15:J15"/>
    <x:mergeCell ref="N15:O15"/>
    <x:mergeCell ref="Q15:R15"/>
    <x:mergeCell ref="T15:U15"/>
    <x:mergeCell ref="V15:W15"/>
    <x:mergeCell ref="HY14:HY15"/>
    <x:mergeCell ref="HZ14:HZ15"/>
    <x:mergeCell ref="IA14:IA15"/>
    <x:mergeCell ref="HS14:HS15"/>
    <x:mergeCell ref="HT14:HT15"/>
    <x:mergeCell ref="HU14:HU15"/>
    <x:mergeCell ref="HV14:HV15"/>
    <x:mergeCell ref="HW14:HW15"/>
    <x:mergeCell ref="HX14:HX15"/>
    <x:mergeCell ref="HM14:HM15"/>
    <x:mergeCell ref="HN14:HN15"/>
    <x:mergeCell ref="HO14:HO15"/>
    <x:mergeCell ref="HP14:HP15"/>
    <x:mergeCell ref="HQ14:HQ15"/>
    <x:mergeCell ref="HR14:HR15"/>
    <x:mergeCell ref="HG14:HG15"/>
    <x:mergeCell ref="HH14:HH15"/>
    <x:mergeCell ref="HI14:HI15"/>
    <x:mergeCell ref="CP57:CQ57"/>
    <x:mergeCell ref="EL71:EO71"/>
    <x:mergeCell ref="EL72:EL74"/>
    <x:mergeCell ref="EM72:EM74"/>
    <x:mergeCell ref="EN72:EN74"/>
    <x:mergeCell ref="EO72:EO74"/>
    <x:mergeCell ref="EJ73:EJ74"/>
    <x:mergeCell ref="IE14:IE15"/>
    <x:mergeCell ref="IF14:IF15"/>
    <x:mergeCell ref="IB14:IB15"/>
    <x:mergeCell ref="IC14:IC15"/>
    <x:mergeCell ref="ID14:ID15"/>
    <x:mergeCell ref="HJ14:HJ15"/>
    <x:mergeCell ref="HK14:HK15"/>
    <x:mergeCell ref="HL14:HL15"/>
    <x:mergeCell ref="GM14:GM15"/>
    <x:mergeCell ref="HA14:HA15"/>
    <x:mergeCell ref="HB14:HB15"/>
    <x:mergeCell ref="HC14:HC15"/>
    <x:mergeCell ref="HD14:HE15"/>
    <x:mergeCell ref="HF14:HF15"/>
    <x:mergeCell ref="GE14:GE15"/>
    <x:mergeCell ref="GF14:GF15"/>
    <x:mergeCell ref="GG14:GH14"/>
  </x:mergeCells>
  <x:conditionalFormatting sqref="EF57">
    <x:cfRule type="cellIs" dxfId="173" priority="53" stopIfTrue="1" operator="notEqual">
      <x:formula>$EG57</x:formula>
    </x:cfRule>
  </x:conditionalFormatting>
  <x:conditionalFormatting sqref="EM57">
    <x:cfRule type="cellIs" dxfId="172" priority="54" stopIfTrue="1" operator="notEqual">
      <x:formula>$EN57</x:formula>
    </x:cfRule>
  </x:conditionalFormatting>
  <x:conditionalFormatting sqref="P2:S4">
    <x:cfRule type="cellIs" dxfId="171" priority="56" stopIfTrue="1" operator="equal">
      <x:formula>""</x:formula>
    </x:cfRule>
  </x:conditionalFormatting>
  <x:conditionalFormatting sqref="EF16:EF45">
    <x:cfRule type="cellIs" dxfId="170" priority="52" stopIfTrue="1" operator="notEqual">
      <x:formula>$EG16</x:formula>
    </x:cfRule>
  </x:conditionalFormatting>
  <x:conditionalFormatting sqref="CC7">
    <x:cfRule type="expression" dxfId="169" priority="51" stopIfTrue="1">
      <x:formula>ISBLANK($CC$7)</x:formula>
    </x:cfRule>
  </x:conditionalFormatting>
  <x:conditionalFormatting sqref="CC6">
    <x:cfRule type="expression" dxfId="168" priority="50" stopIfTrue="1">
      <x:formula>ISBLANK($CC$6)</x:formula>
    </x:cfRule>
  </x:conditionalFormatting>
  <x:conditionalFormatting sqref="M7">
    <x:cfRule type="expression" dxfId="167" priority="48" stopIfTrue="1">
      <x:formula>OR(ISBLANK($M$7),$M$7="")</x:formula>
    </x:cfRule>
    <x:cfRule type="expression" dxfId="166" priority="49" stopIfTrue="1">
      <x:formula>NOT(OR(COUNTIF(masterFinishList, $M$7) &gt; 0, COUNTIF($M$7, "Other:*") &gt; 0))</x:formula>
    </x:cfRule>
  </x:conditionalFormatting>
  <x:conditionalFormatting sqref="BD16:BD45">
    <x:cfRule type="expression" dxfId="165" priority="47">
      <x:formula>AND(NOT($AY16),NOT($AP16))</x:formula>
    </x:cfRule>
  </x:conditionalFormatting>
  <x:conditionalFormatting sqref="C16:C45">
    <x:cfRule type="expression" dxfId="164" priority="45">
      <x:formula>AND(NOT($AY16),NOT($AP16))</x:formula>
    </x:cfRule>
  </x:conditionalFormatting>
  <x:conditionalFormatting sqref="X16:X45">
    <x:cfRule type="expression" dxfId="163" priority="28">
      <x:formula>$X16=0</x:formula>
    </x:cfRule>
  </x:conditionalFormatting>
  <x:conditionalFormatting sqref="CG16:CG45">
    <x:cfRule type="expression" dxfId="162" priority="55">
      <x:formula>OR(CH16&lt;&gt;"",CI16&lt;&gt;"",CJ16&lt;&gt;"",CK16&lt;&gt;"",CL16&lt;&gt;"",CM16&lt;&gt;"",CP16&lt;&gt;"",CQ16&lt;&gt;"")</x:formula>
    </x:cfRule>
  </x:conditionalFormatting>
  <x:conditionalFormatting sqref="BE16:BF45">
    <x:cfRule type="expression" dxfId="161" priority="57">
      <x:formula>AND(NOT($AY16),AND($AZ16,AND($AK16&lt;&gt;"HDR",$AK16&lt;&gt;"JS",$AJ16&gt;=8)))</x:formula>
    </x:cfRule>
  </x:conditionalFormatting>
  <x:conditionalFormatting sqref="D16:E45">
    <x:cfRule type="expression" dxfId="160" priority="46">
      <x:formula>AND(NOT($AY16),AND($AZ16,AND($AK16&lt;&gt;"HDR",$AK16&lt;&gt;"JS",$AJ16&gt;=8)))</x:formula>
    </x:cfRule>
    <x:cfRule type="expression" dxfId="159" priority="80" stopIfTrue="1">
      <x:formula xml:space="preserve"> AND($GM16 &gt;= 0.125, $GL16 &gt; 0)</x:formula>
    </x:cfRule>
  </x:conditionalFormatting>
  <x:conditionalFormatting sqref="AA12">
    <x:cfRule type="expression" dxfId="158" priority="44">
      <x:formula>OR(ISBLANK(AA12),AA12="")</x:formula>
    </x:cfRule>
  </x:conditionalFormatting>
  <x:conditionalFormatting sqref="A16:S45 X16:AA45 BB16:CD45">
    <x:cfRule type="expression" dxfId="157" priority="58">
      <x:formula>$AC16</x:formula>
    </x:cfRule>
  </x:conditionalFormatting>
  <x:conditionalFormatting sqref="BG16:BG45">
    <x:cfRule type="expression" dxfId="156" priority="29">
      <x:formula>AND(NOT($AY16),ISERROR(CU16))</x:formula>
    </x:cfRule>
    <x:cfRule type="expression" dxfId="155" priority="42">
      <x:formula>AND(NOT($AY16),OR(CP16&lt;&gt;"", CU16=""))</x:formula>
    </x:cfRule>
  </x:conditionalFormatting>
  <x:conditionalFormatting sqref="BH16:BH45">
    <x:cfRule type="expression" dxfId="154" priority="36">
      <x:formula>AND(NOT($AY16),OR($CU16="M",$CU16="C",AND($CU16="B",$DC16&gt;0)))</x:formula>
    </x:cfRule>
    <x:cfRule type="expression" dxfId="153" priority="37">
      <x:formula>AND(NOT($AY16),AND(BH16="",BI16="",OR($CU16="B",$CU16="G")))</x:formula>
    </x:cfRule>
    <x:cfRule type="expression" dxfId="152" priority="38">
      <x:formula>AND(NOT($AY16),(BH16/2)/COS(RADIANS(BM16))+CV16-DW16&lt;VLOOKUP(AU16,$DF$2:$DJ$9,5,FALSE))</x:formula>
    </x:cfRule>
  </x:conditionalFormatting>
  <x:conditionalFormatting sqref="BI16:BI45">
    <x:cfRule type="expression" dxfId="151" priority="39">
      <x:formula>AND(NOT($AY16),OR($CU16="M",$CU16="C",AND($CU16="B",$DC16&gt;0)))</x:formula>
    </x:cfRule>
    <x:cfRule type="expression" dxfId="150" priority="40">
      <x:formula>AND(NOT($AY16),AND(BH16="",BI16="",OR($CU16="B",$CU16="G")))</x:formula>
    </x:cfRule>
    <x:cfRule type="expression" dxfId="149" priority="41">
      <x:formula>AND(NOT($AY16),(BI16/2)/COS(RADIANS(BM16))+CV16-DW16&lt;VLOOKUP(AU16,$DF$2:$DJ$9,5,FALSE))</x:formula>
    </x:cfRule>
  </x:conditionalFormatting>
  <x:conditionalFormatting sqref="BK16:BK45">
    <x:cfRule type="expression" dxfId="148" priority="30">
      <x:formula>AND(NOT($AY16),OR($CU16="M",$CU16="C",AND($CU16="B",$DA16&lt;&gt;"")))</x:formula>
    </x:cfRule>
    <x:cfRule type="expression" dxfId="147" priority="31">
      <x:formula>AND(NOT($AY16),AND(BJ16="X",BK16="",BL16=""))</x:formula>
    </x:cfRule>
    <x:cfRule type="expression" dxfId="146" priority="32">
      <x:formula>AND(NOT($AY16),EZ16="ERR")</x:formula>
    </x:cfRule>
  </x:conditionalFormatting>
  <x:conditionalFormatting sqref="BL16:BL45">
    <x:cfRule type="expression" dxfId="145" priority="33">
      <x:formula>AND(NOT($AY16),OR($CU16="M",$CU16="C",AND($CU16="B",$DA16&lt;&gt;"")))</x:formula>
    </x:cfRule>
    <x:cfRule type="expression" dxfId="144" priority="34">
      <x:formula>AND(NOT($AY16),AND(BJ16="X",BK16="",BL16=""))</x:formula>
    </x:cfRule>
    <x:cfRule type="expression" dxfId="143" priority="35">
      <x:formula>AND(NOT($AY16),EZ16="ERR")</x:formula>
    </x:cfRule>
  </x:conditionalFormatting>
  <x:conditionalFormatting sqref="A16:B45 BB16:BC45">
    <x:cfRule type="expression" dxfId="142" priority="43">
      <x:formula>AND(NOT($AE$1),$B16=0,$AD$1="M")</x:formula>
    </x:cfRule>
  </x:conditionalFormatting>
  <x:conditionalFormatting sqref="AA16:AA45">
    <x:cfRule type="expression" dxfId="141" priority="27">
      <x:formula>AND(NOT($AY16),LEN(AA16)&gt;31)</x:formula>
    </x:cfRule>
  </x:conditionalFormatting>
  <x:conditionalFormatting sqref="GA16:GB45">
    <x:cfRule type="expression" dxfId="140" priority="26" stopIfTrue="1">
      <x:formula>$GM16&gt;=0.125</x:formula>
    </x:cfRule>
  </x:conditionalFormatting>
  <x:conditionalFormatting sqref="BO16:BO45">
    <x:cfRule type="expression" dxfId="139" priority="21">
      <x:formula>AND(BO16="X",CY16="")</x:formula>
    </x:cfRule>
    <x:cfRule type="expression" dxfId="138" priority="22">
      <x:formula>AND(BO16="",CY16&lt;&gt;"")</x:formula>
    </x:cfRule>
  </x:conditionalFormatting>
  <x:conditionalFormatting sqref="CA16:CA45">
    <x:cfRule type="expression" dxfId="137" priority="23">
      <x:formula>AND(CA16="X",DI16="")</x:formula>
    </x:cfRule>
    <x:cfRule type="expression" dxfId="136" priority="24">
      <x:formula>AND(CA16="",DI16&lt;&gt;"")</x:formula>
    </x:cfRule>
  </x:conditionalFormatting>
  <x:conditionalFormatting sqref="CE16:CG45">
    <x:cfRule type="expression" dxfId="135" priority="25">
      <x:formula>$AC16</x:formula>
    </x:cfRule>
  </x:conditionalFormatting>
  <x:conditionalFormatting sqref="EM16:EM45">
    <x:cfRule type="cellIs" dxfId="134" priority="20" stopIfTrue="1" operator="notEqual">
      <x:formula>$EN16</x:formula>
    </x:cfRule>
  </x:conditionalFormatting>
  <x:conditionalFormatting sqref="U16:U45">
    <x:cfRule type="expression" dxfId="133" priority="16">
      <x:formula>AND(NOT($AY16),NOT(AR16),$P16&lt;&gt;3)</x:formula>
    </x:cfRule>
  </x:conditionalFormatting>
  <x:conditionalFormatting sqref="W16:W45">
    <x:cfRule type="expression" dxfId="132" priority="18">
      <x:formula>AND(NOT($AY16),NOT(AT16),$S16&lt;&gt;3)</x:formula>
    </x:cfRule>
  </x:conditionalFormatting>
  <x:conditionalFormatting sqref="T16:T45">
    <x:cfRule type="expression" dxfId="131" priority="15">
      <x:formula>AND(NOT($AY16),NOT(AR16),$P16&lt;&gt;3)</x:formula>
    </x:cfRule>
  </x:conditionalFormatting>
  <x:conditionalFormatting sqref="V16:V45">
    <x:cfRule type="expression" dxfId="130" priority="17">
      <x:formula>AND(NOT($AY16),NOT(AT16),$S16&lt;&gt;3)</x:formula>
    </x:cfRule>
  </x:conditionalFormatting>
  <x:conditionalFormatting sqref="T16:W45">
    <x:cfRule type="expression" dxfId="129" priority="19">
      <x:formula>$AC16</x:formula>
    </x:cfRule>
  </x:conditionalFormatting>
  <x:conditionalFormatting sqref="C57">
    <x:cfRule type="expression" dxfId="128" priority="12">
      <x:formula>AND(NOT($AY57),NOT($AP57))</x:formula>
    </x:cfRule>
  </x:conditionalFormatting>
  <x:conditionalFormatting sqref="X57">
    <x:cfRule type="expression" dxfId="127" priority="10">
      <x:formula>$X57=0</x:formula>
    </x:cfRule>
  </x:conditionalFormatting>
  <x:conditionalFormatting sqref="D57:E57">
    <x:cfRule type="expression" dxfId="126" priority="13">
      <x:formula>AND(NOT($AY57),AND($AZ57,AND($AK57&lt;&gt;"HDR",$AK57&lt;&gt;"JS",$AJ57&gt;=8)))</x:formula>
    </x:cfRule>
  </x:conditionalFormatting>
  <x:conditionalFormatting sqref="A57:S57 X57:AA57">
    <x:cfRule type="expression" dxfId="125" priority="14">
      <x:formula>$AC57</x:formula>
    </x:cfRule>
  </x:conditionalFormatting>
  <x:conditionalFormatting sqref="A57:B57">
    <x:cfRule type="expression" dxfId="124" priority="11">
      <x:formula>AND(NOT($AE$1),$B57=0,$AD$1="M")</x:formula>
    </x:cfRule>
  </x:conditionalFormatting>
  <x:conditionalFormatting sqref="AA57">
    <x:cfRule type="expression" dxfId="123" priority="9">
      <x:formula>AND(NOT($AY57),LEN(AA57)&gt;31)</x:formula>
    </x:cfRule>
  </x:conditionalFormatting>
  <x:conditionalFormatting sqref="U57">
    <x:cfRule type="expression" dxfId="122" priority="5">
      <x:formula>AND(NOT($AY57),NOT(AR57),$P57&lt;&gt;3)</x:formula>
    </x:cfRule>
  </x:conditionalFormatting>
  <x:conditionalFormatting sqref="W57">
    <x:cfRule type="expression" dxfId="121" priority="7">
      <x:formula>AND(NOT($AY57),NOT(AT57),$S57&lt;&gt;3)</x:formula>
    </x:cfRule>
  </x:conditionalFormatting>
  <x:conditionalFormatting sqref="T57">
    <x:cfRule type="expression" dxfId="120" priority="4">
      <x:formula>AND(NOT($AY57),NOT(AR57),$P57&lt;&gt;3)</x:formula>
    </x:cfRule>
  </x:conditionalFormatting>
  <x:conditionalFormatting sqref="V57">
    <x:cfRule type="expression" dxfId="119" priority="6">
      <x:formula>AND(NOT($AY57),NOT(AT57),$S57&lt;&gt;3)</x:formula>
    </x:cfRule>
  </x:conditionalFormatting>
  <x:conditionalFormatting sqref="T57:W57">
    <x:cfRule type="expression" dxfId="118" priority="8">
      <x:formula>$AC57</x:formula>
    </x:cfRule>
  </x:conditionalFormatting>
  <x:conditionalFormatting sqref="BQ16:BQ45">
    <x:cfRule type="expression" dxfId="117" priority="3">
      <x:formula>CP16&lt;&gt;""</x:formula>
    </x:cfRule>
  </x:conditionalFormatting>
  <x:conditionalFormatting sqref="CC16:CC45">
    <x:cfRule type="expression" dxfId="116" priority="2">
      <x:formula>CQ16&lt;&gt;""</x:formula>
    </x:cfRule>
  </x:conditionalFormatting>
  <x:conditionalFormatting sqref="BS16:BS45">
    <x:cfRule type="expression" dxfId="115" priority="59">
      <x:formula>AND(NOT($AY16),ISERROR(DE16))</x:formula>
    </x:cfRule>
    <x:cfRule type="expression" dxfId="114" priority="60">
      <x:formula>AND(NOT($AY16),OR(DE16="", CQ16&lt;&gt;""))</x:formula>
    </x:cfRule>
  </x:conditionalFormatting>
  <x:conditionalFormatting sqref="BW16:BW45">
    <x:cfRule type="expression" dxfId="113" priority="61">
      <x:formula>AND(NOT($AY16),OR($DE16="M",$DE16="C",AND($DE16="B",$DK16&lt;&gt;"")))</x:formula>
    </x:cfRule>
    <x:cfRule type="expression" dxfId="112" priority="62">
      <x:formula>AND(NOT($AY16),AND(BV16="X",BW16="",BX16=""))</x:formula>
    </x:cfRule>
    <x:cfRule type="expression" dxfId="111" priority="63">
      <x:formula>AND(NOT($AY16),FC16="ERR")</x:formula>
    </x:cfRule>
  </x:conditionalFormatting>
  <x:conditionalFormatting sqref="BX16:BX45">
    <x:cfRule type="expression" dxfId="110" priority="64">
      <x:formula>AND(NOT($AY16),OR($DE16="M",$DE16="C",AND($DE16="B",$DK16&lt;&gt;"")))</x:formula>
    </x:cfRule>
    <x:cfRule type="expression" dxfId="109" priority="65">
      <x:formula>AND(NOT($AY16),AND(BV16="X",BW16="",BX16=""))</x:formula>
    </x:cfRule>
    <x:cfRule type="expression" dxfId="108" priority="66">
      <x:formula>AND(NOT($AY16),FC16="ERR")</x:formula>
    </x:cfRule>
  </x:conditionalFormatting>
  <x:conditionalFormatting sqref="BT16:BT45">
    <x:cfRule type="expression" dxfId="107" priority="67">
      <x:formula>AND(NOT($AY16),OR($DE16="M",$DE16="C",AND($DE16="B",$DM16&gt;0)))</x:formula>
    </x:cfRule>
    <x:cfRule type="expression" dxfId="106" priority="68">
      <x:formula>AND(NOT($AY16),AND(BT16="",BU16="",OR($DE16="B",$DE16="G")))</x:formula>
    </x:cfRule>
    <x:cfRule type="expression" dxfId="105" priority="69">
      <x:formula>AND(NOT($AY16),(BT16/2)/COS(RADIANS(BY16))+DF16-EC16&lt;VLOOKUP(AU16,$DF$2:$DJ$9,5,FALSE))</x:formula>
    </x:cfRule>
  </x:conditionalFormatting>
  <x:conditionalFormatting sqref="BU16:BU45">
    <x:cfRule type="expression" dxfId="104" priority="70">
      <x:formula>AND(NOT($AY16),OR($DE16="M",$DE16="C",AND($DE16="B",$DM16&gt;0)))</x:formula>
    </x:cfRule>
    <x:cfRule type="expression" dxfId="103" priority="71">
      <x:formula>AND(NOT($AY16),AND(BT16="",BU16="",OR($DE16="B",$DE16="G")))</x:formula>
    </x:cfRule>
    <x:cfRule type="expression" dxfId="102" priority="72">
      <x:formula>AND(NOT($AY16),(BU16/2)/COS(RADIANS(BY16))+DF16-EC16&lt;VLOOKUP(AU16,$DF$2:$DJ$9,5,FALSE))</x:formula>
    </x:cfRule>
  </x:conditionalFormatting>
  <x:conditionalFormatting sqref="BZ16:BZ45 BN16:BN45">
    <x:cfRule type="expression" dxfId="101" priority="73">
      <x:formula>AND(NOT($AY16),AND(ISBLANK(BN16),AND(NOT(ISBLANK(BM16)),$CE16&lt;&gt;0)))</x:formula>
    </x:cfRule>
  </x:conditionalFormatting>
  <x:conditionalFormatting sqref="BJ16:BJ45">
    <x:cfRule type="expression" dxfId="100" priority="74">
      <x:formula>AND(NOT($AY16),OR($CU16="C",AND($CU16="M",$DA16&gt;0)))</x:formula>
    </x:cfRule>
    <x:cfRule type="expression" dxfId="99" priority="75">
      <x:formula>AND(NOT($AY16),OR(NOT(IF(AND(OR(MID($BB16,1,1)="T",($BE16+$BF16/12)/IF(ABS($CE16)&gt;$DQ$1,COS($DO16),1)&gt;=40),OR($CU16="B",$CU16="G")),"X","")="X"),$EZ16="ERR"))</x:formula>
    </x:cfRule>
    <x:cfRule type="expression" dxfId="98" priority="76">
      <x:formula>AND(NOT($AY16),$BJ16&lt;&gt;"X",$BJ16&lt;&gt;IF(AND(OR(MID(BB16,1,1)="T",($BE16+$BF16/12)/IF(ABS($CE16)&gt;$DQ$1,COS($DO16),1)&gt;=40),OR($CU16="B",$CU16="G")),"X",""))</x:formula>
    </x:cfRule>
  </x:conditionalFormatting>
  <x:conditionalFormatting sqref="BV16:BV45">
    <x:cfRule type="expression" dxfId="97" priority="77">
      <x:formula>AND(NOT($AY16),OR($DE16="C",AND($DE16="M",$DK16&gt;0)))</x:formula>
    </x:cfRule>
    <x:cfRule type="expression" dxfId="96" priority="78">
      <x:formula>AND(NOT($AY16),OR(NOT(IF(AND(OR(MID($BB16,1,1)="T",($BE16+$BF16/12)/IF(ABS($CE16)&gt;$DQ$1,COS($DO16),1)&gt;=40),OR($DE16="B",$DE16="G")),"X","")="X"),$FC16="ERR"))</x:formula>
    </x:cfRule>
    <x:cfRule type="expression" dxfId="95" priority="79">
      <x:formula>AND(NOT($AY16),$BV16&lt;&gt;"X",$BV16&lt;&gt;IF(AND(OR(MID(BB16,1,1)="T",($BE16+$BF16/12)/IF(ABS($CE16)&gt;$DQ$1,COS($DO16),1)&gt;=40),OR($DE16="B",$DE16="G")),"X",""))</x:formula>
    </x:cfRule>
  </x:conditionalFormatting>
  <x:conditionalFormatting sqref="GA57:GB57">
    <x:cfRule type="expression" dxfId="94" priority="1" stopIfTrue="1">
      <x:formula>$GM57&gt;=0.125</x:formula>
    </x:cfRule>
  </x:conditionalFormatting>
  <x:dataValidations count="14">
    <x:dataValidation type="whole" operator="greaterThan" allowBlank="1" showInputMessage="1" showErrorMessage="1" errorTitle="Quantity Error" error="Value must be an integer greater than -1000." sqref="B16:B45 BC16:BC45" xr:uid="{F29143D3-2394-46E6-9212-FABB61287337}">
      <x:formula1>-1001</x:formula1>
    </x:dataValidation>
    <x:dataValidation type="decimal" operator="greaterThan" allowBlank="1" showInputMessage="1" showErrorMessage="1" errorTitle="Input Error" error="Positive Numeric Values Only!" sqref="BR16:BR45 CD16:CD45" xr:uid="{2D358FB8-5997-4D85-B6DA-989D774FB83D}">
      <x:formula1>0</x:formula1>
    </x:dataValidation>
    <x:dataValidation type="decimal" allowBlank="1" showInputMessage="1" showErrorMessage="1" errorTitle="Input Error" error="Numbers from 0&quot; to 11 7/8&quot; only!" sqref="GB16:GB45 GB57" xr:uid="{9A9CE7A9-2545-4587-B0CC-530A3F56D68C}">
      <x:formula1>0</x:formula1>
      <x:formula2>11.875</x:formula2>
    </x:dataValidation>
    <x:dataValidation type="whole" operator="greaterThanOrEqual" allowBlank="1" showInputMessage="1" showErrorMessage="1" errorTitle="Input Error" error="Positive Integers Only!" sqref="GA16:GA45 GA57" xr:uid="{2E164F68-C328-463E-89BC-D9FF11BA825D}">
      <x:formula1>0</x:formula1>
    </x:dataValidation>
    <x:dataValidation type="decimal" allowBlank="1" showInputMessage="1" showErrorMessage="1" errorTitle="Input Error" error="Numeric Values Only!" sqref="GC16:GD45 GC57:GD57 BP16:BP45 CB16:CB45" xr:uid="{AEBBA91D-9F49-4765-8C5E-9ECB5AB0CC6D}">
      <x:formula1>-1200</x:formula1>
      <x:formula2>1200</x:formula2>
    </x:dataValidation>
    <x:dataValidation type="decimal" operator="lessThanOrEqual" allowBlank="1" showInputMessage="1" errorTitle="BL Over-Ride Error!" error="Base Length can't be past Joist Overall Length!  See section for Maximum Over-Ride Dimension." sqref="BQ16:BQ45" xr:uid="{670B7561-8825-47F4-B7F6-C65CE024A544}">
      <x:formula1>$CV16</x:formula1>
    </x:dataValidation>
    <x:dataValidation type="decimal" operator="lessThanOrEqual" allowBlank="1" showInputMessage="1" errorTitle="BL Over-Ride Error!" error="Base Length can't be past Joist Overall Length!  See section for Maximum Over-Ride Dimension." sqref="CC16:CC45" xr:uid="{16731EAF-3B3D-435E-9F89-AEAE055452F1}">
      <x:formula1>$DF16</x:formula1>
    </x:dataValidation>
    <x:dataValidation type="whole" operator="greaterThanOrEqual" allowBlank="1" showInputMessage="1" showErrorMessage="1" sqref="B57" xr:uid="{FDAD2D52-CE4C-498B-A0D7-A3DE7867548C}">
      <x:formula1>0</x:formula1>
    </x:dataValidation>
    <x:dataValidation type="decimal" operator="greaterThan" allowBlank="1" showInputMessage="1" showErrorMessage="1" errorTitle="Dimensional Error" error="Only positive numeric values can be entered here." sqref="L16:M45 L57:M57" xr:uid="{B9A040D0-3C98-4F65-9425-005966B66651}">
      <x:formula1>0</x:formula1>
    </x:dataValidation>
    <x:dataValidation type="decimal" operator="notEqual" allowBlank="1" showInputMessage="1" showErrorMessage="1" errorTitle="input Error" error="Enter + or - Numbers Only._x000a_Do NOT use &quot;&lt;&quot; or &quot;&gt;&quot;." sqref="Y16:Z45 Y57:Z57" xr:uid="{FA6AF8CE-DE16-4EBA-844A-2048CF2837BC}">
      <x:formula1>0</x:formula1>
    </x:dataValidation>
    <x:dataValidation type="decimal" operator="greaterThanOrEqual" allowBlank="1" showInputMessage="1" showErrorMessage="1" errorTitle="Dimensional Error" error="&quot;Inches&quot; must be a number." sqref="BH16:BI45 BK16:BL45 BT16:BU45 BW16:BX45" xr:uid="{3C85D257-2E91-4E14-A272-40D0CB0B210D}">
      <x:formula1>0</x:formula1>
    </x:dataValidation>
    <x:dataValidation type="decimal" allowBlank="1" showInputMessage="1" showErrorMessage="1" errorTitle="Dimensional Error" error="&quot;Inches&quot; must be a number from 0 to 11.875." sqref="BF16:BF45 G16:G45 J16:J45 W16:W45 U16:U45 E16:E45 G57 J57 W57 U57 E57" xr:uid="{69B9B382-48C4-451E-A5BF-4530A5E99DF3}">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r:uid="{B9A3F8A9-4116-4C0D-A24A-AFD69D9D47B4}">
      <x:formula1>0</x:formula1>
    </x:dataValidation>
    <x:dataValidation type="list" allowBlank="1" showInputMessage="1" sqref="CC6:CF6 M7:S7" xr:uid="{AEE2D10C-2467-4AE3-8841-875820ED7768}">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drawing r:id="rId2"/>
  <x:legacyDrawing r:id="rId3"/>
</x:worksheet>
</file>

<file path=xl/worksheets/sheet36.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3121152F-9080-4968-A21F-069FB7C33CFA}" mc:Ignorable="x14ac xr xr2 xr3">
  <x:sheetPr codeName="Sheet35">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3.7109375" style="245" customWidth="1"/>
    <x:col min="29" max="29" width="5.7109375" style="245" hidden="1" customWidth="1"/>
    <x:col min="30" max="30" width="3.7109375" style="245" hidden="1" customWidth="1"/>
    <x:col min="31" max="31" width="6.7109375" style="245" hidden="1" customWidth="1"/>
    <x:col min="32" max="34" width="3.7109375" style="245" hidden="1" customWidth="1"/>
    <x:col min="35" max="35" width="3.7109375" style="378" hidden="1" customWidth="1"/>
    <x:col min="36" max="43" width="3.7109375" style="245" hidden="1" customWidth="1"/>
    <x:col min="44" max="44" width="6.7109375" style="245" hidden="1" customWidth="1"/>
    <x:col min="45" max="45" width="3.7109375" style="245" hidden="1" customWidth="1"/>
    <x:col min="46" max="46" width="6.7109375" style="245" hidden="1" customWidth="1"/>
    <x:col min="47" max="49" width="4.7109375" style="245" hidden="1" customWidth="1"/>
    <x:col min="50" max="51" width="5.7109375" style="245" hidden="1" customWidth="1"/>
    <x:col min="52" max="52" width="10.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4.7109375" style="245" customWidth="1"/>
    <x:col min="180" max="180" width="6.7109375" style="245" hidden="1" customWidth="1"/>
    <x:col min="181" max="181" width="8.7109375" style="245" hidden="1" customWidth="1"/>
    <x:col min="182" max="182" width="4.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4.7109375" style="245" customWidth="1"/>
    <x:col min="197" max="206" width="8.7109375" style="245" hidden="1" customWidth="1"/>
    <x:col min="207" max="207" width="8.7109375" style="245" customWidth="1"/>
    <x:col min="208" max="208" width="8.7109375" style="245" hidden="1" customWidth="1"/>
    <x:col min="209" max="211" width="6.7109375" style="245" hidden="1" customWidth="1"/>
    <x:col min="212" max="212" width="6.7109375" style="247" hidden="1" customWidth="1"/>
    <x:col min="213" max="213" width="6.7109375" style="381" hidden="1" customWidth="1"/>
    <x:col min="214" max="236" width="6.7109375" style="245" hidden="1" customWidth="1"/>
    <x:col min="237" max="237" width="4.7109375" style="245" hidden="1" customWidth="1"/>
    <x:col min="238" max="240" width="6.7109375" style="245" hidden="1" customWidth="1"/>
    <x:col min="241" max="241" width="8.7109375" style="245" customWidth="1"/>
    <x:col min="242" max="16384" width="4.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291"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463</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0">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t="s">
        <x:v>523</x:v>
      </x:c>
      <x:c r="CW3" s="573" t="s">
        <x:v>171</x:v>
      </x:c>
      <x:c r="CX3" s="574" t="s">
        <x:v>462</x:v>
      </x:c>
      <x:c r="CY3" s="575" t="s">
        <x:v>463</x:v>
      </x:c>
      <x:c r="CZ3" s="574" t="s">
        <x:v>464</x:v>
      </x:c>
      <x:c r="DA3" s="574" t="s">
        <x:v>465</x:v>
      </x:c>
      <x:c r="DB3" s="574" t="s">
        <x:v>466</x:v>
      </x:c>
      <x:c r="DC3" s="576" t="s">
        <x:v>681</x:v>
      </x:c>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6">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244"/>
      <x:c r="CJ4" s="203"/>
      <x:c r="CK4" s="374"/>
      <x:c r="CL4" s="374"/>
      <x:c r="CM4" s="374"/>
      <x:c r="CN4" s="374"/>
      <x:c r="CO4" s="374"/>
      <x:c r="CP4" s="244"/>
      <x:c r="CQ4" s="244"/>
      <x:c r="CR4" s="374"/>
      <x:c r="CS4" s="374"/>
      <x:c r="CU4" s="577" t="s">
        <x:v>73</x:v>
      </x:c>
      <x:c r="CV4" s="1660">
        <x:f>'Job Info.'!$N$7</x:f>
        <x:v>1</x:v>
      </x:c>
      <x:c r="CW4" s="1661">
        <x:f>'Job Info.'!$H$7</x:f>
        <x:v>2.5</x:v>
      </x:c>
      <x:c r="CX4" s="1662">
        <x:f>'Job Info.'!$J$7</x:f>
        <x:v>4</x:v>
      </x:c>
      <x:c r="CY4" s="1662">
        <x:f>'Job Info.'!$I$7</x:f>
        <x:v>2.5</x:v>
      </x:c>
      <x:c r="CZ4" s="1662">
        <x:f>'Job Info.'!$K$7</x:f>
        <x:v>3.5</x:v>
      </x:c>
      <x:c r="DA4" s="1663">
        <x:f>'Job Info.'!$M$7</x:f>
        <x:v>0.5625</x:v>
      </x:c>
      <x:c r="DB4" s="1662">
        <x:f>'Job Info.'!$L$7</x:f>
        <x:v>1.5</x:v>
      </x:c>
      <x:c r="DC4" s="1664">
        <x:f>'Job Info.'!$O$7</x:f>
        <x:v>2.5</x:v>
      </x:c>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6">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t="s">
        <x:v>74</x:v>
      </x:c>
      <x:c r="CV5" s="1665">
        <x:f>'Job Info.'!$N$8</x:f>
        <x:v>1</x:v>
      </x:c>
      <x:c r="CW5" s="1666">
        <x:f>'Job Info.'!$H$8</x:f>
        <x:v>2.5</x:v>
      </x:c>
      <x:c r="CX5" s="1666">
        <x:f>'Job Info.'!$J$8</x:f>
        <x:v>4</x:v>
      </x:c>
      <x:c r="CY5" s="1666">
        <x:f>'Job Info.'!$I$8</x:f>
        <x:v>2.5</x:v>
      </x:c>
      <x:c r="CZ5" s="1666">
        <x:f>'Job Info.'!$K$8</x:f>
        <x:v>3.5</x:v>
      </x:c>
      <x:c r="DA5" s="1667">
        <x:f>'Job Info.'!$M$8</x:f>
        <x:v>0.5625</x:v>
      </x:c>
      <x:c r="DB5" s="1666">
        <x:f>'Job Info.'!$L$8</x:f>
        <x:v>1.5</x:v>
      </x:c>
      <x:c r="DC5" s="1668">
        <x:f>'Job Info.'!$O$8</x:f>
        <x:v>2.5</x:v>
      </x:c>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6">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376"/>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393" t="s">
        <x:v>678</x:v>
      </x:c>
      <x:c r="CC6" s="2406"/>
      <x:c r="CD6" s="1924"/>
      <x:c r="CE6" s="1924"/>
      <x:c r="CF6" s="1924"/>
      <x:c r="CG6" s="244"/>
      <x:c r="CH6" s="244"/>
      <x:c r="CI6" s="244"/>
      <x:c r="CJ6" s="544"/>
      <x:c r="CK6" s="544"/>
      <x:c r="CL6" s="544"/>
      <x:c r="CM6" s="544"/>
      <x:c r="CN6" s="544"/>
      <x:c r="CO6" s="544"/>
      <x:c r="CP6" s="244"/>
      <x:c r="CQ6" s="244"/>
      <x:c r="CR6" s="374"/>
      <x:c r="CS6" s="244"/>
      <x:c r="CU6" s="579" t="s">
        <x:v>415</x:v>
      </x:c>
      <x:c r="CV6" s="1669">
        <x:f>'Job Info.'!$N$8</x:f>
        <x:v>1</x:v>
      </x:c>
      <x:c r="CW6" s="1670">
        <x:f>'Job Info.'!$H$8</x:f>
        <x:v>2.5</x:v>
      </x:c>
      <x:c r="CX6" s="1670">
        <x:f>'Job Info.'!$J$8</x:f>
        <x:v>4</x:v>
      </x:c>
      <x:c r="CY6" s="1670">
        <x:f>'Job Info.'!$I$8</x:f>
        <x:v>2.5</x:v>
      </x:c>
      <x:c r="CZ6" s="1670">
        <x:f>'Job Info.'!$K$8</x:f>
        <x:v>3.5</x:v>
      </x:c>
      <x:c r="DA6" s="1671">
        <x:f>'Job Info.'!$M$8</x:f>
        <x:v>0.5625</x:v>
      </x:c>
      <x:c r="DB6" s="1670">
        <x:f>'Job Info.'!$L$8</x:f>
        <x:v>1.5</x:v>
      </x:c>
      <x:c r="DC6" s="1672">
        <x:f>'Job Info.'!$O$15</x:f>
        <x:v>5</x:v>
      </x:c>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6">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627"/>
      <x:c r="EY6" s="251"/>
      <x:c r="EZ6" s="251"/>
      <x:c r="FA6" s="251"/>
      <x:c r="FB6" s="246"/>
      <x:c r="FC6" s="246"/>
      <x:c r="FD6" s="246"/>
      <x:c r="FE6" s="246"/>
      <x:c r="FF6" s="246"/>
      <x:c r="FG6" s="246"/>
      <x:c r="FH6" s="246"/>
      <x:c r="FI6" s="246"/>
      <x:c r="GA6" s="374"/>
      <x:c r="GB6" s="374"/>
      <x:c r="GC6" s="374"/>
      <x:c r="GD6" s="374"/>
      <x:c r="GE6" s="374"/>
      <x:c r="GF6" s="374"/>
      <x:c r="GG6" s="374"/>
      <x:c r="GH6" s="374"/>
      <x:c r="GI6" s="374"/>
      <x:c r="GJ6" s="374"/>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18 of 19</x:v>
      </x:c>
      <x:c r="Z7" s="658"/>
      <x:c r="AA7" s="374"/>
      <x:c r="AC7" s="1083">
        <x:v>18</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393" t="s">
        <x:v>657</x:v>
      </x:c>
      <x:c r="CC7" s="777"/>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114</x:v>
      </x:c>
      <x:c r="DG7" s="1654">
        <x:f>'Job Info.'!$N12/2</x:f>
        <x:v>1</x:v>
      </x:c>
      <x:c r="DH7" s="1656">
        <x:f>'Job Info.'!$H12</x:f>
        <x:v>5</x:v>
      </x:c>
      <x:c r="DI7" s="1656">
        <x:f>'Job Info.'!$J12</x:f>
        <x:v>6</x:v>
      </x:c>
      <x:c r="DJ7" s="1656">
        <x:f>'Job Info.'!$I12</x:f>
        <x:v>4</x:v>
      </x:c>
      <x:c r="DK7" s="1656">
        <x:f>'Job Info.'!$K12</x:f>
        <x:v>4</x:v>
      </x:c>
      <x:c r="DL7" s="1657">
        <x:f>'Job Info.'!$M12</x:f>
        <x:v>0.8125</x:v>
      </x:c>
      <x:c r="DM7" s="1656">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2.8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415</x:v>
      </x:c>
      <x:c r="DG8" s="1654">
        <x:f>'Job Info.'!$N13/2</x:f>
        <x:v>1</x:v>
      </x:c>
      <x:c r="DH8" s="1656">
        <x:f>'Job Info.'!$H13</x:f>
        <x:v>5</x:v>
      </x:c>
      <x:c r="DI8" s="1656">
        <x:f>'Job Info.'!$J13</x:f>
        <x:v>6</x:v>
      </x:c>
      <x:c r="DJ8" s="1656">
        <x:f>'Job Info.'!$I13</x:f>
        <x:v>4</x:v>
      </x:c>
      <x:c r="DK8" s="1656">
        <x:f>'Job Info.'!$K13</x:f>
        <x:v>4</x:v>
      </x:c>
      <x:c r="DL8" s="1657">
        <x:f>'Job Info.'!$M13</x:f>
        <x:v>0.8125</x:v>
      </x:c>
      <x:c r="DM8" s="1656">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399"/>
      <x:c r="BA9" s="246"/>
      <x:c r="BB9" s="400"/>
      <x:c r="BC9" s="244"/>
      <x:c r="BD9" s="244"/>
      <x:c r="BE9" s="949">
        <x:v>4.5</x:v>
      </x:c>
      <x:c r="BF9" s="949">
        <x:v>5.5</x:v>
      </x:c>
      <x:c r="BG9" s="950">
        <x:v>5</x:v>
      </x:c>
      <x:c r="BH9" s="950">
        <x:v>5</x:v>
      </x:c>
      <x:c r="BI9" s="950">
        <x:v>5</x:v>
      </x:c>
      <x:c r="BJ9" s="950">
        <x:v>3</x:v>
      </x:c>
      <x:c r="BK9" s="950">
        <x:v>5</x:v>
      </x:c>
      <x:c r="BL9" s="950">
        <x:v>5</x:v>
      </x:c>
      <x:c r="BM9" s="950">
        <x:v>5</x:v>
      </x:c>
      <x:c r="BN9" s="950">
        <x:v>6</x:v>
      </x:c>
      <x:c r="BO9" s="950">
        <x:v>5</x:v>
      </x:c>
      <x:c r="BP9" s="950">
        <x:v>5</x:v>
      </x:c>
      <x:c r="BQ9" s="950">
        <x:v>5</x:v>
      </x:c>
      <x:c r="BR9" s="950">
        <x:v>3</x:v>
      </x:c>
      <x:c r="BS9" s="950">
        <x:v>5</x:v>
      </x:c>
      <x:c r="BT9" s="950">
        <x:v>5</x:v>
      </x:c>
      <x:c r="BU9" s="950">
        <x:v>5</x:v>
      </x:c>
      <x:c r="BV9" s="950">
        <x:v>6</x:v>
      </x:c>
      <x:c r="BW9" s="951"/>
      <x:c r="BX9" s="949">
        <x:v>24</x:v>
      </x:c>
      <x:c r="BY9" s="949">
        <x:v>24</x:v>
      </x:c>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416</x:v>
      </x:c>
      <x:c r="DG9" s="1673">
        <x:f>'Job Info.'!$N14/2</x:f>
        <x:v>1</x:v>
      </x:c>
      <x:c r="DH9" s="1674">
        <x:f>'Job Info.'!$H14</x:f>
        <x:v>5</x:v>
      </x:c>
      <x:c r="DI9" s="1674">
        <x:f>'Job Info.'!$J14</x:f>
        <x:v>6</x:v>
      </x:c>
      <x:c r="DJ9" s="1674">
        <x:f>'Job Info.'!$I14</x:f>
        <x:v>4</x:v>
      </x:c>
      <x:c r="DK9" s="1674">
        <x:f>'Job Info.'!$K14</x:f>
        <x:v>4</x:v>
      </x:c>
      <x:c r="DL9" s="1675">
        <x:f>'Job Info.'!$M14</x:f>
        <x:v>0.8125</x:v>
      </x:c>
      <x:c r="DM9" s="1674">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thickBot="1" x14ac:dyDescent="0.25">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399"/>
      <x:c r="BA10" s="246"/>
      <x:c r="BB10" s="1622">
        <x:f>J_A!BB17</x:f>
        <x:v>6</x:v>
      </x:c>
      <x:c r="BC10" s="1622">
        <x:f>J_A!BC17</x:f>
        <x:v>4</x:v>
      </x:c>
      <x:c r="BD10" s="1622">
        <x:f>J_A!BD17</x:f>
        <x:v>13</x:v>
      </x:c>
      <x:c r="BE10" s="1622">
        <x:f>J_A!BE17</x:f>
        <x:v>4</x:v>
      </x:c>
      <x:c r="BF10" s="1622">
        <x:f>J_A!BF17</x:f>
        <x:v>5</x:v>
      </x:c>
      <x:c r="BG10" s="1623">
        <x:f>J_A!BG17</x:f>
        <x:v>3</x:v>
      </x:c>
      <x:c r="BH10" s="1623">
        <x:f>J_A!BH17</x:f>
        <x:v>4.57</x:v>
      </x:c>
      <x:c r="BI10" s="1623">
        <x:f>J_A!BI17</x:f>
        <x:v>4.57</x:v>
      </x:c>
      <x:c r="BJ10" s="1623">
        <x:f>J_A!BJ17</x:f>
        <x:v>2.71</x:v>
      </x:c>
      <x:c r="BK10" s="1623">
        <x:f>J_A!BK17</x:f>
        <x:v>4.57</x:v>
      </x:c>
      <x:c r="BL10" s="1623">
        <x:f>J_A!BL17</x:f>
        <x:v>4.57</x:v>
      </x:c>
      <x:c r="BM10" s="1623">
        <x:f>J_A!BM17</x:f>
        <x:v>4</x:v>
      </x:c>
      <x:c r="BN10" s="1623">
        <x:f>J_A!BN17</x:f>
        <x:v>5</x:v>
      </x:c>
      <x:c r="BO10" s="1623">
        <x:f>J_A!BO17</x:f>
        <x:v>2.71</x:v>
      </x:c>
      <x:c r="BP10" s="1623">
        <x:f>J_A!BP17</x:f>
        <x:v>5.29</x:v>
      </x:c>
      <x:c r="BQ10" s="1623">
        <x:f>J_A!BQ17</x:f>
        <x:v>5.29</x:v>
      </x:c>
      <x:c r="BR10" s="1623">
        <x:f>J_A!BR17</x:f>
        <x:v>4</x:v>
      </x:c>
      <x:c r="BS10" s="1623">
        <x:f>J_A!BS17</x:f>
        <x:v>3</x:v>
      </x:c>
      <x:c r="BT10" s="1623">
        <x:f>J_A!BT17</x:f>
        <x:v>4.57</x:v>
      </x:c>
      <x:c r="BU10" s="1623">
        <x:f>J_A!BU17</x:f>
        <x:v>4.57</x:v>
      </x:c>
      <x:c r="BV10" s="1623">
        <x:f>J_A!BV17</x:f>
        <x:v>2.71</x:v>
      </x:c>
      <x:c r="BW10" s="1622">
        <x:f>J_A!BW17</x:f>
        <x:v>4.57</x:v>
      </x:c>
      <x:c r="BX10" s="1622">
        <x:f>J_A!BX17</x:f>
        <x:v>4.57</x:v>
      </x:c>
      <x:c r="BY10" s="1622">
        <x:f>J_A!BY17</x:f>
        <x:v>4</x:v>
      </x:c>
      <x:c r="BZ10" s="1622">
        <x:f>J_A!BZ17</x:f>
        <x:v>5</x:v>
      </x:c>
      <x:c r="CA10" s="1622">
        <x:f>J_A!CA17</x:f>
        <x:v>2.71</x:v>
      </x:c>
      <x:c r="CB10" s="1623">
        <x:f>J_A!CB17</x:f>
        <x:v>5.29</x:v>
      </x:c>
      <x:c r="CC10" s="1622">
        <x:f>J_A!CC17</x:f>
        <x:v>5.29</x:v>
      </x:c>
      <x:c r="CD10" s="1622">
        <x:f>J_A!CD17</x:f>
        <x:v>4</x:v>
      </x:c>
      <x:c r="CE10" s="1622">
        <x:f>J_A!CE17</x:f>
        <x:v>5</x:v>
      </x:c>
      <x:c r="CF10" s="1622">
        <x:f>J_A!CF17</x:f>
        <x:v>17.14</x:v>
      </x:c>
      <x:c r="CG10" s="1623">
        <x:f>J_A!CG17</x:f>
        <x:v>17.14</x:v>
      </x:c>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12.6" customHeight="1" thickTop="1" thickBot="1" x14ac:dyDescent="0.25">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359" t="s">
        <x:v>592</x:v>
      </x:c>
      <x:c r="BC11" s="2360"/>
      <x:c r="BD11" s="2360"/>
      <x:c r="BE11" s="2360"/>
      <x:c r="BF11" s="2360"/>
      <x:c r="BG11" s="2360"/>
      <x:c r="BH11" s="2360"/>
      <x:c r="BI11" s="2360"/>
      <x:c r="BJ11" s="2360"/>
      <x:c r="BK11" s="2360"/>
      <x:c r="BL11" s="2360"/>
      <x:c r="BM11" s="2360"/>
      <x:c r="BN11" s="2360"/>
      <x:c r="BO11" s="2360"/>
      <x:c r="BP11" s="2360"/>
      <x:c r="BQ11" s="2360"/>
      <x:c r="BR11" s="2360"/>
      <x:c r="BS11" s="2360"/>
      <x:c r="BT11" s="2360"/>
      <x:c r="BU11" s="2360"/>
      <x:c r="BV11" s="2360"/>
      <x:c r="BW11" s="2360"/>
      <x:c r="BX11" s="2360"/>
      <x:c r="BY11" s="2360"/>
      <x:c r="BZ11" s="2360"/>
      <x:c r="CA11" s="2360"/>
      <x:c r="CB11" s="2360"/>
      <x:c r="CC11" s="1557"/>
      <x:c r="CD11" s="2363"/>
      <x:c r="CE11" s="2363"/>
      <x:c r="CF11" s="2363"/>
      <x:c r="CG11" s="236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c r="HA11" s="255">
        <x:v>1</x:v>
      </x:c>
      <x:c r="HB11" s="255">
        <x:f>HA11+1</x:f>
        <x:v>2</x:v>
      </x:c>
      <x:c r="HC11" s="255">
        <x:f t="shared" ref="HC11:IF11" si="0">HB11+1</x:f>
        <x:v>3</x:v>
      </x:c>
      <x:c r="HD11" s="255">
        <x:f t="shared" si="0"/>
        <x:v>4</x:v>
      </x:c>
      <x:c r="HE11" s="255">
        <x:f t="shared" si="0"/>
        <x:v>5</x:v>
      </x:c>
      <x:c r="HF11" s="255">
        <x:f t="shared" si="0"/>
        <x:v>6</x:v>
      </x:c>
      <x:c r="HG11" s="255">
        <x:f t="shared" si="0"/>
        <x:v>7</x:v>
      </x:c>
      <x:c r="HH11" s="255">
        <x:f t="shared" si="0"/>
        <x:v>8</x:v>
      </x:c>
      <x:c r="HI11" s="255">
        <x:f t="shared" si="0"/>
        <x:v>9</x:v>
      </x:c>
      <x:c r="HJ11" s="255">
        <x:f t="shared" si="0"/>
        <x:v>10</x:v>
      </x:c>
      <x:c r="HK11" s="255">
        <x:f t="shared" si="0"/>
        <x:v>11</x:v>
      </x:c>
      <x:c r="HL11" s="255">
        <x:f t="shared" si="0"/>
        <x:v>12</x:v>
      </x:c>
      <x:c r="HM11" s="255">
        <x:f t="shared" si="0"/>
        <x:v>13</x:v>
      </x:c>
      <x:c r="HN11" s="255">
        <x:f t="shared" si="0"/>
        <x:v>14</x:v>
      </x:c>
      <x:c r="HO11" s="255">
        <x:f t="shared" si="0"/>
        <x:v>15</x:v>
      </x:c>
      <x:c r="HP11" s="255">
        <x:f t="shared" si="0"/>
        <x:v>16</x:v>
      </x:c>
      <x:c r="HQ11" s="255">
        <x:f t="shared" si="0"/>
        <x:v>17</x:v>
      </x:c>
      <x:c r="HR11" s="255">
        <x:f t="shared" si="0"/>
        <x:v>18</x:v>
      </x:c>
      <x:c r="HS11" s="255">
        <x:f t="shared" si="0"/>
        <x:v>19</x:v>
      </x:c>
      <x:c r="HT11" s="255">
        <x:f t="shared" si="0"/>
        <x:v>20</x:v>
      </x:c>
      <x:c r="HU11" s="255">
        <x:f t="shared" si="0"/>
        <x:v>21</x:v>
      </x:c>
      <x:c r="HV11" s="255">
        <x:f t="shared" si="0"/>
        <x:v>22</x:v>
      </x:c>
      <x:c r="HW11" s="255">
        <x:f t="shared" si="0"/>
        <x:v>23</x:v>
      </x:c>
      <x:c r="HX11" s="255">
        <x:f t="shared" si="0"/>
        <x:v>24</x:v>
      </x:c>
      <x:c r="HY11" s="255">
        <x:f t="shared" si="0"/>
        <x:v>25</x:v>
      </x:c>
      <x:c r="HZ11" s="255">
        <x:f t="shared" si="0"/>
        <x:v>26</x:v>
      </x:c>
      <x:c r="IA11" s="255">
        <x:f t="shared" si="0"/>
        <x:v>27</x:v>
      </x:c>
      <x:c r="IB11" s="255">
        <x:f t="shared" si="0"/>
        <x:v>28</x:v>
      </x:c>
      <x:c r="IC11" s="255">
        <x:f t="shared" si="0"/>
        <x:v>29</x:v>
      </x:c>
      <x:c r="ID11" s="255">
        <x:f t="shared" si="0"/>
        <x:v>30</x:v>
      </x:c>
      <x:c r="IE11" s="255">
        <x:f t="shared" si="0"/>
        <x:v>31</x:v>
      </x:c>
      <x:c r="IF11" s="255">
        <x:f t="shared" si="0"/>
        <x:v>32</x:v>
      </x:c>
    </x:row>
    <x:row r="12" spans="1:241" ht="12.6" customHeight="1" thickBot="1" x14ac:dyDescent="0.25">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IF(ISBLANK(CC7),"",CC7)</x:f>
        <x:v/>
      </x:c>
      <x:c r="AB12" s="405" t="str">
        <x:f>AA12</x:f>
        <x:v/>
      </x:c>
      <x:c r="BA12" s="246"/>
      <x:c r="BB12" s="2361"/>
      <x:c r="BC12" s="2362"/>
      <x:c r="BD12" s="2362"/>
      <x:c r="BE12" s="2362"/>
      <x:c r="BF12" s="2362"/>
      <x:c r="BG12" s="2362"/>
      <x:c r="BH12" s="2362"/>
      <x:c r="BI12" s="2362"/>
      <x:c r="BJ12" s="2362"/>
      <x:c r="BK12" s="2362"/>
      <x:c r="BL12" s="2362"/>
      <x:c r="BM12" s="2362"/>
      <x:c r="BN12" s="2362"/>
      <x:c r="BO12" s="2362"/>
      <x:c r="BP12" s="2362"/>
      <x:c r="BQ12" s="2362"/>
      <x:c r="BR12" s="2362"/>
      <x:c r="BS12" s="2362"/>
      <x:c r="BT12" s="2362"/>
      <x:c r="BU12" s="2362"/>
      <x:c r="BV12" s="2362"/>
      <x:c r="BW12" s="2362"/>
      <x:c r="BX12" s="2362"/>
      <x:c r="BY12" s="2362"/>
      <x:c r="BZ12" s="2362"/>
      <x:c r="CA12" s="2362"/>
      <x:c r="CB12" s="2362"/>
      <x:c r="CC12" s="1556"/>
      <x:c r="CD12" s="2365"/>
      <x:c r="CE12" s="2366"/>
      <x:c r="CF12" s="2366"/>
      <x:c r="CG12" s="2367"/>
      <x:c r="CH12" s="244"/>
      <x:c r="CI12" s="244"/>
      <x:c r="CJ12" s="244"/>
      <x:c r="CK12" s="244"/>
      <x:c r="CL12" s="244"/>
      <x:c r="CM12" s="933"/>
      <x:c r="CN12" s="2432" t="s">
        <x:v>679</x:v>
      </x:c>
      <x:c r="CO12" s="2433"/>
      <x:c r="CP12" s="2104" t="s">
        <x:v>615</x:v>
      </x:c>
      <x:c r="CQ12" s="2427"/>
      <x:c r="CR12" s="2394" t="s">
        <x:v>482</x:v>
      </x:c>
      <x:c r="CS12" s="2386" t="s">
        <x:v>483</x:v>
      </x:c>
      <x:c r="CU12" s="246"/>
      <x:c r="CV12" s="246"/>
      <x:c r="CW12" s="246"/>
      <x:c r="CX12" s="246"/>
      <x:c r="CY12" s="246"/>
      <x:c r="CZ12" s="246"/>
      <x:c r="DA12" s="246"/>
      <x:c r="DB12" s="246"/>
      <x:c r="DC12" s="246"/>
      <x:c r="DD12" s="246"/>
      <x:c r="DE12" s="246"/>
      <x:c r="DF12" s="246"/>
      <x:c r="DG12" s="246"/>
      <x:c r="DH12" s="246"/>
      <x:c r="DI12" s="246"/>
      <x:c r="DJ12" s="246"/>
      <x:c r="DK12" s="246"/>
      <x:c r="DL12" s="246"/>
      <x:c r="DM12" s="246"/>
      <x:c r="DN12" s="246"/>
      <x:c r="DO12" s="251"/>
      <x:c r="DQ12" s="418"/>
      <x:c r="DR12" s="246"/>
      <x:c r="DS12" s="246"/>
      <x:c r="DT12" s="246"/>
      <x:c r="DU12" s="246"/>
      <x:c r="DV12" s="246"/>
      <x:c r="DW12" s="404"/>
      <x:c r="DX12" s="404"/>
      <x:c r="DY12" s="404"/>
      <x:c r="DZ12" s="404"/>
      <x:c r="EA12" s="246"/>
      <x:c r="EB12" s="251"/>
      <x:c r="EC12" s="246"/>
      <x:c r="ED12" s="246"/>
      <x:c r="EE12" s="246"/>
      <x:c r="EF12" s="246"/>
      <x:c r="EG12" s="246"/>
      <x:c r="EH12" s="246"/>
      <x:c r="EI12" s="246"/>
      <x:c r="EJ12" s="246"/>
      <x:c r="EK12" s="246"/>
      <x:c r="EL12" s="246"/>
      <x:c r="EM12" s="246"/>
      <x:c r="EN12" s="246"/>
      <x:c r="EO12" s="246"/>
      <x:c r="EP12" s="246"/>
      <x:c r="EQ12" s="246"/>
      <x:c r="ER12" s="246"/>
      <x:c r="ES12" s="246"/>
      <x:c r="ET12" s="246"/>
      <x:c r="EU12" s="246"/>
      <x:c r="EV12" s="2348" t="s">
        <x:v>581</x:v>
      </x:c>
      <x:c r="EW12" s="2346" t="s">
        <x:v>472</x:v>
      </x:c>
      <x:c r="EX12" s="2346" t="s">
        <x:v>525</x:v>
      </x:c>
      <x:c r="EY12" s="2346" t="s">
        <x:v>526</x:v>
      </x:c>
      <x:c r="EZ12" s="2346" t="s">
        <x:v>527</x:v>
      </x:c>
      <x:c r="FA12" s="2346" t="s">
        <x:v>528</x:v>
      </x:c>
      <x:c r="FB12" s="2346" t="s">
        <x:v>529</x:v>
      </x:c>
      <x:c r="FC12" s="2346" t="s">
        <x:v>530</x:v>
      </x:c>
      <x:c r="FD12" s="2346" t="s">
        <x:v>531</x:v>
      </x:c>
      <x:c r="FE12" s="2346" t="s">
        <x:v>473</x:v>
      </x:c>
      <x:c r="FF12" s="2346" t="s">
        <x:v>532</x:v>
      </x:c>
      <x:c r="FG12" s="2346" t="s">
        <x:v>583</x:v>
      </x:c>
      <x:c r="FH12" s="2346" t="s">
        <x:v>474</x:v>
      </x:c>
      <x:c r="FI12" s="2346" t="s">
        <x:v>533</x:v>
      </x:c>
      <x:c r="FJ12" s="2346" t="s">
        <x:v>475</x:v>
      </x:c>
      <x:c r="FK12" s="2346" t="s">
        <x:v>534</x:v>
      </x:c>
      <x:c r="FL12" s="2346" t="s">
        <x:v>584</x:v>
      </x:c>
      <x:c r="FM12" s="2346" t="s">
        <x:v>476</x:v>
      </x:c>
      <x:c r="FN12" s="2346" t="s">
        <x:v>477</x:v>
      </x:c>
      <x:c r="FQ12" s="2319" t="s">
        <x:v>656</x:v>
      </x:c>
      <x:c r="FR12" s="2320"/>
      <x:c r="GA12" s="374"/>
      <x:c r="GB12" s="374"/>
      <x:c r="GC12" s="374"/>
      <x:c r="GD12" s="374"/>
      <x:c r="GE12" s="374"/>
      <x:c r="GF12" s="374"/>
      <x:c r="GG12" s="374"/>
      <x:c r="GH12" s="374"/>
      <x:c r="GI12" s="374"/>
      <x:c r="GJ12" s="374"/>
      <x:c r="HA12" s="2454" t="s">
        <x:v>621</x:v>
      </x:c>
      <x:c r="HB12" s="2455"/>
      <x:c r="HC12" s="2455"/>
      <x:c r="HD12" s="2455"/>
      <x:c r="HE12" s="2455"/>
      <x:c r="HF12" s="2455"/>
      <x:c r="HG12" s="2455"/>
      <x:c r="HH12" s="2455"/>
      <x:c r="HI12" s="2455"/>
      <x:c r="HJ12" s="2455"/>
      <x:c r="HK12" s="2455"/>
      <x:c r="HL12" s="2455"/>
      <x:c r="HM12" s="2455"/>
      <x:c r="HN12" s="2455"/>
      <x:c r="HO12" s="2455"/>
      <x:c r="HP12" s="2455"/>
      <x:c r="HQ12" s="2455"/>
      <x:c r="HR12" s="2455"/>
      <x:c r="HS12" s="2455"/>
      <x:c r="HT12" s="2455"/>
      <x:c r="HU12" s="2455"/>
      <x:c r="HV12" s="2456"/>
      <x:c r="HW12" s="2456"/>
      <x:c r="HX12" s="2456"/>
      <x:c r="HY12" s="2457"/>
      <x:c r="HZ12" s="2457"/>
      <x:c r="IA12" s="2457"/>
      <x:c r="IB12" s="2457"/>
      <x:c r="IC12" s="2457"/>
      <x:c r="ID12" s="2457"/>
      <x:c r="IE12" s="2457"/>
      <x:c r="IF12" s="2458"/>
    </x:row>
    <x:row r="13" spans="1:241" ht="12.2" customHeight="1" thickTop="1" thickBot="1" x14ac:dyDescent="0.25">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AU13" s="2466" t="s">
        <x:v>450</x:v>
      </x:c>
      <x:c r="AV13" s="2319" t="s">
        <x:v>451</x:v>
      </x:c>
      <x:c r="AW13" s="2320"/>
      <x:c r="AX13" s="465"/>
      <x:c r="BA13" s="246"/>
      <x:c r="BB13" s="2477"/>
      <x:c r="BC13" s="2478"/>
      <x:c r="BD13" s="2478"/>
      <x:c r="BE13" s="2478"/>
      <x:c r="BF13" s="1950"/>
      <x:c r="BG13" s="2414" t="s">
        <x:v>469</x:v>
      </x:c>
      <x:c r="BH13" s="2415"/>
      <x:c r="BI13" s="2415"/>
      <x:c r="BJ13" s="2415"/>
      <x:c r="BK13" s="2415"/>
      <x:c r="BL13" s="2416"/>
      <x:c r="BM13" s="2417"/>
      <x:c r="BN13" s="2417"/>
      <x:c r="BO13" s="2418"/>
      <x:c r="BP13" s="2418"/>
      <x:c r="BQ13" s="2418"/>
      <x:c r="BR13" s="2419"/>
      <x:c r="BS13" s="2414" t="s">
        <x:v>470</x:v>
      </x:c>
      <x:c r="BT13" s="2416"/>
      <x:c r="BU13" s="2416"/>
      <x:c r="BV13" s="2416"/>
      <x:c r="BW13" s="2416"/>
      <x:c r="BX13" s="2416"/>
      <x:c r="BY13" s="2417"/>
      <x:c r="BZ13" s="2417"/>
      <x:c r="CA13" s="2418"/>
      <x:c r="CB13" s="2418"/>
      <x:c r="CC13" s="2418"/>
      <x:c r="CD13" s="2419"/>
      <x:c r="CE13" s="2468" t="s">
        <x:v>804</x:v>
      </x:c>
      <x:c r="CF13" s="2447"/>
      <x:c r="CG13" s="2448"/>
      <x:c r="CH13" s="244"/>
      <x:c r="CI13" s="244"/>
      <x:c r="CJ13" s="244"/>
      <x:c r="CK13" s="244"/>
      <x:c r="CL13" s="934"/>
      <x:c r="CM13" s="935"/>
      <x:c r="CN13" s="2434"/>
      <x:c r="CO13" s="2435"/>
      <x:c r="CP13" s="2428"/>
      <x:c r="CQ13" s="2429"/>
      <x:c r="CR13" s="2395"/>
      <x:c r="CS13" s="2387"/>
      <x:c r="CU13" s="2397" t="s">
        <x:v>471</x:v>
      </x:c>
      <x:c r="CV13" s="2398"/>
      <x:c r="CW13" s="2398"/>
      <x:c r="CX13" s="2398"/>
      <x:c r="CY13" s="2398"/>
      <x:c r="CZ13" s="2398"/>
      <x:c r="DA13" s="2398"/>
      <x:c r="DB13" s="2398"/>
      <x:c r="DC13" s="2398"/>
      <x:c r="DD13" s="2399"/>
      <x:c r="DE13" s="2397" t="s">
        <x:v>470</x:v>
      </x:c>
      <x:c r="DF13" s="2398"/>
      <x:c r="DG13" s="2398"/>
      <x:c r="DH13" s="2398"/>
      <x:c r="DI13" s="2398"/>
      <x:c r="DJ13" s="2398"/>
      <x:c r="DK13" s="2398"/>
      <x:c r="DL13" s="2398"/>
      <x:c r="DM13" s="2398"/>
      <x:c r="DN13" s="2399"/>
      <x:c r="DQ13" s="424"/>
      <x:c r="DR13" s="246"/>
      <x:c r="DS13" s="419"/>
      <x:c r="DT13" s="419"/>
      <x:c r="DU13" s="419"/>
      <x:c r="DV13" s="419"/>
      <x:c r="DW13" s="246"/>
      <x:c r="DX13" s="246"/>
      <x:c r="DY13" s="246"/>
      <x:c r="DZ13" s="246"/>
      <x:c r="EA13" s="246"/>
      <x:c r="EB13" s="246"/>
      <x:c r="EC13" s="246"/>
      <x:c r="ED13" s="416"/>
      <x:c r="EE13" s="424"/>
      <x:c r="EF13" s="424"/>
      <x:c r="EG13" s="424"/>
      <x:c r="EH13" s="424"/>
      <x:c r="EI13" s="424"/>
      <x:c r="EJ13" s="424"/>
      <x:c r="EK13" s="424"/>
      <x:c r="EL13" s="424"/>
      <x:c r="EM13" s="424"/>
      <x:c r="EN13" s="424"/>
      <x:c r="EO13" s="424"/>
      <x:c r="EP13" s="424"/>
      <x:c r="EQ13" s="424"/>
      <x:c r="ER13" s="424"/>
      <x:c r="ES13" s="424"/>
      <x:c r="ET13" s="424"/>
      <x:c r="EU13" s="425"/>
      <x:c r="EV13" s="2349"/>
      <x:c r="EW13" s="2307"/>
      <x:c r="EX13" s="2347"/>
      <x:c r="EY13" s="2347"/>
      <x:c r="EZ13" s="2422"/>
      <x:c r="FA13" s="2347"/>
      <x:c r="FB13" s="2347"/>
      <x:c r="FC13" s="2347"/>
      <x:c r="FD13" s="2423"/>
      <x:c r="FE13" s="2423"/>
      <x:c r="FF13" s="2423"/>
      <x:c r="FG13" s="2423"/>
      <x:c r="FH13" s="2423"/>
      <x:c r="FI13" s="2423"/>
      <x:c r="FJ13" s="2423"/>
      <x:c r="FK13" s="2423"/>
      <x:c r="FL13" s="2423"/>
      <x:c r="FM13" s="2423"/>
      <x:c r="FN13" s="2423"/>
      <x:c r="FQ13" s="2321"/>
      <x:c r="FR13" s="2322"/>
      <x:c r="GA13" s="2318" t="s">
        <x:v>1140</x:v>
      </x:c>
      <x:c r="GB13" s="2318"/>
      <x:c r="GC13" s="2318"/>
      <x:c r="GD13" s="2318"/>
      <x:c r="GE13" s="2318"/>
      <x:c r="GF13" s="2318"/>
      <x:c r="GG13" s="1935"/>
      <x:c r="GH13" s="1935"/>
      <x:c r="GI13" s="1935"/>
      <x:c r="GJ13" s="1935"/>
      <x:c r="HA13" s="2459"/>
      <x:c r="HB13" s="2460"/>
      <x:c r="HC13" s="2460"/>
      <x:c r="HD13" s="2460"/>
      <x:c r="HE13" s="2460"/>
      <x:c r="HF13" s="2460"/>
      <x:c r="HG13" s="2460"/>
      <x:c r="HH13" s="2460"/>
      <x:c r="HI13" s="2460"/>
      <x:c r="HJ13" s="2460"/>
      <x:c r="HK13" s="2460"/>
      <x:c r="HL13" s="2460"/>
      <x:c r="HM13" s="2460"/>
      <x:c r="HN13" s="2460"/>
      <x:c r="HO13" s="2460"/>
      <x:c r="HP13" s="2460"/>
      <x:c r="HQ13" s="2460"/>
      <x:c r="HR13" s="2460"/>
      <x:c r="HS13" s="2460"/>
      <x:c r="HT13" s="2460"/>
      <x:c r="HU13" s="2460"/>
      <x:c r="HV13" s="2461"/>
      <x:c r="HW13" s="2461"/>
      <x:c r="HX13" s="2461"/>
      <x:c r="HY13" s="2462"/>
      <x:c r="HZ13" s="2462"/>
      <x:c r="IA13" s="2462"/>
      <x:c r="IB13" s="2462"/>
      <x:c r="IC13" s="2462"/>
      <x:c r="ID13" s="2462"/>
      <x:c r="IE13" s="2462"/>
      <x:c r="IF13" s="2463"/>
    </x:row>
    <x:row r="14" spans="1:241" ht="12.6" customHeight="1" thickTop="1" thickBot="1" x14ac:dyDescent="0.25">
      <x:c r="A14" s="2410" t="s">
        <x:v>40</x:v>
      </x:c>
      <x:c r="B14" s="2384" t="s">
        <x:v>28</x:v>
      </x:c>
      <x:c r="C14" s="2384" t="s">
        <x:v>24</x:v>
      </x:c>
      <x:c r="D14" s="2384" t="s">
        <x:v>25</x:v>
      </x:c>
      <x:c r="E14" s="2464"/>
      <x:c r="F14" s="2076" t="s">
        <x:v>9</x:v>
      </x:c>
      <x:c r="G14" s="2077"/>
      <x:c r="H14" s="2077"/>
      <x:c r="I14" s="2077" t="s">
        <x:v>10</x:v>
      </x:c>
      <x:c r="J14" s="2077"/>
      <x:c r="K14" s="2078"/>
      <x:c r="L14" s="2076" t="s">
        <x:v>11</x:v>
      </x:c>
      <x:c r="M14" s="2078"/>
      <x:c r="N14" s="1969" t="s">
        <x:v>12</x:v>
      </x:c>
      <x:c r="O14" s="2077"/>
      <x:c r="P14" s="2077"/>
      <x:c r="Q14" s="2077" t="s">
        <x:v>13</x:v>
      </x:c>
      <x:c r="R14" s="2077"/>
      <x:c r="S14" s="1967"/>
      <x:c r="T14" s="2076" t="s">
        <x:v>14</x:v>
      </x:c>
      <x:c r="U14" s="2077"/>
      <x:c r="V14" s="2077"/>
      <x:c r="W14" s="2077"/>
      <x:c r="X14" s="2078"/>
      <x:c r="Y14" s="2071" t="s">
        <x:v>111</x:v>
      </x:c>
      <x:c r="Z14" s="2072"/>
      <x:c r="AA14" s="1059" t="s">
        <x:v>15</x:v>
      </x:c>
      <x:c r="AB14" s="1411"/>
      <x:c r="AD14" s="426"/>
      <x:c r="AE14" s="426"/>
      <x:c r="AF14" s="426"/>
      <x:c r="AG14" s="426"/>
      <x:c r="AH14" s="426"/>
      <x:c r="AI14" s="426"/>
      <x:c r="AJ14" s="426"/>
      <x:c r="AK14" s="426"/>
      <x:c r="AL14" s="426"/>
      <x:c r="AM14" s="426"/>
      <x:c r="AN14" s="426"/>
      <x:c r="AO14" s="426"/>
      <x:c r="AP14" s="426"/>
      <x:c r="AQ14" s="426"/>
      <x:c r="AR14" s="426"/>
      <x:c r="AS14" s="426"/>
      <x:c r="AT14" s="426"/>
      <x:c r="AU14" s="1897"/>
      <x:c r="AV14" s="2321"/>
      <x:c r="AW14" s="2322"/>
      <x:c r="AX14" s="502"/>
      <x:c r="AY14" s="426"/>
      <x:c r="AZ14" s="2337" t="s">
        <x:v>1059</x:v>
      </x:c>
      <x:c r="BA14" s="246"/>
      <x:c r="BB14" s="2420" t="s">
        <x:v>539</x:v>
      </x:c>
      <x:c r="BC14" s="2400" t="s">
        <x:v>130</x:v>
      </x:c>
      <x:c r="BD14" s="2401" t="s">
        <x:v>540</x:v>
      </x:c>
      <x:c r="BE14" s="2402" t="s">
        <x:v>1290</x:v>
      </x:c>
      <x:c r="BF14" s="2403"/>
      <x:c r="BG14" s="2226" t="s">
        <x:v>1282</x:v>
      </x:c>
      <x:c r="BH14" s="2401" t="s">
        <x:v>803</x:v>
      </x:c>
      <x:c r="BI14" s="2229"/>
      <x:c r="BJ14" s="2368" t="s">
        <x:v>541</x:v>
      </x:c>
      <x:c r="BK14" s="2401" t="s">
        <x:v>1072</x:v>
      </x:c>
      <x:c r="BL14" s="2229"/>
      <x:c r="BM14" s="2400" t="s">
        <x:v>488</x:v>
      </x:c>
      <x:c r="BN14" s="2488" t="s">
        <x:v>793</x:v>
      </x:c>
      <x:c r="BO14" s="2475" t="s">
        <x:v>1275</x:v>
      </x:c>
      <x:c r="BP14" s="1937" t="s">
        <x:v>1276</x:v>
      </x:c>
      <x:c r="BQ14" s="1938"/>
      <x:c r="BR14" s="1939"/>
      <x:c r="BS14" s="2226" t="s">
        <x:v>1282</x:v>
      </x:c>
      <x:c r="BT14" s="2401" t="s">
        <x:v>803</x:v>
      </x:c>
      <x:c r="BU14" s="2229"/>
      <x:c r="BV14" s="2368" t="s">
        <x:v>541</x:v>
      </x:c>
      <x:c r="BW14" s="2401" t="s">
        <x:v>1072</x:v>
      </x:c>
      <x:c r="BX14" s="2229"/>
      <x:c r="BY14" s="2400" t="s">
        <x:v>488</x:v>
      </x:c>
      <x:c r="BZ14" s="2473" t="s">
        <x:v>793</x:v>
      </x:c>
      <x:c r="CA14" s="2475" t="s">
        <x:v>1275</x:v>
      </x:c>
      <x:c r="CB14" s="1937" t="s">
        <x:v>1276</x:v>
      </x:c>
      <x:c r="CC14" s="1938"/>
      <x:c r="CD14" s="1939"/>
      <x:c r="CE14" s="2469"/>
      <x:c r="CF14" s="2449"/>
      <x:c r="CG14" s="2448"/>
      <x:c r="CH14" s="2389" t="s">
        <x:v>588</x:v>
      </x:c>
      <x:c r="CI14" s="2390"/>
      <x:c r="CJ14" s="2390"/>
      <x:c r="CK14" s="2389" t="s">
        <x:v>589</x:v>
      </x:c>
      <x:c r="CL14" s="2436" t="s">
        <x:v>786</x:v>
      </x:c>
      <x:c r="CM14" s="2436"/>
      <x:c r="CN14" s="2434"/>
      <x:c r="CO14" s="2435"/>
      <x:c r="CP14" s="2430"/>
      <x:c r="CQ14" s="2431"/>
      <x:c r="CR14" s="2395"/>
      <x:c r="CS14" s="2387"/>
      <x:c r="CT14" s="426"/>
      <x:c r="CU14" s="2342" t="s">
        <x:v>498</x:v>
      </x:c>
      <x:c r="CV14" s="2302" t="s">
        <x:v>499</x:v>
      </x:c>
      <x:c r="CW14" s="2302" t="s">
        <x:v>500</x:v>
      </x:c>
      <x:c r="CX14" s="2302" t="s">
        <x:v>501</x:v>
      </x:c>
      <x:c r="CY14" s="2302" t="s">
        <x:v>560</x:v>
      </x:c>
      <x:c r="CZ14" s="2302" t="s">
        <x:v>578</x:v>
      </x:c>
      <x:c r="DA14" s="2302" t="s">
        <x:v>502</x:v>
      </x:c>
      <x:c r="DB14" s="2302" t="s">
        <x:v>579</x:v>
      </x:c>
      <x:c r="DC14" s="2302" t="s">
        <x:v>503</x:v>
      </x:c>
      <x:c r="DD14" s="2302" t="s">
        <x:v>504</x:v>
      </x:c>
      <x:c r="DE14" s="2342" t="s">
        <x:v>498</x:v>
      </x:c>
      <x:c r="DF14" s="2302" t="s">
        <x:v>499</x:v>
      </x:c>
      <x:c r="DG14" s="2302" t="s">
        <x:v>505</x:v>
      </x:c>
      <x:c r="DH14" s="2302" t="s">
        <x:v>501</x:v>
      </x:c>
      <x:c r="DI14" s="2302" t="s">
        <x:v>560</x:v>
      </x:c>
      <x:c r="DJ14" s="2302" t="s">
        <x:v>578</x:v>
      </x:c>
      <x:c r="DK14" s="2302" t="s">
        <x:v>502</x:v>
      </x:c>
      <x:c r="DL14" s="2302" t="s">
        <x:v>579</x:v>
      </x:c>
      <x:c r="DM14" s="2302" t="s">
        <x:v>503</x:v>
      </x:c>
      <x:c r="DN14" s="2344" t="s">
        <x:v>504</x:v>
      </x:c>
      <x:c r="DO14" s="2339" t="s">
        <x:v>491</x:v>
      </x:c>
      <x:c r="DP14" s="2437" t="s">
        <x:v>506</x:v>
      </x:c>
      <x:c r="DQ14" s="2333" t="s">
        <x:v>507</x:v>
      </x:c>
      <x:c r="DR14" s="2304" t="s">
        <x:v>508</x:v>
      </x:c>
      <x:c r="DS14" s="2306" t="s">
        <x:v>543</x:v>
      </x:c>
      <x:c r="DT14" s="2331" t="s">
        <x:v>509</x:v>
      </x:c>
      <x:c r="DU14" s="2332"/>
      <x:c r="DV14" s="2308" t="s">
        <x:v>1103</x:v>
      </x:c>
      <x:c r="DW14" s="2335" t="s">
        <x:v>1104</x:v>
      </x:c>
      <x:c r="DX14" s="2337" t="s">
        <x:v>514</x:v>
      </x:c>
      <x:c r="DY14" s="2306" t="s">
        <x:v>544</x:v>
      </x:c>
      <x:c r="DZ14" s="2331" t="s">
        <x:v>511</x:v>
      </x:c>
      <x:c r="EA14" s="2332"/>
      <x:c r="EB14" s="2335" t="s">
        <x:v>1105</x:v>
      </x:c>
      <x:c r="EC14" s="2335" t="s">
        <x:v>1106</x:v>
      </x:c>
      <x:c r="ED14" s="2337" t="s">
        <x:v>516</x:v>
      </x:c>
      <x:c r="EE14" s="2333" t="s">
        <x:v>545</x:v>
      </x:c>
      <x:c r="EF14" s="2351" t="s">
        <x:v>546</x:v>
      </x:c>
      <x:c r="EG14" s="2352"/>
      <x:c r="EH14" s="2351" t="s">
        <x:v>547</x:v>
      </x:c>
      <x:c r="EI14" s="2353"/>
      <x:c r="EJ14" s="2304" t="s">
        <x:v>548</x:v>
      </x:c>
      <x:c r="EK14" s="2341"/>
      <x:c r="EL14" s="2333" t="s">
        <x:v>568</x:v>
      </x:c>
      <x:c r="EM14" s="2351" t="s">
        <x:v>549</x:v>
      </x:c>
      <x:c r="EN14" s="2352"/>
      <x:c r="EO14" s="2351" t="s">
        <x:v>550</x:v>
      </x:c>
      <x:c r="EP14" s="2353"/>
      <x:c r="EQ14" s="2304" t="s">
        <x:v>551</x:v>
      </x:c>
      <x:c r="ER14" s="2341"/>
      <x:c r="ES14" s="2333" t="s">
        <x:v>12</x:v>
      </x:c>
      <x:c r="ET14" s="2333" t="s">
        <x:v>13</x:v>
      </x:c>
      <x:c r="EU14" s="2304" t="s">
        <x:v>582</x:v>
      </x:c>
      <x:c r="EV14" s="2349"/>
      <x:c r="EW14" s="2307"/>
      <x:c r="EX14" s="2347"/>
      <x:c r="EY14" s="2347"/>
      <x:c r="EZ14" s="2422"/>
      <x:c r="FA14" s="2347"/>
      <x:c r="FB14" s="2347"/>
      <x:c r="FC14" s="2347"/>
      <x:c r="FD14" s="2423"/>
      <x:c r="FE14" s="2423"/>
      <x:c r="FF14" s="2423"/>
      <x:c r="FG14" s="2423"/>
      <x:c r="FH14" s="2423"/>
      <x:c r="FI14" s="2423"/>
      <x:c r="FJ14" s="2423"/>
      <x:c r="FK14" s="2423"/>
      <x:c r="FL14" s="2423"/>
      <x:c r="FM14" s="2423"/>
      <x:c r="FN14" s="2423"/>
      <x:c r="FO14" s="2333" t="s">
        <x:v>590</x:v>
      </x:c>
      <x:c r="FP14" s="2333" t="s">
        <x:v>591</x:v>
      </x:c>
      <x:c r="FQ14" s="2439" t="s">
        <x:v>654</x:v>
      </x:c>
      <x:c r="FR14" s="2442" t="s">
        <x:v>655</x:v>
      </x:c>
      <x:c r="FS14" s="2437" t="s">
        <x:v>682</x:v>
      </x:c>
      <x:c r="FT14" s="2450" t="s">
        <x:v>683</x:v>
      </x:c>
      <x:c r="FU14" s="2159" t="s">
        <x:v>787</x:v>
      </x:c>
      <x:c r="FV14" s="2160"/>
      <x:c r="FW14" s="426"/>
      <x:c r="FX14" s="426"/>
      <x:c r="FY14" s="426"/>
      <x:c r="FZ14" s="426"/>
      <x:c r="GA14" s="2118" t="s">
        <x:v>708</x:v>
      </x:c>
      <x:c r="GB14" s="2119"/>
      <x:c r="GC14" s="2118" t="s">
        <x:v>558</x:v>
      </x:c>
      <x:c r="GD14" s="2119"/>
      <x:c r="GE14" s="2120" t="s">
        <x:v>711</x:v>
      </x:c>
      <x:c r="GF14" s="2122" t="s">
        <x:v>40</x:v>
      </x:c>
      <x:c r="GG14" s="2316" t="s">
        <x:v>1142</x:v>
      </x:c>
      <x:c r="GH14" s="2317"/>
      <x:c r="GI14" s="2316" t="s">
        <x:v>1141</x:v>
      </x:c>
      <x:c r="GJ14" s="2317"/>
      <x:c r="GK14" s="2123" t="s">
        <x:v>712</x:v>
      </x:c>
      <x:c r="GL14" s="2123" t="s">
        <x:v>713</x:v>
      </x:c>
      <x:c r="GM14" s="2123" t="s">
        <x:v>714</x:v>
      </x:c>
      <x:c r="HA14" s="2440" t="s">
        <x:v>539</x:v>
      </x:c>
      <x:c r="HB14" s="2314" t="s">
        <x:v>130</x:v>
      </x:c>
      <x:c r="HC14" s="2314" t="s">
        <x:v>540</x:v>
      </x:c>
      <x:c r="HD14" s="2424" t="str">
        <x:f>IF($HA$1,"Joist ""BayLength""","Overall Length")</x:f>
        <x:v>Overall Length</x:v>
      </x:c>
      <x:c r="HE14" s="2314"/>
      <x:c r="HF14" s="2312" t="str">
        <x:f>IF($HA$1,"Left Sect. #","TCXL Feet")</x:f>
        <x:v>TCXL Feet</x:v>
      </x:c>
      <x:c r="HG14" s="2312" t="str">
        <x:f>IF($HA$1,"L Min Sup Width","TCXL Inch")</x:f>
        <x:v>TCXL Inch</x:v>
      </x:c>
      <x:c r="HH14" s="2312" t="str">
        <x:f>IF($HA$1,"L Max Sup Width","TCXL Type")</x:f>
        <x:v>TCXL Type</x:v>
      </x:c>
      <x:c r="HI14" s="2312" t="str">
        <x:f>IF($HA$1,"Left Bolt ""X""","TCXR Feet")</x:f>
        <x:v>TCXR Feet</x:v>
      </x:c>
      <x:c r="HJ14" s="2312" t="str">
        <x:f>IF($HA$1,"L Min Flg Ga","TCXR Inch")</x:f>
        <x:v>TCXR Inch</x:v>
      </x:c>
      <x:c r="HK14" s="2312" t="str">
        <x:f>IF($HA$1,"L Max Flg Ga","TCXR Type")</x:f>
        <x:v>TCXR Type</x:v>
      </x:c>
      <x:c r="HL14" s="2312" t="str">
        <x:f>IF($HA$1,"Left Skew","BDL")</x:f>
        <x:v>BDL</x:v>
      </x:c>
      <x:c r="HM14" s="2312" t="str">
        <x:f>IF($HA$1,"Left Brg Slp","BDR")</x:f>
        <x:v>BDR</x:v>
      </x:c>
      <x:c r="HN14" s="2312" t="str">
        <x:f>IF($HA$1,"Right Sect. #","BCXL Feet")</x:f>
        <x:v>BCXL Feet</x:v>
      </x:c>
      <x:c r="HO14" s="2312" t="str">
        <x:f>IF($HA$1,"R Min Sup Width","BCXL Inch")</x:f>
        <x:v>BCXL Inch</x:v>
      </x:c>
      <x:c r="HP14" s="2312" t="str">
        <x:f>IF($HA$1,"R Max Sup Width","BCXL Type")</x:f>
        <x:v>BCXL Type</x:v>
      </x:c>
      <x:c r="HQ14" s="2312" t="str">
        <x:f>IF($HA$1,"Right Bolt ""X""","BCXR Feet")</x:f>
        <x:v>BCXR Feet</x:v>
      </x:c>
      <x:c r="HR14" s="2312" t="str">
        <x:f>IF($HA$1,"R Min Flg Ga","BCXR Inch")</x:f>
        <x:v>BCXR Inch</x:v>
      </x:c>
      <x:c r="HS14" s="2312" t="str">
        <x:f>IF($HA$1,"R Max Flg Ga","BCXR Type")</x:f>
        <x:v>BCXR Type</x:v>
      </x:c>
      <x:c r="HT14" s="2312" t="str">
        <x:f>IF($HA$1,"Right Skew","HL Feet")</x:f>
        <x:v>HL Feet</x:v>
      </x:c>
      <x:c r="HU14" s="2312" t="str">
        <x:f>IF($HA$1,"Right Brg Slp","HL Inch")</x:f>
        <x:v>HL Inch</x:v>
      </x:c>
      <x:c r="HV14" s="2312" t="str">
        <x:f>IF($HA$1,"TC Slope","HR Feet")</x:f>
        <x:v>HR Feet</x:v>
      </x:c>
      <x:c r="HW14" s="2312" t="str">
        <x:f>IF($HA$1,"Load Notes","HR Inch")</x:f>
        <x:v>HR Inch</x:v>
      </x:c>
      <x:c r="HX14" s="2312" t="str">
        <x:f>IF($HA$1,"Spcl Notes","Slot Ga")</x:f>
        <x:v>Slot Ga</x:v>
      </x:c>
      <x:c r="HY14" s="2312" t="str">
        <x:f>IF($HA$1,"TC L Override","L Seat Slp")</x:f>
        <x:v>L Seat Slp</x:v>
      </x:c>
      <x:c r="HZ14" s="2312" t="str">
        <x:f>IF($HA$1,"TCR Override","R Seat Slp")</x:f>
        <x:v>R Seat Slp</x:v>
      </x:c>
      <x:c r="IA14" s="2312" t="str">
        <x:f>IF($HA$1,"L-BL Override","Sp Notes")</x:f>
        <x:v>Sp Notes</x:v>
      </x:c>
      <x:c r="IB14" s="2312" t="str">
        <x:f>IF($HA$1,"R-BL Override","Ld Notes")</x:f>
        <x:v>Ld Notes</x:v>
      </x:c>
      <x:c r="IC14" s="2312" t="str">
        <x:f>IF($HA$1,"BCXL ""X""","-")</x:f>
        <x:v>-</x:v>
      </x:c>
      <x:c r="ID14" s="2312" t="str">
        <x:f>IF($HA$1,"BCXR ""X""","-")</x:f>
        <x:v>-</x:v>
      </x:c>
      <x:c r="IE14" s="2312" t="str">
        <x:f>IF($HA$1,"BDL Override","-")</x:f>
        <x:v>-</x:v>
      </x:c>
      <x:c r="IF14" s="2452" t="str">
        <x:f>IF($HA$1,"BDR Override","-")</x:f>
        <x:v>-</x:v>
      </x:c>
    </x:row>
    <x:row r="15" spans="1:241" ht="12.6" customHeight="1" thickTop="1" thickBot="1" x14ac:dyDescent="0.25">
      <x:c r="A15" s="2411"/>
      <x:c r="B15" s="2385"/>
      <x:c r="C15" s="2385"/>
      <x:c r="D15" s="2385"/>
      <x:c r="E15" s="2465"/>
      <x:c r="F15" s="1980" t="s">
        <x:v>16</x:v>
      </x:c>
      <x:c r="G15" s="2070"/>
      <x:c r="H15" s="1102" t="s">
        <x:v>732</x:v>
      </x:c>
      <x:c r="I15" s="2070" t="s">
        <x:v>16</x:v>
      </x:c>
      <x:c r="J15" s="2070"/>
      <x:c r="K15" s="461" t="s">
        <x:v>732</x:v>
      </x:c>
      <x:c r="L15" s="1106" t="s">
        <x:v>18</x:v>
      </x:c>
      <x:c r="M15" s="461" t="s">
        <x:v>19</x:v>
      </x:c>
      <x:c r="N15" s="1977" t="s">
        <x:v>16</x:v>
      </x:c>
      <x:c r="O15" s="2070"/>
      <x:c r="P15" s="1102" t="s">
        <x:v>732</x:v>
      </x:c>
      <x:c r="Q15" s="2070" t="s">
        <x:v>16</x:v>
      </x:c>
      <x:c r="R15" s="2070"/>
      <x:c r="S15" s="1065" t="s">
        <x:v>732</x:v>
      </x:c>
      <x:c r="T15" s="1980" t="s">
        <x:v>80</x:v>
      </x:c>
      <x:c r="U15" s="2070"/>
      <x:c r="V15" s="2070" t="s">
        <x:v>81</x:v>
      </x:c>
      <x:c r="W15" s="2070"/>
      <x:c r="X15" s="461" t="s">
        <x:v>27</x:v>
      </x:c>
      <x:c r="Y15" s="1106" t="s">
        <x:v>112</x:v>
      </x:c>
      <x:c r="Z15" s="461" t="s">
        <x:v>113</x:v>
      </x:c>
      <x:c r="AA15" s="1060" t="s">
        <x:v>57</x:v>
      </x:c>
      <x:c r="AB15" s="1412"/>
      <x:c r="AC15" s="963" t="s">
        <x:v>1101</x:v>
      </x:c>
      <x:c r="AD15" s="427" t="s">
        <x:v>73</x:v>
      </x:c>
      <x:c r="AE15" s="428" t="s">
        <x:v>74</x:v>
      </x:c>
      <x:c r="AF15" s="428" t="s">
        <x:v>75</x:v>
      </x:c>
      <x:c r="AG15" s="428" t="s">
        <x:v>76</x:v>
      </x:c>
      <x:c r="AH15" s="429" t="s">
        <x:v>114</x:v>
      </x:c>
      <x:c r="AI15" s="430" t="s">
        <x:v>170</x:v>
      </x:c>
      <x:c r="AJ15" s="372" t="s">
        <x:v>171</x:v>
      </x:c>
      <x:c r="AK15" s="372" t="s">
        <x:v>172</x:v>
      </x:c>
      <x:c r="AL15" s="372" t="s">
        <x:v>173</x:v>
      </x:c>
      <x:c r="AM15" s="372" t="s">
        <x:v>147</x:v>
      </x:c>
      <x:c r="AN15" s="372" t="s">
        <x:v>748</x:v>
      </x:c>
      <x:c r="AO15" s="372" t="s">
        <x:v>749</x:v>
      </x:c>
      <x:c r="AP15" s="372" t="s">
        <x:v>179</x:v>
      </x:c>
      <x:c r="AQ15" s="372" t="s">
        <x:v>176</x:v>
      </x:c>
      <x:c r="AR15" s="372" t="s">
        <x:v>174</x:v>
      </x:c>
      <x:c r="AS15" s="372" t="s">
        <x:v>177</x:v>
      </x:c>
      <x:c r="AT15" s="372" t="s">
        <x:v>178</x:v>
      </x:c>
      <x:c r="AU15" s="1898"/>
      <x:c r="AV15" s="2392"/>
      <x:c r="AW15" s="2393"/>
      <x:c r="AX15" s="503" t="s">
        <x:v>632</x:v>
      </x:c>
      <x:c r="AY15" s="503" t="s">
        <x:v>133</x:v>
      </x:c>
      <x:c r="AZ15" s="2467"/>
      <x:c r="BA15" s="246"/>
      <x:c r="BB15" s="2128"/>
      <x:c r="BC15" s="2057"/>
      <x:c r="BD15" s="2130"/>
      <x:c r="BE15" s="2404"/>
      <x:c r="BF15" s="2405"/>
      <x:c r="BG15" s="2227"/>
      <x:c r="BH15" s="2471"/>
      <x:c r="BI15" s="2472"/>
      <x:c r="BJ15" s="2369"/>
      <x:c r="BK15" s="2471"/>
      <x:c r="BL15" s="2472"/>
      <x:c r="BM15" s="2057"/>
      <x:c r="BN15" s="2489"/>
      <x:c r="BO15" s="2476"/>
      <x:c r="BP15" s="1546" t="s">
        <x:v>1277</x:v>
      </x:c>
      <x:c r="BQ15" s="1547" t="s">
        <x:v>1278</x:v>
      </x:c>
      <x:c r="BR15" s="1548" t="s">
        <x:v>501</x:v>
      </x:c>
      <x:c r="BS15" s="2227"/>
      <x:c r="BT15" s="2471"/>
      <x:c r="BU15" s="2472"/>
      <x:c r="BV15" s="2369"/>
      <x:c r="BW15" s="2471"/>
      <x:c r="BX15" s="2472"/>
      <x:c r="BY15" s="2057"/>
      <x:c r="BZ15" s="2474"/>
      <x:c r="CA15" s="2476"/>
      <x:c r="CB15" s="1546" t="s">
        <x:v>1277</x:v>
      </x:c>
      <x:c r="CC15" s="1547" t="s">
        <x:v>1278</x:v>
      </x:c>
      <x:c r="CD15" s="1548" t="s">
        <x:v>501</x:v>
      </x:c>
      <x:c r="CE15" s="2470"/>
      <x:c r="CF15" s="1554" t="s">
        <x:v>418</x:v>
      </x:c>
      <x:c r="CG15" s="1549" t="s">
        <x:v>553</x:v>
      </x:c>
      <x:c r="CH15" s="498" t="s">
        <x:v>585</x:v>
      </x:c>
      <x:c r="CI15" s="433" t="s">
        <x:v>586</x:v>
      </x:c>
      <x:c r="CJ15" s="434" t="s">
        <x:v>587</x:v>
      </x:c>
      <x:c r="CK15" s="2391"/>
      <x:c r="CL15" s="499" t="s">
        <x:v>606</x:v>
      </x:c>
      <x:c r="CM15" s="500" t="s">
        <x:v>607</x:v>
      </x:c>
      <x:c r="CN15" s="932" t="s">
        <x:v>606</x:v>
      </x:c>
      <x:c r="CO15" s="435" t="s">
        <x:v>607</x:v>
      </x:c>
      <x:c r="CP15" s="436" t="s">
        <x:v>520</x:v>
      </x:c>
      <x:c r="CQ15" s="437" t="s">
        <x:v>169</x:v>
      </x:c>
      <x:c r="CR15" s="2396"/>
      <x:c r="CS15" s="2388"/>
      <x:c r="CT15" s="426"/>
      <x:c r="CU15" s="2343"/>
      <x:c r="CV15" s="2325"/>
      <x:c r="CW15" s="2325"/>
      <x:c r="CX15" s="2303"/>
      <x:c r="CY15" s="2303"/>
      <x:c r="CZ15" s="2303"/>
      <x:c r="DA15" s="2303"/>
      <x:c r="DB15" s="2303"/>
      <x:c r="DC15" s="2303"/>
      <x:c r="DD15" s="2303"/>
      <x:c r="DE15" s="2343"/>
      <x:c r="DF15" s="2325"/>
      <x:c r="DG15" s="2325"/>
      <x:c r="DH15" s="2303"/>
      <x:c r="DI15" s="2303"/>
      <x:c r="DJ15" s="2303"/>
      <x:c r="DK15" s="2303"/>
      <x:c r="DL15" s="2303"/>
      <x:c r="DM15" s="2303"/>
      <x:c r="DN15" s="2345"/>
      <x:c r="DO15" s="2340"/>
      <x:c r="DP15" s="2451"/>
      <x:c r="DQ15" s="2334"/>
      <x:c r="DR15" s="2305"/>
      <x:c r="DS15" s="2307"/>
      <x:c r="DT15" s="438" t="s">
        <x:v>554</x:v>
      </x:c>
      <x:c r="DU15" s="438" t="s">
        <x:v>555</x:v>
      </x:c>
      <x:c r="DV15" s="2309"/>
      <x:c r="DW15" s="2336"/>
      <x:c r="DX15" s="2338"/>
      <x:c r="DY15" s="2307"/>
      <x:c r="DZ15" s="438" t="s">
        <x:v>554</x:v>
      </x:c>
      <x:c r="EA15" s="438" t="s">
        <x:v>555</x:v>
      </x:c>
      <x:c r="EB15" s="2336"/>
      <x:c r="EC15" s="2336"/>
      <x:c r="ED15" s="2338"/>
      <x:c r="EE15" s="2354"/>
      <x:c r="EF15" s="439" t="s">
        <x:v>521</x:v>
      </x:c>
      <x:c r="EG15" s="440" t="s">
        <x:v>522</x:v>
      </x:c>
      <x:c r="EH15" s="439" t="s">
        <x:v>521</x:v>
      </x:c>
      <x:c r="EI15" s="440" t="s">
        <x:v>522</x:v>
      </x:c>
      <x:c r="EJ15" s="439" t="s">
        <x:v>521</x:v>
      </x:c>
      <x:c r="EK15" s="440" t="s">
        <x:v>522</x:v>
      </x:c>
      <x:c r="EL15" s="2354"/>
      <x:c r="EM15" s="439" t="s">
        <x:v>521</x:v>
      </x:c>
      <x:c r="EN15" s="440" t="s">
        <x:v>522</x:v>
      </x:c>
      <x:c r="EO15" s="439" t="s">
        <x:v>521</x:v>
      </x:c>
      <x:c r="EP15" s="440" t="s">
        <x:v>522</x:v>
      </x:c>
      <x:c r="EQ15" s="439" t="s">
        <x:v>521</x:v>
      </x:c>
      <x:c r="ER15" s="440" t="s">
        <x:v>522</x:v>
      </x:c>
      <x:c r="ES15" s="2357"/>
      <x:c r="ET15" s="2357"/>
      <x:c r="EU15" s="2358"/>
      <x:c r="EV15" s="2350"/>
      <x:c r="EW15" s="2307"/>
      <x:c r="EX15" s="2347"/>
      <x:c r="EY15" s="2347"/>
      <x:c r="EZ15" s="2422"/>
      <x:c r="FA15" s="2347"/>
      <x:c r="FB15" s="2347"/>
      <x:c r="FC15" s="2347"/>
      <x:c r="FD15" s="2423"/>
      <x:c r="FE15" s="2423"/>
      <x:c r="FF15" s="2423"/>
      <x:c r="FG15" s="2423"/>
      <x:c r="FH15" s="2423"/>
      <x:c r="FI15" s="2423"/>
      <x:c r="FJ15" s="2423"/>
      <x:c r="FK15" s="2423"/>
      <x:c r="FL15" s="2423"/>
      <x:c r="FM15" s="2423"/>
      <x:c r="FN15" s="2423"/>
      <x:c r="FO15" s="2357"/>
      <x:c r="FP15" s="2357"/>
      <x:c r="FQ15" s="2357"/>
      <x:c r="FR15" s="2443"/>
      <x:c r="FS15" s="2438"/>
      <x:c r="FT15" s="2443"/>
      <x:c r="FU15" s="508" t="s">
        <x:v>606</x:v>
      </x:c>
      <x:c r="FV15" s="509" t="s">
        <x:v>607</x:v>
      </x:c>
      <x:c r="FW15" s="426"/>
      <x:c r="FX15" s="426"/>
      <x:c r="FY15" s="426"/>
      <x:c r="FZ15" s="426"/>
      <x:c r="GA15" s="1035" t="s">
        <x:v>1112</x:v>
      </x:c>
      <x:c r="GB15" s="1036" t="s">
        <x:v>710</x:v>
      </x:c>
      <x:c r="GC15" s="1031" t="s">
        <x:v>606</x:v>
      </x:c>
      <x:c r="GD15" s="1032" t="s">
        <x:v>607</x:v>
      </x:c>
      <x:c r="GE15" s="2121"/>
      <x:c r="GF15" s="2121"/>
      <x:c r="GG15" s="1033" t="s">
        <x:v>1112</x:v>
      </x:c>
      <x:c r="GH15" s="1034" t="s">
        <x:v>710</x:v>
      </x:c>
      <x:c r="GI15" s="1033" t="s">
        <x:v>1112</x:v>
      </x:c>
      <x:c r="GJ15" s="1034" t="s">
        <x:v>710</x:v>
      </x:c>
      <x:c r="GK15" s="2124"/>
      <x:c r="GL15" s="2124"/>
      <x:c r="GM15" s="2124"/>
      <x:c r="HA15" s="2441"/>
      <x:c r="HB15" s="2315"/>
      <x:c r="HC15" s="2315"/>
      <x:c r="HD15" s="2315"/>
      <x:c r="HE15" s="2315"/>
      <x:c r="HF15" s="2313"/>
      <x:c r="HG15" s="2313"/>
      <x:c r="HH15" s="2313"/>
      <x:c r="HI15" s="2313"/>
      <x:c r="HJ15" s="2313"/>
      <x:c r="HK15" s="2313"/>
      <x:c r="HL15" s="2313"/>
      <x:c r="HM15" s="2313"/>
      <x:c r="HN15" s="2313"/>
      <x:c r="HO15" s="2313"/>
      <x:c r="HP15" s="2313"/>
      <x:c r="HQ15" s="2313"/>
      <x:c r="HR15" s="2313"/>
      <x:c r="HS15" s="2313"/>
      <x:c r="HT15" s="2313"/>
      <x:c r="HU15" s="2313"/>
      <x:c r="HV15" s="2313"/>
      <x:c r="HW15" s="2313"/>
      <x:c r="HX15" s="2313"/>
      <x:c r="HY15" s="2313"/>
      <x:c r="HZ15" s="2313"/>
      <x:c r="IA15" s="2313"/>
      <x:c r="IB15" s="2313"/>
      <x:c r="IC15" s="2313"/>
      <x:c r="ID15" s="2313"/>
      <x:c r="IE15" s="2313"/>
      <x:c r="IF15" s="2453"/>
    </x:row>
    <x:row r="16" spans="1:241" ht="12.6" customHeight="1" thickTop="1" x14ac:dyDescent="0.25">
      <x:c r="A16" s="2764" t="s">
        <x:v>1497</x:v>
      </x:c>
      <x:c r="B16" s="2765">
        <x:v>2</x:v>
      </x:c>
      <x:c r="C16" s="2766" t="s">
        <x:v>1592</x:v>
      </x:c>
      <x:c r="D16" s="2767">
        <x:v>39</x:v>
      </x:c>
      <x:c r="E16" s="2768">
        <x:v>2.25</x:v>
      </x:c>
      <x:c r="F16" s="2776" t="str">
        <x:f t="shared" ref="F16:F44" si="1">IF(DX16=0,"",TRUNC(DX16/12))</x:f>
        <x:v/>
      </x:c>
      <x:c r="G16" s="2771" t="str">
        <x:f t="shared" ref="G16:G44" si="2">IF(DX16=0,"",DX16-(F16*12))</x:f>
        <x:v/>
      </x:c>
      <x:c r="H16" s="2842" t="str">
        <x:f t="shared" ref="H16:H44" si="3">IF(DX16=0,"",CW16)</x:f>
        <x:v/>
      </x:c>
      <x:c r="I16" s="2767" t="str">
        <x:f t="shared" ref="I16:I44" si="4">IF(ED16=0,"",TRUNC(ED16/12))</x:f>
        <x:v/>
      </x:c>
      <x:c r="J16" s="2771" t="str">
        <x:f t="shared" ref="J16:J44" si="5">IF(ED16=0,"",ED16-(I16*12))</x:f>
        <x:v/>
      </x:c>
      <x:c r="K16" s="2855" t="str">
        <x:f t="shared" ref="K16:K44" si="6">IF(ED16=0,"",DG16)</x:f>
        <x:v/>
      </x:c>
      <x:c r="L16" s="2774">
        <x:v>5</x:v>
      </x:c>
      <x:c r="M16" s="2775">
        <x:v>5</x:v>
      </x:c>
      <x:c r="N16" s="2770" t="str">
        <x:f t="shared" ref="N16:N45" si="7">IF(ES16="","",IF(AND(ES16&lt;0,ES16&gt;-12),TRUNC(ES16/12)-0.0000001,TRUNC(ES16/12)))</x:f>
        <x:v/>
      </x:c>
      <x:c r="O16" s="2771" t="str">
        <x:f t="shared" ref="O16:O45" si="8">IF(ES16="","",IF(AND(ES16-(N16*12)=0,ES16&lt;0),-0.000001,ES16-(N16*12)))</x:f>
        <x:v/>
      </x:c>
      <x:c r="P16" s="2772" t="str">
        <x:f t="shared" ref="P16:P45" si="9">IF(ES16="","",IF(OR(CW16="Q",CW16="C"),3,CZ16))</x:f>
        <x:v/>
      </x:c>
      <x:c r="Q16" s="2767" t="str">
        <x:f t="shared" ref="Q16:Q45" si="10">IF(ET16="","",IF(AND(ET16&lt;0,ET16&gt;-12),TRUNC(ET16/12)-0.0000001,TRUNC(ET16/12)))</x:f>
        <x:v/>
      </x:c>
      <x:c r="R16" s="2771" t="str">
        <x:f t="shared" ref="R16:R45" si="11">IF(ET16="","",IF(AND(ET16-(Q16*12)=0,ET16&lt;0),-0.000001,ET16-(Q16*12)))</x:f>
        <x:v/>
      </x:c>
      <x:c r="S16" s="2773" t="str">
        <x:f t="shared" ref="S16:S45" si="12">IF(ET16="","",IF(OR(DG16="Q",DG16="C"),3,DJ16))</x:f>
        <x:v/>
      </x:c>
      <x:c r="T16" s="2776">
        <x:v>0</x:v>
      </x:c>
      <x:c r="U16" s="2771">
        <x:v>2.25</x:v>
      </x:c>
      <x:c r="V16" s="2767">
        <x:v>0</x:v>
      </x:c>
      <x:c r="W16" s="2771">
        <x:v>2</x:v>
      </x:c>
      <x:c r="X16" s="2775">
        <x:v>4</x:v>
      </x:c>
      <x:c r="Y16" s="2844" t="str">
        <x:f t="shared" ref="Y16:Y44" si="13">FG16</x:f>
        <x:v/>
      </x:c>
      <x:c r="Z16" s="2845" t="str">
        <x:f t="shared" ref="Z16:Z44" si="14">FL16</x:f>
        <x:v/>
      </x:c>
      <x:c r="AA16" s="2846" t="s">
        <x:v>1689</x:v>
      </x:c>
      <x:c r="AB16" s="1413"/>
      <x:c r="AC16" s="964" t="b">
        <x:v>0</x:v>
      </x:c>
      <x:c r="AD16" s="441">
        <x:f t="shared" ref="AD16:AD45" si="15">IF($C16="",0,IF(SUM(AE16:AG16)&gt;0,0,IF(ISERROR(SEARCH("K",$C16,1))=TRUE,0,$B16)))</x:f>
        <x:v>0</x:v>
      </x:c>
      <x:c r="AE16" s="442">
        <x:f t="shared" ref="AE16:AE45" si="16">IF(ISERROR(SEARCH("LH",$C16,1))=TRUE,0,$B16)</x:f>
        <x:v>2</x:v>
      </x:c>
      <x:c r="AF16" s="442">
        <x:f t="shared" ref="AF16:AF45" si="17">IF(ISERROR(SEARCH("JS",$C16))=TRUE,IF(ISERROR(SEARCH("2.5K",$C16))=TRUE,0,$B16),$B16)</x:f>
        <x:v>0</x:v>
      </x:c>
      <x:c r="AG16" s="442">
        <x:f t="shared" ref="AG16:AG45" si="18">IF(ISERROR(SEARCH("HDR",$C16,1))=TRUE,0,$B16)</x:f>
        <x:v>0</x:v>
      </x:c>
      <x:c r="AH16" s="443">
        <x:f t="shared" ref="AH16:AH45" si="19">IF(ISERROR(SEARCH("CJ",$C16,1))=TRUE,0,$B16)</x:f>
        <x:v>0</x:v>
      </x:c>
      <x:c r="AI16" s="444" t="b">
        <x:v>0</x:v>
      </x:c>
      <x:c r="AJ16" s="238">
        <x:f t="shared" ref="AJ16:AJ45" si="20">IF(OR(ISERROR(VALUE(LEFT(C16,SEARCH(AK16,C16)-1))),AK16=""),0,VALUE(LEFT(C16,SEARCH(AK16,C16)-1)))</x:f>
        <x:v>32</x:v>
      </x:c>
      <x:c r="AK16" s="830" t="str">
        <x:f t="shared" ref="AK16:AK45" si="21">IF(AV16="",AW16,AV16)</x:f>
        <x:v>LH</x:v>
      </x:c>
      <x:c r="AL16" s="945" t="str">
        <x:f t="shared" ref="AL16:AL45" si="22">IF(AK16="","",IF(ISERROR(SEARCH("/",C16)),IF(VALUE(MID(C16,SEARCH(AK16,C16)+LEN(AK16),LEN(C16)))&gt;25,"",VALUE(MID(C16,SEARCH(AK16,C16)+LEN(AK16),LEN(C16)))),""))</x:f>
        <x:v/>
      </x:c>
      <x:c r="AM16" s="830">
        <x:f t="shared" ref="AM16:AM45" si="23">IF(AK16="","",IF(ISERROR(SEARCH("/",C16)),IF(VALUE(MID(C16,SEARCH(AK16,C16)+LEN(AK16),LEN(C16)))&lt;26,"",VALUE(MID(C16,SEARCH(AK16,C16)+LEN(AK16),LEN(C16)))),VALUE(MID(C16,SEARCH(AK16,C16)+LEN(AK16),SEARCH("/",C16)-SEARCH(AK16,C16)-LEN(AK16)))))</x:f>
        <x:v>305</x:v>
      </x:c>
      <x:c r="AN16" s="830">
        <x:f t="shared" ref="AN16:AN45" si="24">IF(AK16="","",IF(AK16="CJ",MID(MID(C16,SEARCH("/",C16)+1,LEN(C16)),1,SEARCH("/",MID(C16,SEARCH("/",C16)+1,LEN(C16)))-1),IF(ISERROR(SEARCH("/",C16)),"",VALUE(MID(C16,SEARCH("/",C16)+1,LEN(C16))))))</x:f>
        <x:v>180</x:v>
      </x:c>
      <x:c r="AO16" s="830" t="str">
        <x:f t="shared" ref="AO16:AO45" si="25">IF(AK16="CJ",VALUE(MID(MID(C16,SEARCH("/",C16)+1,LEN(C16)),SEARCH("/",MID(C16,SEARCH("/",C16)+1,LEN(C16)))+1,LEN(MID(C16,SEARCH("/",C16)+1,LEN(C16))))),"")</x:f>
        <x:v/>
      </x:c>
      <x:c r="AP16" s="830" t="b">
        <x:f>IF(ISERROR(AJ16),FALSE,IF(OR(AJ16=0,ISERROR(AL16),ISERROR(AM16),ISERROR(AN16),ISERROR(AO16)),FALSE,IF(AL16&lt;&gt;"",IF(ISERROR(VLOOKUP(SUBSTITUTE(SUBSTITUTE(C16,"R",""),"A",""),TblJoistSize!$A:$A,1,FALSE)),FALSE,TRUE),TRUE)))</x:f>
        <x:v>1</x:v>
      </x:c>
      <x:c r="AQ16" s="1038">
        <x:f t="shared" ref="AQ16:AQ45" si="26">VLOOKUP(AK16,$DF$2:$DN$9,4,FALSE)+IF(LEFT(H16,1)="R",IF(ISNUMBER(F16),F16*12,0)+IF(ISNUMBER(G16),G16,0),0)</x:f>
        <x:v>6</x:v>
      </x:c>
      <x:c r="AR16" s="945" t="b">
        <x:f t="shared" ref="AR16:AR45" si="27">IF(IF(ISNUMBER(T16),T16*12,0)+IF(ISNUMBER(U16),U16,0)&gt;0,IF(AND(IF(ISNUMBER(T16),T16*12,0)+IF(ISNUMBER(U16),U16,0)&gt;=VLOOKUP(AU16,$DF$2:$DN$9,8,FALSE)/2+$DQ$2,IF(ISNUMBER(T16),T16*12,0)+IF(ISNUMBER(U16),U16,0)&lt;=(AQ16-(VLOOKUP(AU16,$DF$2:$DN$9,8,FALSE)/2+$DQ$2))+IF(H16="X",2,0)),TRUE,FALSE),FALSE)</x:f>
        <x:v>1</x:v>
      </x:c>
      <x:c r="AS16" s="1038">
        <x:f t="shared" ref="AS16:AS45" si="28">VLOOKUP(AK16,$DF$2:$DN$9,4,FALSE)+IF(LEFT(K16,1)="R",(IF(ISNUMBER(I16),I16*12,0)+IF(ISNUMBER(J16),J16,0)),0)</x:f>
        <x:v>6</x:v>
      </x:c>
      <x:c r="AT16" s="945" t="b">
        <x:f t="shared" ref="AT16:AT45" si="29">IF(IF(ISNUMBER(V16),V16*12,0)+IF(ISNUMBER(W16),W16,0)&gt;0,IF(AND((IF(ISNUMBER(V16),V16*12,0)+IF(ISNUMBER(W16),W16,0))&gt;=VLOOKUP(AU16,$DF$2:$DN$9,8,FALSE)/2+$DQ$2,(IF(ISNUMBER(V16),V16*12,0)+IF(ISNUMBER(W16),W16,0))&lt;=(AS16-(VLOOKUP(AU16,$DF$2:$DN$9,8,FALSE)/2+$DQ$2))+IF(K16="X",2,0)),TRUE,FALSE),FALSE)</x:f>
        <x:v>1</x:v>
      </x:c>
      <x:c r="AU16" s="946" t="str">
        <x: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830" t="str">
        <x:f t="shared" ref="AV16:AV45" si="31">IF(NOT(ISERROR(SEARCH("KCSR",C16))),"KCSR",IF(NOT(ISERROR(SEARCH("KCSA",C16))),"KCSA",IF(NOT(ISERROR(SEARCH("KCS",C16))),"KCS",IF(NOT(ISERROR(SEARCH("KR",C16))),"KR",IF(NOT(ISERROR(SEARCH("KA",C16))),"KA",IF(NOT(ISERROR(SEARCH("K",C16))),"K",IF(NOT(ISERROR(SEARCH("CJ",C16))),"CJ","")))))))</x:f>
        <x:v/>
      </x:c>
      <x:c r="AW16" s="830" t="str">
        <x:f t="shared" ref="AW16:AW45" si="32">IF(NOT(ISERROR(SEARCH("HDR",C16))),"HDR",IF(NOT(ISERROR(SEARCH("JS",C16))),"JS",IF(NOT(ISERROR(SEARCH("SLH",C16))),"SLH",IF(NOT(ISERROR(SEARCH("DLH",C16))),"DLH",IF(NOT(ISERROR(SEARCH("LH",C16))),"LH","")))))</x:f>
        <x:v>LH</x:v>
      </x:c>
      <x:c r="AX16" s="830" t="str">
        <x:f>IF(OR(ISBLANK(A16),A16=""),"",A16)</x:f>
        <x:v>J67</x:v>
      </x:c>
      <x:c r="AY16" s="1039" t="b">
        <x:f t="shared" ref="AY16:AY45" si="33">IF($AE$1,IF(AX16=AX15,AY15,IF(AND(AX16&lt;&gt;"",OR(B16=0,B16="")),TRUE,FALSE)),FALSE)</x:f>
        <x:v>0</x:v>
      </x:c>
      <x:c r="AZ16" s="856" t="b">
        <x:f t="shared" ref="AZ16:AZ45" si="34">IF(AND(NOT(ISERROR(AJ16)),AJ16&gt;0),((IF(D16="",0,D16)*12+IF(E16="",0,E16))-(IF(F16="",0,F16)*12+IF(G16="",0,G16))-(IF(I16="",0,I16)*12+IF(J16="",0,J16)))&gt;AJ16*24,"")</x:f>
        <x:v>0</x:v>
      </x:c>
      <x:c r="BA16" s="549"/>
      <x:c r="BB16" s="672"/>
      <x:c r="BC16" s="1684"/>
      <x:c r="BD16" s="733"/>
      <x:c r="BE16" s="734"/>
      <x:c r="BF16" s="735"/>
      <x:c r="BG16" s="672"/>
      <x:c r="BH16" s="982"/>
      <x:c r="BI16" s="983"/>
      <x:c r="BJ16" s="1625"/>
      <x:c r="BK16" s="713"/>
      <x:c r="BL16" s="714"/>
      <x:c r="BM16" s="715"/>
      <x:c r="BN16" s="716"/>
      <x:c r="BO16" s="664" t="str">
        <x:f>IF(ISERROR(CU16),"",IF(CU16="","",IF(VLOOKUP(BG16,SectInfo!$B:$N,10,FALSE)="","","X")))</x:f>
        <x:v/>
      </x:c>
      <x:c r="BP16" s="732"/>
      <x:c r="BQ16" s="1550" t="str">
        <x:f t="shared" ref="BQ16:BQ45" si="35">IF(ISERROR(CU16),"",IF(CW16="","",IF(CW16="C",CV16,IF(CW16="Q",2,""))))</x:f>
        <x:v/>
      </x:c>
      <x:c r="BR16" s="909"/>
      <x:c r="BS16" s="672"/>
      <x:c r="BT16" s="713"/>
      <x:c r="BU16" s="714"/>
      <x:c r="BV16" s="1625"/>
      <x:c r="BW16" s="713"/>
      <x:c r="BX16" s="714"/>
      <x:c r="BY16" s="715"/>
      <x:c r="BZ16" s="716"/>
      <x:c r="CA16" s="671" t="str">
        <x:f>IF(ISERROR(DE16),"",IF(DE16="","",IF(VLOOKUP(BS16,SectInfo!$B:$N,10,FALSE)="","","X")))</x:f>
        <x:v/>
      </x:c>
      <x:c r="CB16" s="732"/>
      <x:c r="CC16" s="1550" t="str">
        <x:f t="shared" ref="CC16:CC45" si="36">IF(ISERROR(DE16),"",IF(DG16="","",IF(DG16="C",DF16,IF(DG16="Q",2,""))))</x:f>
        <x:v/>
      </x:c>
      <x:c r="CD16" s="909"/>
      <x:c r="CE16" s="729"/>
      <x:c r="CF16" s="730"/>
      <x:c r="CG16" s="731"/>
      <x:c r="CH16" s="583" t="str">
        <x:f t="shared" ref="CH16:CH45" si="37">IF(EJ16=EK16,IF(EK16="ERR","ERR",""),CONCATENATE(IF(BM16&lt;0,"NS ","FS "),IF(EK16="ERR","Slot Only",CONCATENATE("Slot @ ",EJ16))))</x:f>
        <x:v/>
      </x:c>
      <x:c r="CI16" s="584" t="str">
        <x:f t="shared" ref="CI16:CI45" si="38">IF(EQ16=ER16,IF(ER16="ERR","ERR",""),CONCATENATE(IF(BY16&lt;0,"FS ","NS "),IF(ER16="ERR","Slot Only",CONCATENATE("Slot @ ",EQ16))))</x:f>
        <x:v/>
      </x:c>
      <x:c r="CJ16" s="585" t="str">
        <x:f t="shared" ref="CJ16:CJ45" si="39">IF(EV16="","",IF(AND(DB16&lt;&gt;EV16,OR(NOT(ISBLANK(BJ16)),CU16="C")),CONCATENATE("LE slots @ ",DB16," Ga."),IF(AND(DL16&lt;&gt;EV16,OR(NOT(ISBLANK(BV16)),DE16="C")),CONCATENATE("RE slots @ ",DL16," Ga."),"")))</x:f>
        <x:v/>
      </x:c>
      <x:c r="CK16" s="586" t="str">
        <x:f t="shared" ref="CK16:CK45" si="40">IF(AND(CP16&lt;&gt;"",BM16&lt;&gt;"",CQ16&lt;&gt;"",BY16&lt;&gt;""),"BE",IF(AND(CP16&lt;&gt;"",BM16&lt;&gt;""),"LE",IF(AND(CQ16&lt;&gt;"",BY16&lt;&gt;""),"RE","")))</x:f>
        <x:v/>
      </x:c>
      <x:c r="CL16" s="587" t="str">
        <x:f t="shared" ref="CL16:CL45" si="41">IF(BQ16="","",IF(CEILING(DV16,0.125)&lt;=DW16+VLOOKUP(AU16,$DF$2:$DI$9,4,FALSE),"",CEILING(DV16,0.125)))</x:f>
        <x:v/>
      </x:c>
      <x:c r="CM16" s="588" t="str">
        <x:f t="shared" ref="CM16:CM45" si="42">IF(CC16="","",IF(CEILING(EB16,0.125)&lt;=EC16+VLOOKUP(AU16,$DF$2:$DI$9,4,FALSE),"",CEILING(EB16,0.125)))</x:f>
        <x:v/>
      </x:c>
      <x:c r="CN16" s="589" t="str">
        <x:f t="shared" ref="CN16:CN45" si="43">IF(AND(CE16&lt;&gt;0,BM16&lt;&gt;0),CE16*COS(RADIANS(90-BM16))/(1/COS(RADIANS(90-BM16)))*-1,"")</x:f>
        <x:v/>
      </x:c>
      <x:c r="CO16" s="590" t="str">
        <x:f t="shared" ref="CO16:CO45" si="44">IF(AND(CE16&lt;&gt;0,BY16&lt;&gt;0),CE16*COS(RADIANS(90-BY16))/(1/COS(RADIANS(90-BY16))),"")</x:f>
        <x:v/>
      </x:c>
      <x:c r="CP16" s="613" t="str">
        <x:f t="shared" ref="CP16:CP45" si="45">IF(BG16="","",IF(AU16="JS","",IF(VLOOKUP(AU16,$DF$2:$DN$9,5,FALSE)&gt;FO16,IF(FO16&gt;=0.0625,CEILING(FO16-0.0625,0.125),FO16),"")))</x:f>
        <x:v/>
      </x:c>
      <x:c r="CQ16" s="614" t="str">
        <x:f t="shared" ref="CQ16:CQ45" si="46">IF(BS16="","",IF(AU16="JS","",IF(VLOOKUP(AU16,$DF$2:$DN$9,5,FALSE)&gt;FP16,IF(FP16&gt;=0.0625,CEILING(FP16-0.0625,0.125),FP16),"")))</x:f>
        <x:v/>
      </x:c>
      <x:c r="CR16" s="748">
        <x:f t="shared" ref="CR16:CR45" si="47">IF(AU16="","",IF(ABS(FF16)&lt;ABS($CX$2),VLOOKUP(AU16,$DF$2:$DN$9,3,FALSE),CEILING(VLOOKUP(AU16,$DF$2:$DN$9,3,FALSE)/COS(FE16)+0.375+IF(CU16="M",IF(FE16&gt;0,(DV16-DW16)/12,0),IF(FE16&gt;0,0,(DV16-CV16)/12))*ABS(FF16),0.125)))</x:f>
        <x:v>5</x:v>
      </x:c>
      <x:c r="CS16" s="749">
        <x:f t="shared" ref="CS16:CS45" si="48">IF(AU16="","",IF(ABS(FK16)&lt;ABS($CX$2),VLOOKUP(AU16,$DF$2:$DN$9,3,FALSE),CEILING(VLOOKUP(AU16,$DF$2:$DN$9,3,FALSE)/COS(FJ16)+0.375+IF(DE16="M",IF(FJ16&lt;0,(EB16-EC16)/12,0),IF(FJ16&lt;0,0,(EB16-DF16)/12))*ABS(FK16),0.125)))</x:f>
        <x:v>5</x:v>
      </x:c>
      <x:c r="CU16" s="857" t="str">
        <x:f>IF(BG16="","",VLOOKUP(BG16,SectInfo!$B:$N,12,FALSE))</x:f>
        <x:v/>
      </x:c>
      <x:c r="CV16" s="858" t="str">
        <x:f>IF(BG16="","",IF(ISBLANK(BP16),VLOOKUP(BG16,SectInfo!$B:$N,13,FALSE),BP16))</x:f>
        <x:v/>
      </x:c>
      <x:c r="CW16" s="858" t="str">
        <x:f>IF(BG16="","",IF(VLOOKUP(BG16,SectInfo!$B:$N,5,FALSE)="","R",UPPER(VLOOKUP(BG16,SectInfo!$B:$N,5,FALSE))))</x:f>
        <x:v/>
      </x:c>
      <x:c r="CX16" s="858" t="str">
        <x:f>IF(BG16="","",IF(ISBLANK(BR16),VLOOKUP(BG16,SectInfo!$B:$N,6,FALSE),BR16))</x:f>
        <x:v/>
      </x:c>
      <x:c r="CY16" s="1288" t="str">
        <x:f>IF(BG16="","",IF(VLOOKUP(BG16,SectInfo!$B:$N,10,FALSE)="","",(IF(BO16="X",VLOOKUP(BG16,SectInfo!$B:$N,10,FALSE),VALUE(BO16))*-1)))</x:f>
        <x:v/>
      </x:c>
      <x:c r="CZ16" s="1126" t="str">
        <x:f>IF(BG16="","",IF(VLOOKUP(BG16,SectInfo!$B:$N,11,FALSE)="","2",(VLOOKUP(BG16,SectInfo!$B:$N,11,FALSE))))</x:f>
        <x:v/>
      </x:c>
      <x:c r="DA16" s="858" t="str">
        <x:f>IF(BG16="","",IF(VLOOKUP(BG16,SectInfo!$B:$N,7,FALSE)="","",(VLOOKUP(BG16,SectInfo!$B:$N,7,FALSE)*-1)))</x:f>
        <x:v/>
      </x:c>
      <x:c r="DB16" s="858" t="str">
        <x:f>IF(BG16="","",IF(VLOOKUP(BG16,SectInfo!$B:$N,8,FALSE)="",VLOOKUP(AU16,$DF$2:$DN$9,6,FALSE),(VLOOKUP(BG16,SectInfo!$B:$N,8,FALSE))))</x:f>
        <x:v/>
      </x:c>
      <x:c r="DC16" s="858" t="str">
        <x:f>IF(BG16="","",VLOOKUP(BG16,SectInfo!$B:$N,9,FALSE))</x:f>
        <x:v/>
      </x:c>
      <x:c r="DD16" s="859">
        <x:f t="shared" ref="DD16:DD45" si="49">BN16*-1</x:f>
        <x:v>0</x:v>
      </x:c>
      <x:c r="DE16" s="857" t="str">
        <x:f>IF(BS16="","",VLOOKUP(BS16,SectInfo!$B:$N,12,FALSE))</x:f>
        <x:v/>
      </x:c>
      <x:c r="DF16" s="858" t="str">
        <x:f>IF(BS16="","",IF(ISBLANK(CB16),VLOOKUP(BS16,SectInfo!$B:$N,13,FALSE),CB16))</x:f>
        <x:v/>
      </x:c>
      <x:c r="DG16" s="858" t="str">
        <x:f>IF(BS16="","",IF(VLOOKUP(BS16,SectInfo!$B:$N,5,FALSE)="","R",UPPER(VLOOKUP(BS16,SectInfo!$B:$N,5,FALSE))))</x:f>
        <x:v/>
      </x:c>
      <x:c r="DH16" s="858" t="str">
        <x:f>IF(BS16="","",IF(ISBLANK(CD16),VLOOKUP(BS16,SectInfo!$B:$N,6,FALSE),CD16))</x:f>
        <x:v/>
      </x:c>
      <x:c r="DI16" s="1288" t="str">
        <x:f>IF(BS16="","",IF(VLOOKUP(BS16,SectInfo!$B:$N,10,FALSE)="","",(IF(CA16="X",VLOOKUP(BS16,SectInfo!$B:$N,10,FALSE),VALUE(CA16))*-1)))</x:f>
        <x:v/>
      </x:c>
      <x:c r="DJ16" s="1126" t="str">
        <x:f>IF(BS16="","",IF(VLOOKUP(BS16,SectInfo!$B:$N,11,FALSE)="","2",(VLOOKUP(BS16,SectInfo!$B:$N,11,FALSE))))</x:f>
        <x:v/>
      </x:c>
      <x:c r="DK16" s="858" t="str">
        <x:f>IF(BS16="","",IF(VLOOKUP(BS16,SectInfo!$B:$N,7,FALSE)="","",(VLOOKUP(BS16,SectInfo!$B:$N,7,FALSE)*-1)))</x:f>
        <x:v/>
      </x:c>
      <x:c r="DL16" s="858" t="str">
        <x:f>IF(BS16="","",IF(VLOOKUP(BS16,SectInfo!$B:$N,8,FALSE)="",VLOOKUP(AU16,$DF$2:$DN$9,6,FALSE),(VLOOKUP(BS16,SectInfo!$B:$N,8,FALSE))))</x:f>
        <x:v/>
      </x:c>
      <x:c r="DM16" s="858" t="str">
        <x:f>IF(BS16="","",VLOOKUP(BS16,SectInfo!$B:$N,9,FALSE))</x:f>
        <x:v/>
      </x:c>
      <x:c r="DN16" s="859">
        <x:f t="shared" ref="DN16:DN45" si="50">BZ16*-1</x:f>
        <x:v>0</x:v>
      </x:c>
      <x:c r="DO16" s="860">
        <x:f t="shared" ref="DO16:DO45" si="51">IF(CE16="",0,ATAN(CE16/12))</x:f>
        <x:v>0</x:v>
      </x:c>
      <x:c r="DP16" s="861" t="str">
        <x:f t="shared" ref="DP16:DP45" si="52">IF(OR(CV16="",BE16="",DF16=""),"",CEILING(IF(AND(BE16="",BF16=""),"",((BE16*12+BF16)+CV16+DF16)/COS(FN16))-0.0625,0.125))</x:f>
        <x:v/>
      </x:c>
      <x:c r="DQ16" s="861" t="str">
        <x:f t="shared" ref="DQ16:DQ45" si="53">IF(AU16="","",IF(ABS(FF16)&lt;ABS($CX$2),CX16,IF(FF16=0,CX16,CEILING((CX16+((DW16-CV16)/12)*FF16)-0.0625,0.125))))</x:f>
        <x:v/>
      </x:c>
      <x:c r="DR16" s="861" t="str">
        <x:f t="shared" ref="DR16:DR45" si="54">IF(AU16="","",IF(ABS(FK16)&lt;ABS($CX$2),DH16,IF(FK16=0,DH16,CEILING((DH16+((EC16-DF16)/12)*FK16)-0.0625,0.125))))</x:f>
        <x:v/>
      </x:c>
      <x:c r="DS16" s="862">
        <x:f t="shared" ref="DS16:DS45" si="55">IF(BM16="",0,RADIANS(ABS(BM16)))</x:f>
        <x:v>0</x:v>
      </x:c>
      <x:c r="DT16" s="821">
        <x:f t="shared" ref="DT16:DT45" si="56">MIN(IF(BH16&gt;0,BH16/2,MAX(BI16/2,DC16)),IF(BI16&gt;0,BI16/2,MAX(BH16/2,DC16)),IF(DC16&gt;0,DC16,MAX(BI16/2,BH16/2)))/IF(OR(CU16="C",AND(CU16="M",$DD$1="N")),1,COS(DS16))</x:f>
        <x:v>0</x:v>
      </x:c>
      <x:c r="DU16" s="821" t="str">
        <x:f t="shared" ref="DU16:DU45" si="57">IF(CV16="","",IF(DC16&gt;=0,MAX(BH16/2,BI16/2,DC16),DC16)/IF(OR(CU16="C",AND(CU16="M",$DD$1="N")),1,COS(DS16)))</x:f>
        <x:v/>
      </x:c>
      <x:c r="DV16" s="861" t="str">
        <x:f t="shared" ref="DV16:DV45" si="58">IF(CV16="","",(CV16+DU16+(VLOOKUP(IF(AU16="HDR","K",AU16),$DF$2:$DN$9,2,FALSE))*TAN(DS16))/COS(FD16)-FH16)</x:f>
        <x:v/>
      </x:c>
      <x:c r="DW16" s="872" t="str">
        <x:f t="shared" ref="DW16:DW45" si="59">IF(CV16="","",MAX(0,IF(NOT(BQ16=""),CV16-BQ16,DV16-VLOOKUP(IF(AU16="HDR","K",AU16),$DF$2:$DN$9,4,FALSE))))</x:f>
        <x:v/>
      </x:c>
      <x:c r="DX16" s="1129">
        <x:f t="shared" ref="DX16:DX45" si="60">IF(CV16="",0,IF(DW16/COS(FN16-FD16)&lt;0.0625,0,CEILING(DW16/COS(FN16-FD16)-0.03125,0.125)))</x:f>
        <x:v>0</x:v>
      </x:c>
      <x:c r="DY16" s="861">
        <x:f t="shared" ref="DY16:DY45" si="61">RADIANS(ABS(BY16))</x:f>
        <x:v>0</x:v>
      </x:c>
      <x:c r="DZ16" s="821">
        <x:f t="shared" ref="DZ16:DZ45" si="62">MIN(IF(BT16&gt;0,BT16/2,MAX(BU16/2,DM16)),IF(BU16&gt;0,BU16/2,MAX(BT16/2,DM16)),IF(DM16&gt;0,DM16,MAX(BU16/2,BT16/2)))/IF(OR(DE16="C",AND(DE16="M",$DD$1="N")),1,COS(DY16))</x:f>
        <x:v>0</x:v>
      </x:c>
      <x:c r="EA16" s="821" t="str">
        <x:f t="shared" ref="EA16:EA45" si="63">IF(DF16="","",IF(DM16&gt;=0,MAX(BT16/2,BU16/2,DM16),DM16)/IF(OR(DE16="C",AND(DE16="M",$DD$1="N")),1,COS(DY16)))</x:f>
        <x:v/>
      </x:c>
      <x:c r="EB16" s="861" t="str">
        <x:f t="shared" ref="EB16:EB45" si="64">IF(DF16="","",(DF16+EA16+(VLOOKUP(IF(AU16="HDR","K",AU16),$DF$2:$DN$9,2,FALSE))*TAN(DY16))/COS(FI16)-FM16)</x:f>
        <x:v/>
      </x:c>
      <x:c r="EC16" s="872" t="str">
        <x:f t="shared" ref="EC16:EC45" si="65">IF(DF16="","",MAX(0,IF(NOT(CC16=""),DF16-CC16,EB16-VLOOKUP(IF(AU16="HDR","K",AU16),$DF$2:$DN$9,4,FALSE))))</x:f>
        <x:v/>
      </x:c>
      <x:c r="ED16" s="1129">
        <x:f t="shared" ref="ED16:ED45" si="66">IF(DF16="",0,IF(EC16/COS(FN16+FI16)&lt;0.0625,0,CEILING(EC16/COS(FN16+FI16)-0.03125,0.125)))</x:f>
        <x:v>0</x:v>
      </x:c>
      <x:c r="EE16" s="1339" t="str">
        <x:f t="shared" ref="EE16:EE45" si="67">IF(AND(EZ16="",DA16=""),"",IF(EZ16="ERR","ERR",IF(CU16="C",DA16,IF(BJ16="","",IF(DA16="",(EZ16/2)*-1,DA16)))))</x:f>
        <x:v/>
      </x:c>
      <x:c r="EF16" s="1339" t="str">
        <x:f t="shared" ref="EF16:EF45" si="68">IF(EE16="ERR","ERR",IF(EE16="","",IF(DB16*TAN(DS16)&lt;=(VLOOKUP(AU16,$DF$2:$DN$9,8,FALSE)-(VLOOKUP(AU16,$DF$2:$DN$9,7,FALSE)-0.0625)),CV16-(EE16-FH16)/IF(OR(CU16="C",AND(CU16="M",$DD$1="N")),1,COS(DS16))-IF(MID(CW16,1,1)="R",0,DW16),(ABS(EE16-FH16)/IF(OR(CU16="C",AND(CU16="M",$DD$1="N")),1,COS(DS16))+CV16)-((DB16/2)*TAN(DS16))-IF(MID(CW16,1,1)="R",0,DW16))))</x:f>
        <x:v/>
      </x:c>
      <x:c r="EG16" s="1339" t="str">
        <x:f t="shared" ref="EG16:EG45" si="69">IF(EE16="ERR","ERR",IF(EE16="","",IF(DB16*TAN(DS16)&lt;=(VLOOKUP(AU16,$DF$2:$DN$9,8,FALSE)-(VLOOKUP(AU16,$DF$2:$DN$9,7,FALSE)-0.0625)),CV16-(EE16-FH16)/IF(OR(CU16="C",AND(CU16="M",$DD$1="N")),1,COS(DS16))-IF(MID(CW16,1,1)="R",0,DW16),(ABS(EE16-FH16)/IF(OR(CU16="C",AND(CU16="M",$DD$1="N")),1,COS(DS16))+CV16)+((DB16/2)*TAN(DS16))-IF(MID(CW16,1,1)="R",0,DW16))))</x:f>
        <x:v/>
      </x:c>
      <x:c r="EH16" s="856" t="str">
        <x: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x:f>
        <x:v>ERR</x:v>
      </x:c>
      <x:c r="EI16" s="856" t="str">
        <x: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x:f>
        <x:v>ERR</x:v>
      </x:c>
      <x:c r="EJ16" s="822" t="str">
        <x:f t="shared" ref="EJ16:EK45" si="72">IF(ISERROR(EF16),"ERR",IF(EF16="","",IF(EH16="ERR","ERR",CEILING(EH16-0.0625,0.125))))</x:f>
        <x:v/>
      </x:c>
      <x:c r="EK16" s="822" t="str">
        <x:f t="shared" si="72"/>
        <x:v/>
      </x:c>
      <x:c r="EL16" s="1293" t="str">
        <x:f t="shared" ref="EL16:EL45" si="73">IF(AND(FC16="",DK16=""),"",IF(FC16="ERR","ERR",IF(DE16="C",DK16,IF(BV16="","",IF(DK16="",(FC16/2)*-1,DK16)))))</x:f>
        <x:v/>
      </x:c>
      <x:c r="EM16" s="822" t="str">
        <x:f t="shared" ref="EM16:EM45" si="74">IF(EL16="ERR","ERR",IF(EL16="","",IF(DL16*TAN(DY16)&lt;=(VLOOKUP(AU16,$DF$2:$DN$9,8,FALSE)-(VLOOKUP(AU16,$DF$2:$DN$9,7,FALSE)-0.0625)),DF16-(EL16-FM16)/IF(OR(DE16="C",AND(DE16="M",$DD$1="N")),1,COS(DY16))-IF(MID(DG16,1,1)="R",0,EC16),(ABS(EL16-FM16)/IF(OR(DE16="C",AND(DE16="M",$DD$1="N")),1,COS(DY16))+DF16)-((DL16/2)*TAN(DY16))-IF(MID(DG16,1,1)="R",0,EC16))))</x:f>
        <x:v/>
      </x:c>
      <x:c r="EN16" s="822" t="str">
        <x:f t="shared" ref="EN16:EN45" si="75">IF(EL16="ERR","ERR",IF(EL16="","",IF(DL16*TAN(DY16)&lt;=(VLOOKUP(AU16,$DF$2:$DN$9,8,FALSE)-(VLOOKUP(AU16,$DF$2:$DN$9,7,FALSE)-0.0625)),DF16-(EL16-FM16)/IF(OR(DE16="C",AND(DE16="M",$DD$1="N")),1,COS(DY16))-IF(MID(DG16,1,1)="R",0,EC16),(ABS(EL16-FM16)/IF(OR(DE16="C",AND(DE16="M",$DD$1="N")),1,COS(DY16))+DF16)+((DL16/2)*TAN(DY16))-IF(MID(DG16,1,1)="R",0,EC16))))</x:f>
        <x:v/>
      </x:c>
      <x:c r="EO16" s="856" t="str">
        <x: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x:f>
        <x:v>ERR</x:v>
      </x:c>
      <x:c r="EP16" s="856" t="str">
        <x: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x:f>
        <x:v>ERR</x:v>
      </x:c>
      <x:c r="EQ16" s="1339" t="str">
        <x:f t="shared" ref="EQ16:ER45" si="78">IF(ISERROR(EM16),"ERR",IF(EM16="","",IF(EO16="ERR","ERR",CEILING(EO16-0.0625,0.125))))</x:f>
        <x:v/>
      </x:c>
      <x:c r="ER16" s="861" t="str">
        <x:f t="shared" si="78"/>
        <x:v/>
      </x:c>
      <x:c r="ES16" s="822" t="str">
        <x:f t="shared" ref="ES16:ES45" si="79">IF(OR(CY16="",AU16="JS",AU16="HDR",BO16=""),"",IF((CV16-CY16)/COS(DO16)-FS16&lt;=-0.0625,CEILING((CV16-CY16)/COS(DO16)-FS16+0.0625,-0.125),IF((CV16-CY16)/COS(DO16)-FS16&gt;=0.0625,CEILING((CV16-CY16)/COS(DO16)-FS16-0.0625,0.125),0)))</x:f>
        <x:v/>
      </x:c>
      <x:c r="ET16" s="822" t="str">
        <x:f t="shared" ref="ET16:ET45" si="80">IF(OR(DI16="",AU16="JS",AU16="HDR",CA16=""),"",IF((DF16-DI16)/COS(DO16)-FT16&lt;=-0.0625,CEILING((DF16-DI16)/COS(DO16)-FT16+0.0625,-0.125),IF((DF16-DI16)/COS(DO16)-FT16&gt;=0.0625,CEILING((DF16-DI16)/COS(DO16)-FT16-0.0625,0.125),0)))</x:f>
        <x:v/>
      </x:c>
      <x:c r="EU16" s="863">
        <x:f t="shared" ref="EU16:EU45" si="81">IF(AU16="","",VLOOKUP(AU16,$DF$2:$DN$9,6,FALSE))</x:f>
        <x:v>4</x:v>
      </x:c>
      <x:c r="EV16" s="824" t="str">
        <x:f t="shared" ref="EV16:EV45" si="82">IF(AND(EK16="",ER16=""),"",IF(EK16="",DL16,IF(EQ16="",DB16,IF(DB16&lt;&gt;DL16,EU16,DB16))))</x:f>
        <x:v/>
      </x:c>
      <x:c r="EW16" s="863"/>
      <x:c r="EX16" s="863" t="str">
        <x:f>IF(AND(CU16="G", ISBLANK(BK16), ISBLANK(BL16)),VLOOKUP(MIN(BH16:BI16),TblJoistSize!$M$3:$N$10,2),IF(OR(CU16="B",CU16="G"),MIN(BK16:BL16),""))</x:f>
        <x:v/>
      </x:c>
      <x:c r="EY16" s="863" t="str">
        <x:f>IF(AND(CU16="G", ISBLANK(BK16), ISBLANK(BL16)),VLOOKUP(MAX(BH16:BI16),TblJoistSize!$M$3:$N$10,2),IF(OR(CU16="B",CU16="G"),MAX(BK16:BL16),""))</x:f>
        <x:v/>
      </x:c>
      <x:c r="EZ16" s="863" t="str">
        <x:f t="shared" ref="EZ16:EZ45" si="83">IF(BJ16="X",IF(OR(CU16="M",CU16="C"),"",IF((EY16-EX16)/2&lt;=(VLOOKUP(AU16,$DF$2:$DN$9,8,FALSE)-(VLOOKUP(AU16,$DF$2:$DN$9,7,FALSE)-0.0625)),(EX16+EY16)/2,"ERR")),"")</x:f>
        <x:v/>
      </x:c>
      <x:c r="FA16" s="863" t="str">
        <x:f>IF(AND(DE16="G", ISBLANK(BW16), ISBLANK(BX16)),VLOOKUP(MIN(BT16:BU16),TblJoistSize!$M$3:$N$10,2),IF(OR(DE16="B", DE16="G"),MIN(BW16:BX16),""))</x:f>
        <x:v/>
      </x:c>
      <x:c r="FB16" s="863" t="str">
        <x:f>IF(AND(DE16="G", ISBLANK(BW16), ISBLANK(BX16)),VLOOKUP(MAX(BT16:BU16),TblJoistSize!$M$3:$N$10,2),IF(OR(DE16="B", DE16="G"),MAX(BW16:BX16),""))</x:f>
        <x:v/>
      </x:c>
      <x:c r="FC16" s="863" t="str">
        <x:f t="shared" ref="FC16:FC45" si="84">IF(BV16="X",IF(OR(DE16="M",DE16="C"),"",IF((FB16-FA16)/2&lt;=(VLOOKUP(AU16,$DF$2:$DN$9,8,FALSE)-(VLOOKUP(AU16,$DF$2:$DN$9,7,FALSE)-0.0625)),(FA16+FB16)/2,"ERR")),"")</x:f>
        <x:v/>
      </x:c>
      <x:c r="FD16" s="862">
        <x:f>IF(DD16="",0,ATAN(DD16/12))</x:f>
        <x:v>0</x:v>
      </x:c>
      <x:c r="FE16" s="862">
        <x:f t="shared" ref="FE16:FE45" si="85">DO16-FD16</x:f>
        <x:v>0</x:v>
      </x:c>
      <x:c r="FF16" s="862">
        <x:f t="shared" ref="FF16:FF45" si="86">TAN(FE16)*12</x:f>
        <x:v>0</x:v>
      </x:c>
      <x:c r="FG16" s="862" t="str">
        <x:f t="shared" ref="FG16:FG45" si="87">IF(FF16=0,"",IF(ABS(FF16)&lt;$CX$2,IF(AND(ABS(MIN(DV16,FQ16)/12*FF16)&gt;$DD$2,FF16&gt;0),IF(FF16&gt;0,CEILING(FF16-0.0625,0.125),CEILING(FF16+0.0625,-0.125)),""),IF(FF16&gt;0,CEILING(FF16-0.0625,0.125),CEILING(FF16+0.0625,-0.125))))</x:f>
        <x:v/>
      </x:c>
      <x:c r="FH16" s="861" t="str">
        <x:f t="shared" ref="FH16:FH45" si="88">IF(CX16="","",CX16*TAN(FD16))</x:f>
        <x:v/>
      </x:c>
      <x:c r="FI16" s="862">
        <x:f>IF(DN16="",0,ATAN(DN16/12))</x:f>
        <x:v>0</x:v>
      </x:c>
      <x:c r="FJ16" s="862">
        <x:f t="shared" ref="FJ16:FJ45" si="89">DO16+FI16</x:f>
        <x:v>0</x:v>
      </x:c>
      <x:c r="FK16" s="862">
        <x:f t="shared" ref="FK16:FK45" si="90">TAN(FJ16)*-12</x:f>
        <x:v>0</x:v>
      </x:c>
      <x:c r="FL16" s="862" t="str">
        <x:f t="shared" ref="FL16:FL45" si="91">IF(FK16=0,"",IF(ABS(FK16)&lt;$CX$2,IF(AND(ABS(MIN(EB16,FR16)/12*FK16)&gt;$DD$2,FK16&gt;0),IF(FK16&gt;0,CEILING(FK16-0.0625,0.125),CEILING(FK16+0.0625,-0.125)),""),IF(FK16&gt;0,CEILING(FK16-0.0625,0.125),CEILING(FK16+0.0625,-0.125))))</x:f>
        <x:v/>
      </x:c>
      <x:c r="FM16" s="861" t="str">
        <x:f t="shared" ref="FM16:FM45" si="92">IF(DH16="","",DH16*TAN(FI16))</x:f>
        <x:v/>
      </x:c>
      <x:c r="FN16" s="861" t="e">
        <x:f t="shared" ref="FN16:FN45" si="93">IF(((BE16*12+BF16)+CV16+DF16)/COS(DO16)-((BE16*12+BF16)+CV16+DF16)&lt;$DB$2,0,DO16)</x:f>
        <x:v>#VALUE!</x:v>
      </x:c>
      <x:c r="FO16" s="1388" t="e">
        <x:f t="shared" ref="FO16:FO45" si="94">MIN(IF(BH16&gt;0,BH16/2,MAX(BI16/2,DC16)),IF(BI16&gt;0,BI16/2,MAX(BH16/2,DC16)),IF(DC16&gt;0,DC16,MAX(BI16/2,BH16/2)))/COS(DS16)+CV16-DW16-FH16</x:f>
        <x:v>#VALUE!</x:v>
      </x:c>
      <x:c r="FP16" s="1388" t="e">
        <x:f t="shared" ref="FP16:FP45" si="95">MIN(IF(BT16&gt;0,BT16/2,MAX(BU16/2,DM16)),IF(BU16&gt;0,BU16/2,MAX(BT16/2,DM16)),IF(DM16&gt;0,DM16,MAX(BU16/2,BT16/2)))/COS(DY16)+DF16-EC16-FM16</x:f>
        <x:v>#VALUE!</x:v>
      </x:c>
      <x:c r="FQ16" s="864" t="e">
        <x:f t="shared" ref="FQ16:FQ45" si="96">IF(OR(CU16="B",CU16="G"),MAX(BH16,BI16),IF(CU16="M",12,DC16+CV16))</x:f>
        <x:v>#VALUE!</x:v>
      </x:c>
      <x:c r="FR16" s="865" t="e">
        <x:f t="shared" ref="FR16:FR45" si="97">IF(OR(DE16="B",DE16="G"),MAX(BT16,BU16),IF(DE16="M",12,DM16+DF16))</x:f>
        <x:v>#VALUE!</x:v>
      </x:c>
      <x:c r="FS16" s="866" t="str">
        <x:f t="shared" ref="FS16:FS45" si="98">IF(CY16="","",IF(ABS(CE16*((AJ16-IF(CE16&gt;0,VLOOKUP(AU16,$DF$2:$DN$9,9,FALSE),0))/12))&gt;$CZ$2,CE16*((AJ16-IF(CE16&gt;0,VLOOKUP(AU16,$DF$2:$DN$9,9,FALSE),0))/12),0))</x:f>
        <x:v/>
      </x:c>
      <x:c r="FT16" s="867" t="str">
        <x:f t="shared" ref="FT16:FT45" si="99">IF(DI16="","",IF(ABS(CE16*((AJ16-IF(CE16&lt;0,VLOOKUP(AU16,$DF$2:$DN$9,9,FALSE),0))/12))&gt;$CZ$2,CE16*((AJ16-IF(CE16&lt;0,VLOOKUP(AU16,$DF$2:$DN$9,9,FALSE),0))/12)*-1,0))</x:f>
        <x:v/>
      </x:c>
      <x:c r="FU16" s="868">
        <x:f t="shared" ref="FU16:FU45" si="100">IF(CX16="",0,MAX(0,MIN(DV16-VLOOKUP(AU16,DF$2:DN$9,4,FALSE),(MAX(0,CX16-VLOOKUP(AU16,DF$2:DN$9,3,FALSE))+VLOOKUP(AU16,DF$2:DN$9,4,FALSE))*COS(DO16)+((MAX(0,CX16-VLOOKUP(AU16,DF$2:DN$9,3,FALSE))+VLOOKUP(AU16,DF$2:DN$9,4,FALSE))*COS(PI()/2-DO16))/TAN(PI()/2-(DO16+PI()/4))-VLOOKUP(AU16,DF$2:DN$9,4,FALSE))))</x:f>
        <x:v>0</x:v>
      </x:c>
      <x:c r="FV16" s="869">
        <x:f t="shared" ref="FV16:FV45" si="101">IF(DH16="",0,MAX(0,MIN(EB16-VLOOKUP(AU16,DF$2:DN$9,4,FALSE),(MAX(0,DH16-VLOOKUP(AU16,DF$2:DN$9,3,FALSE))+VLOOKUP(AU16,DF$2:DN$9,4,FALSE))*COS(DO16)+((MAX(0,DH16-VLOOKUP(AU16,DF$2:DN$9,3,FALSE))+VLOOKUP(AU16,DF$2:DN$9,4,FALSE))*COS(PI()/2-DO16))/TAN(PI()/2-(DO16+PI()/4))-VLOOKUP(AU16,DF$2:DN$9,4,FALSE))))</x:f>
        <x:v>0</x:v>
      </x:c>
      <x:c r="GA16" s="1791">
        <x:v>39</x:v>
      </x:c>
      <x:c r="GB16" s="1792">
        <x:v>3</x:v>
      </x:c>
      <x:c r="GC16" s="1793">
        <x:v>-0.25</x:v>
      </x:c>
      <x:c r="GD16" s="1794">
        <x:v>-0.5</x:v>
      </x:c>
      <x:c r="GE16" s="1795">
        <x:f t="shared" ref="GE16:GE45" si="102">IF(GF16="","",IF(ISBLANK(CE16),IF(Y16=Z16,0,MAX(ABS(Y16),ABS(Z16))*IF(Y16&lt;0,-1,1)),CE16))</x:f>
        <x:v>0</x:v>
      </x:c>
      <x:c r="GF16" s="600" t="str">
        <x:f t="shared" ref="GF16:GF45" si="103">IF(A16=0,"",A16)</x:f>
        <x:v>J67</x:v>
      </x:c>
      <x:c r="GG16" s="1130">
        <x:v>0</x:v>
      </x:c>
      <x:c r="GH16" s="1131">
        <x:v>0</x:v>
      </x:c>
      <x:c r="GI16" s="1130"/>
      <x:c r="GJ16" s="1131"/>
      <x:c r="GK16" s="1638">
        <x:f t="shared" ref="GK16:GK45" si="104">IF(D16="",0,D16*12+E16)</x:f>
        <x:v>470.25</x:v>
      </x:c>
      <x:c r="GL16" s="1636">
        <x:f t="shared" ref="GL16:GL45" si="105">(GA16*12+GB16+GC16+GD16)/COS(ATAN(ABS(GE16/12)))</x:f>
        <x:v>470.25</x:v>
      </x:c>
      <x:c r="GM16" s="1637">
        <x:f>IF(ABS(GK16-GL16)&gt;='Job Info.'!$L$22,ABS(GK16-GL16),0)</x:f>
        <x:v>0</x:v>
      </x:c>
      <x:c r="HA16" s="1263" t="s">
        <x:v>1497</x:v>
      </x:c>
      <x:c r="HB16" s="1264">
        <x:v>2</x:v>
      </x:c>
      <x:c r="HC16" s="1264" t="s">
        <x:v>1592</x:v>
      </x:c>
      <x:c r="HD16" s="1265">
        <x:v>39</x:v>
      </x:c>
      <x:c r="HE16" s="1266">
        <x:v>2.25</x:v>
      </x:c>
      <x:c r="HF16" s="1264" t="s">
        <x:v>116</x:v>
      </x:c>
      <x:c r="HG16" s="1264" t="s">
        <x:v>116</x:v>
      </x:c>
      <x:c r="HH16" s="1264" t="s">
        <x:v>116</x:v>
      </x:c>
      <x:c r="HI16" s="1267" t="s">
        <x:v>116</x:v>
      </x:c>
      <x:c r="HJ16" s="1264" t="s">
        <x:v>116</x:v>
      </x:c>
      <x:c r="HK16" s="1264" t="s">
        <x:v>116</x:v>
      </x:c>
      <x:c r="HL16" s="1264">
        <x:v>5</x:v>
      </x:c>
      <x:c r="HM16" s="1264">
        <x:v>5</x:v>
      </x:c>
      <x:c r="HN16" s="1264" t="s">
        <x:v>116</x:v>
      </x:c>
      <x:c r="HO16" s="1264" t="s">
        <x:v>116</x:v>
      </x:c>
      <x:c r="HP16" s="1264" t="s">
        <x:v>116</x:v>
      </x:c>
      <x:c r="HQ16" s="1267" t="s">
        <x:v>116</x:v>
      </x:c>
      <x:c r="HR16" s="1264" t="s">
        <x:v>116</x:v>
      </x:c>
      <x:c r="HS16" s="1264" t="s">
        <x:v>116</x:v>
      </x:c>
      <x:c r="HT16" s="1264">
        <x:v>0</x:v>
      </x:c>
      <x:c r="HU16" s="1264">
        <x:v>2.25</x:v>
      </x:c>
      <x:c r="HV16" s="1264">
        <x:v>0</x:v>
      </x:c>
      <x:c r="HW16" s="1266">
        <x:v>2</x:v>
      </x:c>
      <x:c r="HX16" s="1266">
        <x:v>4</x:v>
      </x:c>
      <x:c r="HY16" s="1266" t="s">
        <x:v>116</x:v>
      </x:c>
      <x:c r="HZ16" s="1266" t="s">
        <x:v>116</x:v>
      </x:c>
      <x:c r="IA16" s="1266" t="s">
        <x:v>1689</x:v>
      </x:c>
      <x:c r="IB16" s="1266"/>
      <x:c r="IC16" s="1266"/>
      <x:c r="ID16" s="1266"/>
      <x:c r="IE16" s="1266"/>
      <x:c r="IF16" s="1268"/>
    </x:row>
    <x:row r="17" spans="1:240" ht="12.6" customHeight="1" x14ac:dyDescent="0.25">
      <x:c r="A17" s="2764" t="s">
        <x:v>1498</x:v>
      </x:c>
      <x:c r="B17" s="2765">
        <x:v>1</x:v>
      </x:c>
      <x:c r="C17" s="2766" t="s">
        <x:v>1592</x:v>
      </x:c>
      <x:c r="D17" s="2767">
        <x:v>39</x:v>
      </x:c>
      <x:c r="E17" s="2768">
        <x:v>2.25</x:v>
      </x:c>
      <x:c r="F17" s="2776" t="str">
        <x:f t="shared" si="1"/>
        <x:v/>
      </x:c>
      <x:c r="G17" s="2771" t="str">
        <x:f t="shared" si="2"/>
        <x:v/>
      </x:c>
      <x:c r="H17" s="2842" t="str">
        <x:f t="shared" si="3"/>
        <x:v/>
      </x:c>
      <x:c r="I17" s="2767" t="str">
        <x:f t="shared" si="4"/>
        <x:v/>
      </x:c>
      <x:c r="J17" s="2771" t="str">
        <x:f t="shared" si="5"/>
        <x:v/>
      </x:c>
      <x:c r="K17" s="2855" t="str">
        <x:f t="shared" si="6"/>
        <x:v/>
      </x:c>
      <x:c r="L17" s="2774">
        <x:v>5</x:v>
      </x:c>
      <x:c r="M17" s="2775">
        <x:v>5</x:v>
      </x:c>
      <x:c r="N17" s="2770" t="str">
        <x:f t="shared" si="7"/>
        <x:v/>
      </x:c>
      <x:c r="O17" s="2771" t="str">
        <x:f t="shared" si="8"/>
        <x:v/>
      </x:c>
      <x:c r="P17" s="2772" t="str">
        <x:f t="shared" si="9"/>
        <x:v/>
      </x:c>
      <x:c r="Q17" s="2767" t="str">
        <x:f t="shared" si="10"/>
        <x:v/>
      </x:c>
      <x:c r="R17" s="2771" t="str">
        <x:f t="shared" si="11"/>
        <x:v/>
      </x:c>
      <x:c r="S17" s="2773" t="str">
        <x:f t="shared" si="12"/>
        <x:v/>
      </x:c>
      <x:c r="T17" s="2776">
        <x:v>0</x:v>
      </x:c>
      <x:c r="U17" s="2771">
        <x:v>2.25</x:v>
      </x:c>
      <x:c r="V17" s="2767">
        <x:v>0</x:v>
      </x:c>
      <x:c r="W17" s="2771">
        <x:v>2</x:v>
      </x:c>
      <x:c r="X17" s="2775">
        <x:v>4</x:v>
      </x:c>
      <x:c r="Y17" s="2844" t="str">
        <x:f t="shared" si="13"/>
        <x:v/>
      </x:c>
      <x:c r="Z17" s="2845" t="str">
        <x:f t="shared" si="14"/>
        <x:v/>
      </x:c>
      <x:c r="AA17" s="2846" t="s">
        <x:v>1690</x:v>
      </x:c>
      <x:c r="AB17" s="1413"/>
      <x:c r="AC17" s="964" t="b">
        <x:v>0</x:v>
      </x:c>
      <x:c r="AD17" s="441">
        <x:f t="shared" si="15"/>
        <x:v>0</x:v>
      </x:c>
      <x:c r="AE17" s="442">
        <x:f t="shared" si="16"/>
        <x:v>1</x:v>
      </x:c>
      <x:c r="AF17" s="442">
        <x:f t="shared" si="17"/>
        <x:v>0</x:v>
      </x:c>
      <x:c r="AG17" s="442">
        <x:f t="shared" si="18"/>
        <x:v>0</x:v>
      </x:c>
      <x:c r="AH17" s="443">
        <x:f t="shared" si="19"/>
        <x:v>0</x:v>
      </x:c>
      <x:c r="AI17" s="444" t="b">
        <x:v>0</x:v>
      </x:c>
      <x:c r="AJ17" s="238">
        <x:f t="shared" si="20"/>
        <x:v>32</x:v>
      </x:c>
      <x:c r="AK17" s="830" t="str">
        <x:f t="shared" si="21"/>
        <x:v>LH</x:v>
      </x:c>
      <x:c r="AL17" s="945" t="str">
        <x:f t="shared" si="22"/>
        <x:v/>
      </x:c>
      <x:c r="AM17" s="830">
        <x:f t="shared" si="23"/>
        <x:v>305</x:v>
      </x:c>
      <x:c r="AN17" s="830">
        <x:f t="shared" si="24"/>
        <x:v>180</x:v>
      </x:c>
      <x:c r="AO17" s="830" t="str">
        <x:f t="shared" si="25"/>
        <x:v/>
      </x:c>
      <x:c r="AP17" s="830" t="b">
        <x:f>IF(ISERROR(AJ17),FALSE,IF(OR(AJ17=0,ISERROR(AL17),ISERROR(AM17),ISERROR(AN17),ISERROR(AO17)),FALSE,IF(AL17&lt;&gt;"",IF(ISERROR(VLOOKUP(SUBSTITUTE(SUBSTITUTE(C17,"R",""),"A",""),TblJoistSize!$A:$A,1,FALSE)),FALSE,TRUE),TRUE)))</x:f>
        <x:v>1</x:v>
      </x:c>
      <x:c r="AQ17" s="1038">
        <x:f t="shared" si="26"/>
        <x:v>6</x:v>
      </x:c>
      <x:c r="AR17" s="945" t="b">
        <x:f t="shared" si="27"/>
        <x:v>1</x:v>
      </x:c>
      <x:c r="AS17" s="1038">
        <x:f t="shared" si="28"/>
        <x:v>6</x:v>
      </x:c>
      <x:c r="AT17" s="945" t="b">
        <x:f t="shared" si="29"/>
        <x:v>1</x:v>
      </x:c>
      <x:c r="AU17" s="946" t="str">
        <x:f t="shared" si="30"/>
        <x:v>LH</x:v>
      </x:c>
      <x:c r="AV17" s="830" t="str">
        <x:f t="shared" si="31"/>
        <x:v/>
      </x:c>
      <x:c r="AW17" s="830" t="str">
        <x:f t="shared" si="32"/>
        <x:v>LH</x:v>
      </x:c>
      <x:c r="AX17" s="830" t="str">
        <x:f t="shared" ref="AX17:AX45" si="106">IF(AND(OR(ISBLANK(A17),A17=""),AA17&lt;&gt;""),AX16,IF(OR(ISBLANK(A17),A17=""),"",A17))</x:f>
        <x:v>J68</x:v>
      </x:c>
      <x:c r="AY17" s="1039" t="b">
        <x:f t="shared" si="33"/>
        <x:v>0</x:v>
      </x:c>
      <x:c r="AZ17" s="856" t="b">
        <x:f t="shared" si="34"/>
        <x:v>0</x:v>
      </x:c>
      <x:c r="BA17" s="549"/>
      <x:c r="BB17" s="672"/>
      <x:c r="BC17" s="1684"/>
      <x:c r="BD17" s="733"/>
      <x:c r="BE17" s="734"/>
      <x:c r="BF17" s="735"/>
      <x:c r="BG17" s="672"/>
      <x:c r="BH17" s="982"/>
      <x:c r="BI17" s="983"/>
      <x:c r="BJ17" s="1625"/>
      <x:c r="BK17" s="713"/>
      <x:c r="BL17" s="714"/>
      <x:c r="BM17" s="715"/>
      <x:c r="BN17" s="716"/>
      <x:c r="BO17" s="672" t="str">
        <x:f>IF(ISERROR(CU17),"",IF(CU17="","",IF(VLOOKUP(BG17,SectInfo!$B:$N,10,FALSE)="","","X")))</x:f>
        <x:v/>
      </x:c>
      <x:c r="BP17" s="738"/>
      <x:c r="BQ17" s="1551" t="str">
        <x:f t="shared" si="35"/>
        <x:v/>
      </x:c>
      <x:c r="BR17" s="910"/>
      <x:c r="BS17" s="672"/>
      <x:c r="BT17" s="713"/>
      <x:c r="BU17" s="714"/>
      <x:c r="BV17" s="1625"/>
      <x:c r="BW17" s="713"/>
      <x:c r="BX17" s="714"/>
      <x:c r="BY17" s="715"/>
      <x:c r="BZ17" s="716"/>
      <x:c r="CA17" s="680" t="str">
        <x:f>IF(ISERROR(DE17),"",IF(DE17="","",IF(VLOOKUP(BS17,SectInfo!$B:$N,10,FALSE)="","","X")))</x:f>
        <x:v/>
      </x:c>
      <x:c r="CB17" s="738"/>
      <x:c r="CC17" s="1551" t="str">
        <x:f t="shared" si="36"/>
        <x:v/>
      </x:c>
      <x:c r="CD17" s="910"/>
      <x:c r="CE17" s="717"/>
      <x:c r="CF17" s="736"/>
      <x:c r="CG17" s="737"/>
      <x:c r="CH17" s="591" t="str">
        <x:f t="shared" si="37"/>
        <x:v/>
      </x:c>
      <x:c r="CI17" s="592" t="str">
        <x:f t="shared" si="38"/>
        <x:v/>
      </x:c>
      <x:c r="CJ17" s="593" t="str">
        <x:f t="shared" si="39"/>
        <x:v/>
      </x:c>
      <x:c r="CK17" s="594" t="str">
        <x:f t="shared" si="40"/>
        <x:v/>
      </x:c>
      <x:c r="CL17" s="595" t="str">
        <x:f t="shared" si="41"/>
        <x:v/>
      </x:c>
      <x:c r="CM17" s="596" t="str">
        <x:f t="shared" si="42"/>
        <x:v/>
      </x:c>
      <x:c r="CN17" s="597" t="str">
        <x:f t="shared" si="43"/>
        <x:v/>
      </x:c>
      <x:c r="CO17" s="598" t="str">
        <x:f t="shared" si="44"/>
        <x:v/>
      </x:c>
      <x:c r="CP17" s="615" t="str">
        <x:f t="shared" si="45"/>
        <x:v/>
      </x:c>
      <x:c r="CQ17" s="616" t="str">
        <x:f t="shared" si="46"/>
        <x:v/>
      </x:c>
      <x:c r="CR17" s="750">
        <x:f t="shared" si="47"/>
        <x:v>5</x:v>
      </x:c>
      <x:c r="CS17" s="751">
        <x:f t="shared" si="48"/>
        <x:v>5</x:v>
      </x:c>
      <x:c r="CU17" s="817" t="str">
        <x:f>IF(BG17="","",VLOOKUP(BG17,SectInfo!$B:$N,12,FALSE))</x:f>
        <x:v/>
      </x:c>
      <x:c r="CV17" s="815" t="str">
        <x:f>IF(BG17="","",IF(ISBLANK(BP17),VLOOKUP(BG17,SectInfo!$B:$N,13,FALSE),BP17))</x:f>
        <x:v/>
      </x:c>
      <x:c r="CW17" s="815" t="str">
        <x:f>IF(BG17="","",IF(VLOOKUP(BG17,SectInfo!$B:$N,5,FALSE)="","R",UPPER(VLOOKUP(BG17,SectInfo!$B:$N,5,FALSE))))</x:f>
        <x:v/>
      </x:c>
      <x:c r="CX17" s="815" t="str">
        <x:f>IF(BG17="","",IF(ISBLANK(BR17),VLOOKUP(BG17,SectInfo!$B:$N,6,FALSE),BR17))</x:f>
        <x:v/>
      </x:c>
      <x:c r="CY17" s="1286" t="str">
        <x:f>IF(BG17="","",IF(VLOOKUP(BG17,SectInfo!$B:$N,10,FALSE)="","",(IF(BO17="X",VLOOKUP(BG17,SectInfo!$B:$N,10,FALSE),VALUE(BO17))*-1)))</x:f>
        <x:v/>
      </x:c>
      <x:c r="CZ17" s="1122" t="str">
        <x:f>IF(BG17="","",IF(VLOOKUP(BG17,SectInfo!$B:$N,11,FALSE)="","2",(VLOOKUP(BG17,SectInfo!$B:$N,11,FALSE))))</x:f>
        <x:v/>
      </x:c>
      <x:c r="DA17" s="815" t="str">
        <x:f>IF(BG17="","",IF(VLOOKUP(BG17,SectInfo!$B:$N,7,FALSE)="","",(VLOOKUP(BG17,SectInfo!$B:$N,7,FALSE)*-1)))</x:f>
        <x:v/>
      </x:c>
      <x:c r="DB17" s="815" t="str">
        <x:f>IF(BG17="","",IF(VLOOKUP(BG17,SectInfo!$B:$N,8,FALSE)="",VLOOKUP(AU17,$DF$2:$DN$9,6,FALSE),(VLOOKUP(BG17,SectInfo!$B:$N,8,FALSE))))</x:f>
        <x:v/>
      </x:c>
      <x:c r="DC17" s="815" t="str">
        <x:f>IF(BG17="","",VLOOKUP(BG17,SectInfo!$B:$N,9,FALSE))</x:f>
        <x:v/>
      </x:c>
      <x:c r="DD17" s="816">
        <x:f t="shared" si="49"/>
        <x:v>0</x:v>
      </x:c>
      <x:c r="DE17" s="817" t="str">
        <x:f>IF(BS17="","",VLOOKUP(BS17,SectInfo!$B:$N,12,FALSE))</x:f>
        <x:v/>
      </x:c>
      <x:c r="DF17" s="815" t="str">
        <x:f>IF(BS17="","",IF(ISBLANK(CB17),VLOOKUP(BS17,SectInfo!$B:$N,13,FALSE),CB17))</x:f>
        <x:v/>
      </x:c>
      <x:c r="DG17" s="815" t="str">
        <x:f>IF(BS17="","",IF(VLOOKUP(BS17,SectInfo!$B:$N,5,FALSE)="","R",UPPER(VLOOKUP(BS17,SectInfo!$B:$N,5,FALSE))))</x:f>
        <x:v/>
      </x:c>
      <x:c r="DH17" s="815" t="str">
        <x:f>IF(BS17="","",IF(ISBLANK(CD17),VLOOKUP(BS17,SectInfo!$B:$N,6,FALSE),CD17))</x:f>
        <x:v/>
      </x:c>
      <x:c r="DI17" s="1286" t="str">
        <x:f>IF(BS17="","",IF(VLOOKUP(BS17,SectInfo!$B:$N,10,FALSE)="","",(IF(CA17="X",VLOOKUP(BS17,SectInfo!$B:$N,10,FALSE),VALUE(CA17))*-1)))</x:f>
        <x:v/>
      </x:c>
      <x:c r="DJ17" s="1122" t="str">
        <x:f>IF(BS17="","",IF(VLOOKUP(BS17,SectInfo!$B:$N,11,FALSE)="","2",(VLOOKUP(BS17,SectInfo!$B:$N,11,FALSE))))</x:f>
        <x:v/>
      </x:c>
      <x:c r="DK17" s="815" t="str">
        <x:f>IF(BS17="","",IF(VLOOKUP(BS17,SectInfo!$B:$N,7,FALSE)="","",(VLOOKUP(BS17,SectInfo!$B:$N,7,FALSE)*-1)))</x:f>
        <x:v/>
      </x:c>
      <x:c r="DL17" s="815" t="str">
        <x:f>IF(BS17="","",IF(VLOOKUP(BS17,SectInfo!$B:$N,8,FALSE)="",VLOOKUP(AU17,$DF$2:$DN$9,6,FALSE),(VLOOKUP(BS17,SectInfo!$B:$N,8,FALSE))))</x:f>
        <x:v/>
      </x:c>
      <x:c r="DM17" s="815" t="str">
        <x:f>IF(BS17="","",VLOOKUP(BS17,SectInfo!$B:$N,9,FALSE))</x:f>
        <x:v/>
      </x:c>
      <x:c r="DN17" s="816">
        <x:f t="shared" si="50"/>
        <x:v>0</x:v>
      </x:c>
      <x:c r="DO17" s="818">
        <x:f t="shared" si="51"/>
        <x:v>0</x:v>
      </x:c>
      <x:c r="DP17" s="822" t="str">
        <x:f t="shared" si="52"/>
        <x:v/>
      </x:c>
      <x:c r="DQ17" s="822" t="str">
        <x:f t="shared" si="53"/>
        <x:v/>
      </x:c>
      <x:c r="DR17" s="822" t="str">
        <x:f t="shared" si="54"/>
        <x:v/>
      </x:c>
      <x:c r="DS17" s="821">
        <x:f t="shared" si="55"/>
        <x:v>0</x:v>
      </x:c>
      <x:c r="DT17" s="821">
        <x:f t="shared" si="56"/>
        <x:v>0</x:v>
      </x:c>
      <x:c r="DU17" s="821" t="str">
        <x:f t="shared" si="57"/>
        <x:v/>
      </x:c>
      <x:c r="DV17" s="822" t="str">
        <x:f t="shared" si="58"/>
        <x:v/>
      </x:c>
      <x:c r="DW17" s="856" t="str">
        <x:f t="shared" si="59"/>
        <x:v/>
      </x:c>
      <x:c r="DX17" s="1006">
        <x:f t="shared" si="60"/>
        <x:v>0</x:v>
      </x:c>
      <x:c r="DY17" s="822">
        <x:f t="shared" si="61"/>
        <x:v>0</x:v>
      </x:c>
      <x:c r="DZ17" s="821">
        <x:f t="shared" si="62"/>
        <x:v>0</x:v>
      </x:c>
      <x:c r="EA17" s="821" t="str">
        <x:f t="shared" si="63"/>
        <x:v/>
      </x:c>
      <x:c r="EB17" s="822" t="str">
        <x:f t="shared" si="64"/>
        <x:v/>
      </x:c>
      <x:c r="EC17" s="856" t="str">
        <x:f t="shared" si="65"/>
        <x:v/>
      </x:c>
      <x:c r="ED17" s="1006">
        <x:f t="shared" si="66"/>
        <x:v>0</x:v>
      </x:c>
      <x:c r="EE17" s="1293" t="str">
        <x:f t="shared" si="67"/>
        <x:v/>
      </x:c>
      <x:c r="EF17" s="1293" t="str">
        <x:f t="shared" si="68"/>
        <x:v/>
      </x:c>
      <x:c r="EG17" s="1293" t="str">
        <x:f t="shared" si="69"/>
        <x:v/>
      </x:c>
      <x:c r="EH17" s="856" t="str">
        <x:f t="shared" si="70"/>
        <x:v>ERR</x:v>
      </x:c>
      <x:c r="EI17" s="856" t="str">
        <x:f t="shared" si="71"/>
        <x:v>ERR</x:v>
      </x:c>
      <x:c r="EJ17" s="822" t="str">
        <x:f t="shared" si="72"/>
        <x:v/>
      </x:c>
      <x:c r="EK17" s="822" t="str">
        <x:f t="shared" si="72"/>
        <x:v/>
      </x:c>
      <x:c r="EL17" s="1293" t="str">
        <x:f t="shared" si="73"/>
        <x:v/>
      </x:c>
      <x:c r="EM17" s="822" t="str">
        <x:f t="shared" si="74"/>
        <x:v/>
      </x:c>
      <x:c r="EN17" s="822" t="str">
        <x:f t="shared" si="75"/>
        <x:v/>
      </x:c>
      <x:c r="EO17" s="856" t="str">
        <x:f t="shared" si="76"/>
        <x:v>ERR</x:v>
      </x:c>
      <x:c r="EP17" s="856" t="str">
        <x:f t="shared" si="77"/>
        <x:v>ERR</x:v>
      </x:c>
      <x:c r="EQ17" s="1293" t="str">
        <x:f t="shared" si="78"/>
        <x:v/>
      </x:c>
      <x:c r="ER17" s="822" t="str">
        <x:f t="shared" si="78"/>
        <x:v/>
      </x:c>
      <x:c r="ES17" s="822" t="str">
        <x:f t="shared" si="79"/>
        <x:v/>
      </x:c>
      <x:c r="ET17" s="822" t="str">
        <x:f t="shared" si="80"/>
        <x:v/>
      </x:c>
      <x:c r="EU17" s="829">
        <x:f t="shared" si="81"/>
        <x:v>4</x:v>
      </x:c>
      <x:c r="EV17" s="824" t="str">
        <x:f t="shared" si="82"/>
        <x:v/>
      </x:c>
      <x:c r="EW17" s="829"/>
      <x:c r="EX17" s="829" t="str">
        <x:f>IF(AND(CU17="G", ISBLANK(BK17), ISBLANK(BL17)),VLOOKUP(MIN(BH17:BI17),TblJoistSize!$M$3:$N$10,2),IF(OR(CU17="B",CU17="G"),MIN(BK17:BL17),""))</x:f>
        <x:v/>
      </x:c>
      <x:c r="EY17" s="829" t="str">
        <x:f>IF(AND(CU17="G", ISBLANK(BK17), ISBLANK(BL17)),VLOOKUP(MAX(BH17:BI17),TblJoistSize!$M$3:$N$10,2),IF(OR(CU17="B",CU17="G"),MAX(BK17:BL17),""))</x:f>
        <x:v/>
      </x:c>
      <x:c r="EZ17" s="829" t="str">
        <x:f t="shared" si="83"/>
        <x:v/>
      </x:c>
      <x:c r="FA17" s="829" t="str">
        <x:f>IF(AND(DE17="G", ISBLANK(BW17), ISBLANK(BX17)),VLOOKUP(MIN(BT17:BU17),TblJoistSize!$M$3:$N$10,2),IF(OR(DE17="B", DE17="G"),MIN(BW17:BX17),""))</x:f>
        <x:v/>
      </x:c>
      <x:c r="FB17" s="829" t="str">
        <x:f>IF(AND(DE17="G", ISBLANK(BW17), ISBLANK(BX17)),VLOOKUP(MAX(BT17:BU17),TblJoistSize!$M$3:$N$10,2),IF(OR(DE17="B", DE17="G"),MAX(BW17:BX17),""))</x:f>
        <x:v/>
      </x:c>
      <x:c r="FC17" s="829" t="str">
        <x:f t="shared" si="84"/>
        <x:v/>
      </x:c>
      <x:c r="FD17" s="821">
        <x:f t="shared" ref="FD17:FD45" si="107">IF(DD17="",0,ATAN(DD17/12))</x:f>
        <x:v>0</x:v>
      </x:c>
      <x:c r="FE17" s="821">
        <x:f t="shared" si="85"/>
        <x:v>0</x:v>
      </x:c>
      <x:c r="FF17" s="821">
        <x:f t="shared" si="86"/>
        <x:v>0</x:v>
      </x:c>
      <x:c r="FG17" s="821" t="str">
        <x:f t="shared" si="87"/>
        <x:v/>
      </x:c>
      <x:c r="FH17" s="822" t="str">
        <x:f t="shared" si="88"/>
        <x:v/>
      </x:c>
      <x:c r="FI17" s="821">
        <x:f t="shared" ref="FI17:FI45" si="108">IF(DN17="",0,ATAN(DN17/12))</x:f>
        <x:v>0</x:v>
      </x:c>
      <x:c r="FJ17" s="821">
        <x:f t="shared" si="89"/>
        <x:v>0</x:v>
      </x:c>
      <x:c r="FK17" s="821">
        <x:f t="shared" si="90"/>
        <x:v>0</x:v>
      </x:c>
      <x:c r="FL17" s="821" t="str">
        <x:f t="shared" si="91"/>
        <x:v/>
      </x:c>
      <x:c r="FM17" s="822" t="str">
        <x:f t="shared" si="92"/>
        <x:v/>
      </x:c>
      <x:c r="FN17" s="822" t="e">
        <x:f t="shared" si="93"/>
        <x:v>#VALUE!</x:v>
      </x:c>
      <x:c r="FO17" s="940" t="e">
        <x:f t="shared" si="94"/>
        <x:v>#VALUE!</x:v>
      </x:c>
      <x:c r="FP17" s="940" t="e">
        <x:f t="shared" si="95"/>
        <x:v>#VALUE!</x:v>
      </x:c>
      <x:c r="FQ17" s="830" t="e">
        <x:f t="shared" si="96"/>
        <x:v>#VALUE!</x:v>
      </x:c>
      <x:c r="FR17" s="831" t="e">
        <x:f t="shared" si="97"/>
        <x:v>#VALUE!</x:v>
      </x:c>
      <x:c r="FS17" s="832" t="str">
        <x:f t="shared" si="98"/>
        <x:v/>
      </x:c>
      <x:c r="FT17" s="833" t="str">
        <x:f t="shared" si="99"/>
        <x:v/>
      </x:c>
      <x:c r="FU17" s="870">
        <x:f t="shared" si="100"/>
        <x:v>0</x:v>
      </x:c>
      <x:c r="FV17" s="871">
        <x:f t="shared" si="101"/>
        <x:v>0</x:v>
      </x:c>
      <x:c r="GA17" s="1791">
        <x:v>39</x:v>
      </x:c>
      <x:c r="GB17" s="1792">
        <x:v>3</x:v>
      </x:c>
      <x:c r="GC17" s="1793">
        <x:v>-0.25</x:v>
      </x:c>
      <x:c r="GD17" s="1794">
        <x:v>-0.5</x:v>
      </x:c>
      <x:c r="GE17" s="1795">
        <x:f t="shared" si="102"/>
        <x:v>0</x:v>
      </x:c>
      <x:c r="GF17" s="600" t="str">
        <x:f t="shared" si="103"/>
        <x:v>J68</x:v>
      </x:c>
      <x:c r="GG17" s="1130">
        <x:v>0</x:v>
      </x:c>
      <x:c r="GH17" s="1131">
        <x:v>0</x:v>
      </x:c>
      <x:c r="GI17" s="1130"/>
      <x:c r="GJ17" s="1131"/>
      <x:c r="GK17" s="1638">
        <x:f t="shared" si="104"/>
        <x:v>470.25</x:v>
      </x:c>
      <x:c r="GL17" s="1636">
        <x:f t="shared" si="105"/>
        <x:v>470.25</x:v>
      </x:c>
      <x:c r="GM17" s="1637">
        <x:f>IF(ABS(GK17-GL17)&gt;='Job Info.'!$L$22,ABS(GK17-GL17),0)</x:f>
        <x:v>0</x:v>
      </x:c>
      <x:c r="HA17" s="1269" t="s">
        <x:v>1498</x:v>
      </x:c>
      <x:c r="HB17" s="1270">
        <x:v>1</x:v>
      </x:c>
      <x:c r="HC17" s="1270" t="s">
        <x:v>1592</x:v>
      </x:c>
      <x:c r="HD17" s="1271">
        <x:v>39</x:v>
      </x:c>
      <x:c r="HE17" s="1272">
        <x:v>2.25</x:v>
      </x:c>
      <x:c r="HF17" s="1270" t="s">
        <x:v>116</x:v>
      </x:c>
      <x:c r="HG17" s="1270" t="s">
        <x:v>116</x:v>
      </x:c>
      <x:c r="HH17" s="1270" t="s">
        <x:v>116</x:v>
      </x:c>
      <x:c r="HI17" s="1273" t="s">
        <x:v>116</x:v>
      </x:c>
      <x:c r="HJ17" s="1270" t="s">
        <x:v>116</x:v>
      </x:c>
      <x:c r="HK17" s="1270" t="s">
        <x:v>116</x:v>
      </x:c>
      <x:c r="HL17" s="1270">
        <x:v>5</x:v>
      </x:c>
      <x:c r="HM17" s="1270">
        <x:v>5</x:v>
      </x:c>
      <x:c r="HN17" s="1270" t="s">
        <x:v>116</x:v>
      </x:c>
      <x:c r="HO17" s="1270" t="s">
        <x:v>116</x:v>
      </x:c>
      <x:c r="HP17" s="1270" t="s">
        <x:v>116</x:v>
      </x:c>
      <x:c r="HQ17" s="1273" t="s">
        <x:v>116</x:v>
      </x:c>
      <x:c r="HR17" s="1270" t="s">
        <x:v>116</x:v>
      </x:c>
      <x:c r="HS17" s="1270" t="s">
        <x:v>116</x:v>
      </x:c>
      <x:c r="HT17" s="1270">
        <x:v>0</x:v>
      </x:c>
      <x:c r="HU17" s="1270">
        <x:v>2.25</x:v>
      </x:c>
      <x:c r="HV17" s="1270">
        <x:v>0</x:v>
      </x:c>
      <x:c r="HW17" s="1272">
        <x:v>2</x:v>
      </x:c>
      <x:c r="HX17" s="1272">
        <x:v>4</x:v>
      </x:c>
      <x:c r="HY17" s="1272" t="s">
        <x:v>116</x:v>
      </x:c>
      <x:c r="HZ17" s="1272" t="s">
        <x:v>116</x:v>
      </x:c>
      <x:c r="IA17" s="1272" t="s">
        <x:v>1690</x:v>
      </x:c>
      <x:c r="IB17" s="1272"/>
      <x:c r="IC17" s="1272"/>
      <x:c r="ID17" s="1272"/>
      <x:c r="IE17" s="1272"/>
      <x:c r="IF17" s="1274"/>
    </x:row>
    <x:row r="18" spans="1:240" ht="12.6" customHeight="1" x14ac:dyDescent="0.25">
      <x:c r="A18" s="2764" t="s">
        <x:v>1499</x:v>
      </x:c>
      <x:c r="B18" s="2765">
        <x:v>1</x:v>
      </x:c>
      <x:c r="C18" s="2766" t="s">
        <x:v>1592</x:v>
      </x:c>
      <x:c r="D18" s="2767">
        <x:v>40</x:v>
      </x:c>
      <x:c r="E18" s="2768">
        <x:v>0</x:v>
      </x:c>
      <x:c r="F18" s="2776" t="str">
        <x:f t="shared" si="1"/>
        <x:v/>
      </x:c>
      <x:c r="G18" s="2771" t="str">
        <x:f t="shared" si="2"/>
        <x:v/>
      </x:c>
      <x:c r="H18" s="2842" t="str">
        <x:f t="shared" si="3"/>
        <x:v/>
      </x:c>
      <x:c r="I18" s="2767" t="str">
        <x:f t="shared" si="4"/>
        <x:v/>
      </x:c>
      <x:c r="J18" s="2771" t="str">
        <x:f t="shared" si="5"/>
        <x:v/>
      </x:c>
      <x:c r="K18" s="2855" t="str">
        <x:f t="shared" si="6"/>
        <x:v/>
      </x:c>
      <x:c r="L18" s="2774">
        <x:v>5</x:v>
      </x:c>
      <x:c r="M18" s="2775">
        <x:v>5</x:v>
      </x:c>
      <x:c r="N18" s="2770" t="str">
        <x:f t="shared" si="7"/>
        <x:v/>
      </x:c>
      <x:c r="O18" s="2771" t="str">
        <x:f t="shared" si="8"/>
        <x:v/>
      </x:c>
      <x:c r="P18" s="2772" t="str">
        <x:f t="shared" si="9"/>
        <x:v/>
      </x:c>
      <x:c r="Q18" s="2767" t="str">
        <x:f t="shared" si="10"/>
        <x:v/>
      </x:c>
      <x:c r="R18" s="2771" t="str">
        <x:f t="shared" si="11"/>
        <x:v/>
      </x:c>
      <x:c r="S18" s="2773" t="str">
        <x:f t="shared" si="12"/>
        <x:v/>
      </x:c>
      <x:c r="T18" s="2776">
        <x:v>0</x:v>
      </x:c>
      <x:c r="U18" s="2771">
        <x:v>2.25</x:v>
      </x:c>
      <x:c r="V18" s="2767">
        <x:v>0</x:v>
      </x:c>
      <x:c r="W18" s="2771">
        <x:v>2</x:v>
      </x:c>
      <x:c r="X18" s="2775">
        <x:v>4</x:v>
      </x:c>
      <x:c r="Y18" s="2844" t="str">
        <x:f t="shared" si="13"/>
        <x:v/>
      </x:c>
      <x:c r="Z18" s="2845" t="str">
        <x:f t="shared" si="14"/>
        <x:v/>
      </x:c>
      <x:c r="AA18" s="2846" t="s">
        <x:v>1691</x:v>
      </x:c>
      <x:c r="AB18" s="1413"/>
      <x:c r="AC18" s="964" t="b">
        <x:v>0</x:v>
      </x:c>
      <x:c r="AD18" s="441">
        <x:f t="shared" si="15"/>
        <x:v>0</x:v>
      </x:c>
      <x:c r="AE18" s="442">
        <x:f t="shared" si="16"/>
        <x:v>1</x:v>
      </x:c>
      <x:c r="AF18" s="442">
        <x:f t="shared" si="17"/>
        <x:v>0</x:v>
      </x:c>
      <x:c r="AG18" s="442">
        <x:f t="shared" si="18"/>
        <x:v>0</x:v>
      </x:c>
      <x:c r="AH18" s="443">
        <x:f t="shared" si="19"/>
        <x:v>0</x:v>
      </x:c>
      <x:c r="AI18" s="444" t="b">
        <x:v>0</x:v>
      </x:c>
      <x:c r="AJ18" s="238">
        <x:f t="shared" si="20"/>
        <x:v>32</x:v>
      </x:c>
      <x:c r="AK18" s="830" t="str">
        <x:f t="shared" si="21"/>
        <x:v>LH</x:v>
      </x:c>
      <x:c r="AL18" s="945" t="str">
        <x:f t="shared" si="22"/>
        <x:v/>
      </x:c>
      <x:c r="AM18" s="830">
        <x:f t="shared" si="23"/>
        <x:v>305</x:v>
      </x:c>
      <x:c r="AN18" s="830">
        <x:f t="shared" si="24"/>
        <x:v>180</x:v>
      </x:c>
      <x:c r="AO18" s="830" t="str">
        <x:f t="shared" si="25"/>
        <x:v/>
      </x:c>
      <x:c r="AP18" s="830" t="b">
        <x:f>IF(ISERROR(AJ18),FALSE,IF(OR(AJ18=0,ISERROR(AL18),ISERROR(AM18),ISERROR(AN18),ISERROR(AO18)),FALSE,IF(AL18&lt;&gt;"",IF(ISERROR(VLOOKUP(SUBSTITUTE(SUBSTITUTE(C18,"R",""),"A",""),TblJoistSize!$A:$A,1,FALSE)),FALSE,TRUE),TRUE)))</x:f>
        <x:v>1</x:v>
      </x:c>
      <x:c r="AQ18" s="1038">
        <x:f t="shared" si="26"/>
        <x:v>6</x:v>
      </x:c>
      <x:c r="AR18" s="945" t="b">
        <x:f t="shared" si="27"/>
        <x:v>1</x:v>
      </x:c>
      <x:c r="AS18" s="1038">
        <x:f t="shared" si="28"/>
        <x:v>6</x:v>
      </x:c>
      <x:c r="AT18" s="945" t="b">
        <x:f t="shared" si="29"/>
        <x:v>1</x:v>
      </x:c>
      <x:c r="AU18" s="946" t="str">
        <x:f t="shared" si="30"/>
        <x:v>LH</x:v>
      </x:c>
      <x:c r="AV18" s="830" t="str">
        <x:f t="shared" si="31"/>
        <x:v/>
      </x:c>
      <x:c r="AW18" s="830" t="str">
        <x:f t="shared" si="32"/>
        <x:v>LH</x:v>
      </x:c>
      <x:c r="AX18" s="830" t="str">
        <x:f t="shared" si="106"/>
        <x:v>J69</x:v>
      </x:c>
      <x:c r="AY18" s="1039" t="b">
        <x:f t="shared" si="33"/>
        <x:v>0</x:v>
      </x:c>
      <x:c r="AZ18" s="856" t="b">
        <x:f t="shared" si="34"/>
        <x:v>0</x:v>
      </x:c>
      <x:c r="BA18" s="549"/>
      <x:c r="BB18" s="672"/>
      <x:c r="BC18" s="1684"/>
      <x:c r="BD18" s="733"/>
      <x:c r="BE18" s="734"/>
      <x:c r="BF18" s="735"/>
      <x:c r="BG18" s="672"/>
      <x:c r="BH18" s="982"/>
      <x:c r="BI18" s="983"/>
      <x:c r="BJ18" s="1625"/>
      <x:c r="BK18" s="713"/>
      <x:c r="BL18" s="714"/>
      <x:c r="BM18" s="715"/>
      <x:c r="BN18" s="716"/>
      <x:c r="BO18" s="672" t="str">
        <x:f>IF(ISERROR(CU18),"",IF(CU18="","",IF(VLOOKUP(BG18,SectInfo!$B:$N,10,FALSE)="","","X")))</x:f>
        <x:v/>
      </x:c>
      <x:c r="BP18" s="738"/>
      <x:c r="BQ18" s="1551" t="str">
        <x:f t="shared" si="35"/>
        <x:v/>
      </x:c>
      <x:c r="BR18" s="910"/>
      <x:c r="BS18" s="672"/>
      <x:c r="BT18" s="713"/>
      <x:c r="BU18" s="714"/>
      <x:c r="BV18" s="1625"/>
      <x:c r="BW18" s="713"/>
      <x:c r="BX18" s="714"/>
      <x:c r="BY18" s="715"/>
      <x:c r="BZ18" s="716"/>
      <x:c r="CA18" s="680" t="str">
        <x:f>IF(ISERROR(DE18),"",IF(DE18="","",IF(VLOOKUP(BS18,SectInfo!$B:$N,10,FALSE)="","","X")))</x:f>
        <x:v/>
      </x:c>
      <x:c r="CB18" s="738"/>
      <x:c r="CC18" s="1551" t="str">
        <x:f t="shared" si="36"/>
        <x:v/>
      </x:c>
      <x:c r="CD18" s="910"/>
      <x:c r="CE18" s="717"/>
      <x:c r="CF18" s="736"/>
      <x:c r="CG18" s="737"/>
      <x:c r="CH18" s="591" t="str">
        <x:f t="shared" si="37"/>
        <x:v/>
      </x:c>
      <x:c r="CI18" s="592" t="str">
        <x:f t="shared" si="38"/>
        <x:v/>
      </x:c>
      <x:c r="CJ18" s="593" t="str">
        <x:f t="shared" si="39"/>
        <x:v/>
      </x:c>
      <x:c r="CK18" s="594" t="str">
        <x:f t="shared" si="40"/>
        <x:v/>
      </x:c>
      <x:c r="CL18" s="595" t="str">
        <x:f t="shared" si="41"/>
        <x:v/>
      </x:c>
      <x:c r="CM18" s="596" t="str">
        <x:f t="shared" si="42"/>
        <x:v/>
      </x:c>
      <x:c r="CN18" s="597" t="str">
        <x:f t="shared" si="43"/>
        <x:v/>
      </x:c>
      <x:c r="CO18" s="598" t="str">
        <x:f t="shared" si="44"/>
        <x:v/>
      </x:c>
      <x:c r="CP18" s="615" t="str">
        <x:f t="shared" si="45"/>
        <x:v/>
      </x:c>
      <x:c r="CQ18" s="616" t="str">
        <x:f t="shared" si="46"/>
        <x:v/>
      </x:c>
      <x:c r="CR18" s="750">
        <x:f t="shared" si="47"/>
        <x:v>5</x:v>
      </x:c>
      <x:c r="CS18" s="751">
        <x:f t="shared" si="48"/>
        <x:v>5</x:v>
      </x:c>
      <x:c r="CU18" s="817" t="str">
        <x:f>IF(BG18="","",VLOOKUP(BG18,SectInfo!$B:$N,12,FALSE))</x:f>
        <x:v/>
      </x:c>
      <x:c r="CV18" s="815" t="str">
        <x:f>IF(BG18="","",IF(ISBLANK(BP18),VLOOKUP(BG18,SectInfo!$B:$N,13,FALSE),BP18))</x:f>
        <x:v/>
      </x:c>
      <x:c r="CW18" s="815" t="str">
        <x:f>IF(BG18="","",IF(VLOOKUP(BG18,SectInfo!$B:$N,5,FALSE)="","R",UPPER(VLOOKUP(BG18,SectInfo!$B:$N,5,FALSE))))</x:f>
        <x:v/>
      </x:c>
      <x:c r="CX18" s="815" t="str">
        <x:f>IF(BG18="","",IF(ISBLANK(BR18),VLOOKUP(BG18,SectInfo!$B:$N,6,FALSE),BR18))</x:f>
        <x:v/>
      </x:c>
      <x:c r="CY18" s="1286" t="str">
        <x:f>IF(BG18="","",IF(VLOOKUP(BG18,SectInfo!$B:$N,10,FALSE)="","",(IF(BO18="X",VLOOKUP(BG18,SectInfo!$B:$N,10,FALSE),VALUE(BO18))*-1)))</x:f>
        <x:v/>
      </x:c>
      <x:c r="CZ18" s="1122" t="str">
        <x:f>IF(BG18="","",IF(VLOOKUP(BG18,SectInfo!$B:$N,11,FALSE)="","2",(VLOOKUP(BG18,SectInfo!$B:$N,11,FALSE))))</x:f>
        <x:v/>
      </x:c>
      <x:c r="DA18" s="815" t="str">
        <x:f>IF(BG18="","",IF(VLOOKUP(BG18,SectInfo!$B:$N,7,FALSE)="","",(VLOOKUP(BG18,SectInfo!$B:$N,7,FALSE)*-1)))</x:f>
        <x:v/>
      </x:c>
      <x:c r="DB18" s="815" t="str">
        <x:f>IF(BG18="","",IF(VLOOKUP(BG18,SectInfo!$B:$N,8,FALSE)="",VLOOKUP(AU18,$DF$2:$DN$9,6,FALSE),(VLOOKUP(BG18,SectInfo!$B:$N,8,FALSE))))</x:f>
        <x:v/>
      </x:c>
      <x:c r="DC18" s="815" t="str">
        <x:f>IF(BG18="","",VLOOKUP(BG18,SectInfo!$B:$N,9,FALSE))</x:f>
        <x:v/>
      </x:c>
      <x:c r="DD18" s="816">
        <x:f t="shared" si="49"/>
        <x:v>0</x:v>
      </x:c>
      <x:c r="DE18" s="817" t="str">
        <x:f>IF(BS18="","",VLOOKUP(BS18,SectInfo!$B:$N,12,FALSE))</x:f>
        <x:v/>
      </x:c>
      <x:c r="DF18" s="815" t="str">
        <x:f>IF(BS18="","",IF(ISBLANK(CB18),VLOOKUP(BS18,SectInfo!$B:$N,13,FALSE),CB18))</x:f>
        <x:v/>
      </x:c>
      <x:c r="DG18" s="815" t="str">
        <x:f>IF(BS18="","",IF(VLOOKUP(BS18,SectInfo!$B:$N,5,FALSE)="","R",UPPER(VLOOKUP(BS18,SectInfo!$B:$N,5,FALSE))))</x:f>
        <x:v/>
      </x:c>
      <x:c r="DH18" s="815" t="str">
        <x:f>IF(BS18="","",IF(ISBLANK(CD18),VLOOKUP(BS18,SectInfo!$B:$N,6,FALSE),CD18))</x:f>
        <x:v/>
      </x:c>
      <x:c r="DI18" s="1286" t="str">
        <x:f>IF(BS18="","",IF(VLOOKUP(BS18,SectInfo!$B:$N,10,FALSE)="","",(IF(CA18="X",VLOOKUP(BS18,SectInfo!$B:$N,10,FALSE),VALUE(CA18))*-1)))</x:f>
        <x:v/>
      </x:c>
      <x:c r="DJ18" s="1122" t="str">
        <x:f>IF(BS18="","",IF(VLOOKUP(BS18,SectInfo!$B:$N,11,FALSE)="","2",(VLOOKUP(BS18,SectInfo!$B:$N,11,FALSE))))</x:f>
        <x:v/>
      </x:c>
      <x:c r="DK18" s="815" t="str">
        <x:f>IF(BS18="","",IF(VLOOKUP(BS18,SectInfo!$B:$N,7,FALSE)="","",(VLOOKUP(BS18,SectInfo!$B:$N,7,FALSE)*-1)))</x:f>
        <x:v/>
      </x:c>
      <x:c r="DL18" s="815" t="str">
        <x:f>IF(BS18="","",IF(VLOOKUP(BS18,SectInfo!$B:$N,8,FALSE)="",VLOOKUP(AU18,$DF$2:$DN$9,6,FALSE),(VLOOKUP(BS18,SectInfo!$B:$N,8,FALSE))))</x:f>
        <x:v/>
      </x:c>
      <x:c r="DM18" s="815" t="str">
        <x:f>IF(BS18="","",VLOOKUP(BS18,SectInfo!$B:$N,9,FALSE))</x:f>
        <x:v/>
      </x:c>
      <x:c r="DN18" s="816">
        <x:f t="shared" si="50"/>
        <x:v>0</x:v>
      </x:c>
      <x:c r="DO18" s="818">
        <x:f t="shared" si="51"/>
        <x:v>0</x:v>
      </x:c>
      <x:c r="DP18" s="822" t="str">
        <x:f t="shared" si="52"/>
        <x:v/>
      </x:c>
      <x:c r="DQ18" s="822" t="str">
        <x:f t="shared" si="53"/>
        <x:v/>
      </x:c>
      <x:c r="DR18" s="822" t="str">
        <x:f t="shared" si="54"/>
        <x:v/>
      </x:c>
      <x:c r="DS18" s="821">
        <x:f t="shared" si="55"/>
        <x:v>0</x:v>
      </x:c>
      <x:c r="DT18" s="821">
        <x:f t="shared" si="56"/>
        <x:v>0</x:v>
      </x:c>
      <x:c r="DU18" s="821" t="str">
        <x:f t="shared" si="57"/>
        <x:v/>
      </x:c>
      <x:c r="DV18" s="822" t="str">
        <x:f t="shared" si="58"/>
        <x:v/>
      </x:c>
      <x:c r="DW18" s="856" t="str">
        <x:f t="shared" si="59"/>
        <x:v/>
      </x:c>
      <x:c r="DX18" s="1006">
        <x:f t="shared" si="60"/>
        <x:v>0</x:v>
      </x:c>
      <x:c r="DY18" s="822">
        <x:f t="shared" si="61"/>
        <x:v>0</x:v>
      </x:c>
      <x:c r="DZ18" s="821">
        <x:f t="shared" si="62"/>
        <x:v>0</x:v>
      </x:c>
      <x:c r="EA18" s="821" t="str">
        <x:f t="shared" si="63"/>
        <x:v/>
      </x:c>
      <x:c r="EB18" s="822" t="str">
        <x:f t="shared" si="64"/>
        <x:v/>
      </x:c>
      <x:c r="EC18" s="856" t="str">
        <x:f t="shared" si="65"/>
        <x:v/>
      </x:c>
      <x:c r="ED18" s="1006">
        <x:f t="shared" si="66"/>
        <x:v>0</x:v>
      </x:c>
      <x:c r="EE18" s="1293" t="str">
        <x:f t="shared" si="67"/>
        <x:v/>
      </x:c>
      <x:c r="EF18" s="1293" t="str">
        <x:f t="shared" si="68"/>
        <x:v/>
      </x:c>
      <x:c r="EG18" s="1293" t="str">
        <x:f t="shared" si="69"/>
        <x:v/>
      </x:c>
      <x:c r="EH18" s="856" t="str">
        <x:f t="shared" si="70"/>
        <x:v>ERR</x:v>
      </x:c>
      <x:c r="EI18" s="856" t="str">
        <x:f t="shared" si="71"/>
        <x:v>ERR</x:v>
      </x:c>
      <x:c r="EJ18" s="822" t="str">
        <x:f t="shared" si="72"/>
        <x:v/>
      </x:c>
      <x:c r="EK18" s="822" t="str">
        <x:f t="shared" si="72"/>
        <x:v/>
      </x:c>
      <x:c r="EL18" s="1293" t="str">
        <x:f t="shared" si="73"/>
        <x:v/>
      </x:c>
      <x:c r="EM18" s="822" t="str">
        <x:f t="shared" si="74"/>
        <x:v/>
      </x:c>
      <x:c r="EN18" s="822" t="str">
        <x:f t="shared" si="75"/>
        <x:v/>
      </x:c>
      <x:c r="EO18" s="856" t="str">
        <x:f t="shared" si="76"/>
        <x:v>ERR</x:v>
      </x:c>
      <x:c r="EP18" s="856" t="str">
        <x:f t="shared" si="77"/>
        <x:v>ERR</x:v>
      </x:c>
      <x:c r="EQ18" s="1293" t="str">
        <x:f t="shared" si="78"/>
        <x:v/>
      </x:c>
      <x:c r="ER18" s="822" t="str">
        <x:f t="shared" si="78"/>
        <x:v/>
      </x:c>
      <x:c r="ES18" s="822" t="str">
        <x:f t="shared" si="79"/>
        <x:v/>
      </x:c>
      <x:c r="ET18" s="822" t="str">
        <x:f t="shared" si="80"/>
        <x:v/>
      </x:c>
      <x:c r="EU18" s="829">
        <x:f t="shared" si="81"/>
        <x:v>4</x:v>
      </x:c>
      <x:c r="EV18" s="824" t="str">
        <x:f t="shared" si="82"/>
        <x:v/>
      </x:c>
      <x:c r="EW18" s="829"/>
      <x:c r="EX18" s="829" t="str">
        <x:f>IF(AND(CU18="G", ISBLANK(BK18), ISBLANK(BL18)),VLOOKUP(MIN(BH18:BI18),TblJoistSize!$M$3:$N$10,2),IF(OR(CU18="B",CU18="G"),MIN(BK18:BL18),""))</x:f>
        <x:v/>
      </x:c>
      <x:c r="EY18" s="829" t="str">
        <x:f>IF(AND(CU18="G", ISBLANK(BK18), ISBLANK(BL18)),VLOOKUP(MAX(BH18:BI18),TblJoistSize!$M$3:$N$10,2),IF(OR(CU18="B",CU18="G"),MAX(BK18:BL18),""))</x:f>
        <x:v/>
      </x:c>
      <x:c r="EZ18" s="829" t="str">
        <x:f t="shared" si="83"/>
        <x:v/>
      </x:c>
      <x:c r="FA18" s="829" t="str">
        <x:f>IF(AND(DE18="G", ISBLANK(BW18), ISBLANK(BX18)),VLOOKUP(MIN(BT18:BU18),TblJoistSize!$M$3:$N$10,2),IF(OR(DE18="B", DE18="G"),MIN(BW18:BX18),""))</x:f>
        <x:v/>
      </x:c>
      <x:c r="FB18" s="829" t="str">
        <x:f>IF(AND(DE18="G", ISBLANK(BW18), ISBLANK(BX18)),VLOOKUP(MAX(BT18:BU18),TblJoistSize!$M$3:$N$10,2),IF(OR(DE18="B", DE18="G"),MAX(BW18:BX18),""))</x:f>
        <x:v/>
      </x:c>
      <x:c r="FC18" s="829" t="str">
        <x:f t="shared" si="84"/>
        <x:v/>
      </x:c>
      <x:c r="FD18" s="821">
        <x:f t="shared" si="107"/>
        <x:v>0</x:v>
      </x:c>
      <x:c r="FE18" s="821">
        <x:f t="shared" si="85"/>
        <x:v>0</x:v>
      </x:c>
      <x:c r="FF18" s="821">
        <x:f t="shared" si="86"/>
        <x:v>0</x:v>
      </x:c>
      <x:c r="FG18" s="821" t="str">
        <x:f t="shared" si="87"/>
        <x:v/>
      </x:c>
      <x:c r="FH18" s="822" t="str">
        <x:f t="shared" si="88"/>
        <x:v/>
      </x:c>
      <x:c r="FI18" s="821">
        <x:f t="shared" si="108"/>
        <x:v>0</x:v>
      </x:c>
      <x:c r="FJ18" s="821">
        <x:f t="shared" si="89"/>
        <x:v>0</x:v>
      </x:c>
      <x:c r="FK18" s="821">
        <x:f t="shared" si="90"/>
        <x:v>0</x:v>
      </x:c>
      <x:c r="FL18" s="821" t="str">
        <x:f t="shared" si="91"/>
        <x:v/>
      </x:c>
      <x:c r="FM18" s="822" t="str">
        <x:f t="shared" si="92"/>
        <x:v/>
      </x:c>
      <x:c r="FN18" s="822" t="e">
        <x:f t="shared" si="93"/>
        <x:v>#VALUE!</x:v>
      </x:c>
      <x:c r="FO18" s="940" t="e">
        <x:f t="shared" si="94"/>
        <x:v>#VALUE!</x:v>
      </x:c>
      <x:c r="FP18" s="940" t="e">
        <x:f t="shared" si="95"/>
        <x:v>#VALUE!</x:v>
      </x:c>
      <x:c r="FQ18" s="830" t="e">
        <x:f t="shared" si="96"/>
        <x:v>#VALUE!</x:v>
      </x:c>
      <x:c r="FR18" s="831" t="e">
        <x:f t="shared" si="97"/>
        <x:v>#VALUE!</x:v>
      </x:c>
      <x:c r="FS18" s="832" t="str">
        <x:f t="shared" si="98"/>
        <x:v/>
      </x:c>
      <x:c r="FT18" s="833" t="str">
        <x:f t="shared" si="99"/>
        <x:v/>
      </x:c>
      <x:c r="FU18" s="870">
        <x:f t="shared" si="100"/>
        <x:v>0</x:v>
      </x:c>
      <x:c r="FV18" s="871">
        <x:f t="shared" si="101"/>
        <x:v>0</x:v>
      </x:c>
      <x:c r="GA18" s="1791">
        <x:v>40</x:v>
      </x:c>
      <x:c r="GB18" s="1792">
        <x:v>0.75</x:v>
      </x:c>
      <x:c r="GC18" s="1793">
        <x:v>-0.25</x:v>
      </x:c>
      <x:c r="GD18" s="1794">
        <x:v>-0.5</x:v>
      </x:c>
      <x:c r="GE18" s="1795">
        <x:f t="shared" si="102"/>
        <x:v>0</x:v>
      </x:c>
      <x:c r="GF18" s="600" t="str">
        <x:f t="shared" si="103"/>
        <x:v>J69</x:v>
      </x:c>
      <x:c r="GG18" s="1130">
        <x:v>0</x:v>
      </x:c>
      <x:c r="GH18" s="1131">
        <x:v>0</x:v>
      </x:c>
      <x:c r="GI18" s="1130"/>
      <x:c r="GJ18" s="1131"/>
      <x:c r="GK18" s="1638">
        <x:f t="shared" si="104"/>
        <x:v>480</x:v>
      </x:c>
      <x:c r="GL18" s="1636">
        <x:f t="shared" si="105"/>
        <x:v>480</x:v>
      </x:c>
      <x:c r="GM18" s="1637">
        <x:f>IF(ABS(GK18-GL18)&gt;='Job Info.'!$L$22,ABS(GK18-GL18),0)</x:f>
        <x:v>0</x:v>
      </x:c>
      <x:c r="HA18" s="1269" t="s">
        <x:v>1499</x:v>
      </x:c>
      <x:c r="HB18" s="1270">
        <x:v>1</x:v>
      </x:c>
      <x:c r="HC18" s="1270" t="s">
        <x:v>1592</x:v>
      </x:c>
      <x:c r="HD18" s="1271">
        <x:v>40</x:v>
      </x:c>
      <x:c r="HE18" s="1272">
        <x:v>0</x:v>
      </x:c>
      <x:c r="HF18" s="1270" t="s">
        <x:v>116</x:v>
      </x:c>
      <x:c r="HG18" s="1270" t="s">
        <x:v>116</x:v>
      </x:c>
      <x:c r="HH18" s="1270" t="s">
        <x:v>116</x:v>
      </x:c>
      <x:c r="HI18" s="1273" t="s">
        <x:v>116</x:v>
      </x:c>
      <x:c r="HJ18" s="1270" t="s">
        <x:v>116</x:v>
      </x:c>
      <x:c r="HK18" s="1270" t="s">
        <x:v>116</x:v>
      </x:c>
      <x:c r="HL18" s="1270">
        <x:v>5</x:v>
      </x:c>
      <x:c r="HM18" s="1270">
        <x:v>5</x:v>
      </x:c>
      <x:c r="HN18" s="1270" t="s">
        <x:v>116</x:v>
      </x:c>
      <x:c r="HO18" s="1270" t="s">
        <x:v>116</x:v>
      </x:c>
      <x:c r="HP18" s="1270" t="s">
        <x:v>116</x:v>
      </x:c>
      <x:c r="HQ18" s="1273" t="s">
        <x:v>116</x:v>
      </x:c>
      <x:c r="HR18" s="1270" t="s">
        <x:v>116</x:v>
      </x:c>
      <x:c r="HS18" s="1270" t="s">
        <x:v>116</x:v>
      </x:c>
      <x:c r="HT18" s="1270">
        <x:v>0</x:v>
      </x:c>
      <x:c r="HU18" s="1270">
        <x:v>2.25</x:v>
      </x:c>
      <x:c r="HV18" s="1270">
        <x:v>0</x:v>
      </x:c>
      <x:c r="HW18" s="1272">
        <x:v>2</x:v>
      </x:c>
      <x:c r="HX18" s="1272">
        <x:v>4</x:v>
      </x:c>
      <x:c r="HY18" s="1272" t="s">
        <x:v>116</x:v>
      </x:c>
      <x:c r="HZ18" s="1272" t="s">
        <x:v>116</x:v>
      </x:c>
      <x:c r="IA18" s="1272" t="s">
        <x:v>1691</x:v>
      </x:c>
      <x:c r="IB18" s="1272"/>
      <x:c r="IC18" s="1272"/>
      <x:c r="ID18" s="1272"/>
      <x:c r="IE18" s="1272"/>
      <x:c r="IF18" s="1274"/>
    </x:row>
    <x:row r="19" spans="1:240" ht="12.6" customHeight="1" x14ac:dyDescent="0.25">
      <x:c r="A19" s="2764" t="s">
        <x:v>1500</x:v>
      </x:c>
      <x:c r="B19" s="2765">
        <x:v>2</x:v>
      </x:c>
      <x:c r="C19" s="2766" t="s">
        <x:v>1592</x:v>
      </x:c>
      <x:c r="D19" s="2767">
        <x:v>49</x:v>
      </x:c>
      <x:c r="E19" s="2768">
        <x:v>11.5</x:v>
      </x:c>
      <x:c r="F19" s="2776" t="str">
        <x:f t="shared" si="1"/>
        <x:v/>
      </x:c>
      <x:c r="G19" s="2771" t="str">
        <x:f t="shared" si="2"/>
        <x:v/>
      </x:c>
      <x:c r="H19" s="2842" t="str">
        <x:f t="shared" si="3"/>
        <x:v/>
      </x:c>
      <x:c r="I19" s="2767" t="str">
        <x:f t="shared" si="4"/>
        <x:v/>
      </x:c>
      <x:c r="J19" s="2771" t="str">
        <x:f t="shared" si="5"/>
        <x:v/>
      </x:c>
      <x:c r="K19" s="2855" t="str">
        <x:f t="shared" si="6"/>
        <x:v/>
      </x:c>
      <x:c r="L19" s="2774">
        <x:v>5</x:v>
      </x:c>
      <x:c r="M19" s="2775">
        <x:v>5</x:v>
      </x:c>
      <x:c r="N19" s="2770" t="str">
        <x:f t="shared" si="7"/>
        <x:v/>
      </x:c>
      <x:c r="O19" s="2771" t="str">
        <x:f t="shared" si="8"/>
        <x:v/>
      </x:c>
      <x:c r="P19" s="2772" t="str">
        <x:f t="shared" si="9"/>
        <x:v/>
      </x:c>
      <x:c r="Q19" s="2767" t="str">
        <x:f t="shared" si="10"/>
        <x:v/>
      </x:c>
      <x:c r="R19" s="2771" t="str">
        <x:f t="shared" si="11"/>
        <x:v/>
      </x:c>
      <x:c r="S19" s="2773" t="str">
        <x:f t="shared" si="12"/>
        <x:v/>
      </x:c>
      <x:c r="T19" s="2776">
        <x:v>0</x:v>
      </x:c>
      <x:c r="U19" s="2771">
        <x:v>2.25</x:v>
      </x:c>
      <x:c r="V19" s="2767">
        <x:v>0</x:v>
      </x:c>
      <x:c r="W19" s="2771">
        <x:v>2.25</x:v>
      </x:c>
      <x:c r="X19" s="2775">
        <x:v>4</x:v>
      </x:c>
      <x:c r="Y19" s="2844" t="str">
        <x:f t="shared" si="13"/>
        <x:v/>
      </x:c>
      <x:c r="Z19" s="2845" t="str">
        <x:f t="shared" si="14"/>
        <x:v/>
      </x:c>
      <x:c r="AA19" s="2846" t="s">
        <x:v>1692</x:v>
      </x:c>
      <x:c r="AB19" s="1413"/>
      <x:c r="AC19" s="964" t="b">
        <x:v>0</x:v>
      </x:c>
      <x:c r="AD19" s="441">
        <x:f t="shared" si="15"/>
        <x:v>0</x:v>
      </x:c>
      <x:c r="AE19" s="442">
        <x:f t="shared" si="16"/>
        <x:v>2</x:v>
      </x:c>
      <x:c r="AF19" s="442">
        <x:f t="shared" si="17"/>
        <x:v>0</x:v>
      </x:c>
      <x:c r="AG19" s="442">
        <x:f t="shared" si="18"/>
        <x:v>0</x:v>
      </x:c>
      <x:c r="AH19" s="443">
        <x:f t="shared" si="19"/>
        <x:v>0</x:v>
      </x:c>
      <x:c r="AI19" s="444" t="b">
        <x:v>0</x:v>
      </x:c>
      <x:c r="AJ19" s="238">
        <x:f t="shared" si="20"/>
        <x:v>32</x:v>
      </x:c>
      <x:c r="AK19" s="830" t="str">
        <x:f t="shared" si="21"/>
        <x:v>LH</x:v>
      </x:c>
      <x:c r="AL19" s="945" t="str">
        <x:f t="shared" si="22"/>
        <x:v/>
      </x:c>
      <x:c r="AM19" s="830">
        <x:f t="shared" si="23"/>
        <x:v>305</x:v>
      </x:c>
      <x:c r="AN19" s="830">
        <x:f t="shared" si="24"/>
        <x:v>180</x:v>
      </x:c>
      <x:c r="AO19" s="830" t="str">
        <x:f t="shared" si="25"/>
        <x:v/>
      </x:c>
      <x:c r="AP19" s="830" t="b">
        <x:f>IF(ISERROR(AJ19),FALSE,IF(OR(AJ19=0,ISERROR(AL19),ISERROR(AM19),ISERROR(AN19),ISERROR(AO19)),FALSE,IF(AL19&lt;&gt;"",IF(ISERROR(VLOOKUP(SUBSTITUTE(SUBSTITUTE(C19,"R",""),"A",""),TblJoistSize!$A:$A,1,FALSE)),FALSE,TRUE),TRUE)))</x:f>
        <x:v>1</x:v>
      </x:c>
      <x:c r="AQ19" s="1038">
        <x:f t="shared" si="26"/>
        <x:v>6</x:v>
      </x:c>
      <x:c r="AR19" s="945" t="b">
        <x:f t="shared" si="27"/>
        <x:v>1</x:v>
      </x:c>
      <x:c r="AS19" s="1038">
        <x:f t="shared" si="28"/>
        <x:v>6</x:v>
      </x:c>
      <x:c r="AT19" s="945" t="b">
        <x:f t="shared" si="29"/>
        <x:v>1</x:v>
      </x:c>
      <x:c r="AU19" s="946" t="str">
        <x:f t="shared" si="30"/>
        <x:v>LH</x:v>
      </x:c>
      <x:c r="AV19" s="830" t="str">
        <x:f t="shared" si="31"/>
        <x:v/>
      </x:c>
      <x:c r="AW19" s="830" t="str">
        <x:f t="shared" si="32"/>
        <x:v>LH</x:v>
      </x:c>
      <x:c r="AX19" s="830" t="str">
        <x:f t="shared" si="106"/>
        <x:v>J70</x:v>
      </x:c>
      <x:c r="AY19" s="1039" t="b">
        <x:f t="shared" si="33"/>
        <x:v>0</x:v>
      </x:c>
      <x:c r="AZ19" s="856" t="b">
        <x:f t="shared" si="34"/>
        <x:v>0</x:v>
      </x:c>
      <x:c r="BA19" s="549"/>
      <x:c r="BB19" s="672"/>
      <x:c r="BC19" s="1684"/>
      <x:c r="BD19" s="733"/>
      <x:c r="BE19" s="734"/>
      <x:c r="BF19" s="735"/>
      <x:c r="BG19" s="672"/>
      <x:c r="BH19" s="982"/>
      <x:c r="BI19" s="983"/>
      <x:c r="BJ19" s="1625"/>
      <x:c r="BK19" s="713"/>
      <x:c r="BL19" s="714"/>
      <x:c r="BM19" s="715"/>
      <x:c r="BN19" s="716"/>
      <x:c r="BO19" s="672" t="str">
        <x:f>IF(ISERROR(CU19),"",IF(CU19="","",IF(VLOOKUP(BG19,SectInfo!$B:$N,10,FALSE)="","","X")))</x:f>
        <x:v/>
      </x:c>
      <x:c r="BP19" s="738"/>
      <x:c r="BQ19" s="1551" t="str">
        <x:f t="shared" si="35"/>
        <x:v/>
      </x:c>
      <x:c r="BR19" s="910"/>
      <x:c r="BS19" s="672"/>
      <x:c r="BT19" s="713"/>
      <x:c r="BU19" s="714"/>
      <x:c r="BV19" s="1625"/>
      <x:c r="BW19" s="713"/>
      <x:c r="BX19" s="714"/>
      <x:c r="BY19" s="715"/>
      <x:c r="BZ19" s="716"/>
      <x:c r="CA19" s="680" t="str">
        <x:f>IF(ISERROR(DE19),"",IF(DE19="","",IF(VLOOKUP(BS19,SectInfo!$B:$N,10,FALSE)="","","X")))</x:f>
        <x:v/>
      </x:c>
      <x:c r="CB19" s="738"/>
      <x:c r="CC19" s="1551" t="str">
        <x:f t="shared" si="36"/>
        <x:v/>
      </x:c>
      <x:c r="CD19" s="910"/>
      <x:c r="CE19" s="717"/>
      <x:c r="CF19" s="736"/>
      <x:c r="CG19" s="737"/>
      <x:c r="CH19" s="591" t="str">
        <x:f t="shared" si="37"/>
        <x:v/>
      </x:c>
      <x:c r="CI19" s="592" t="str">
        <x:f t="shared" si="38"/>
        <x:v/>
      </x:c>
      <x:c r="CJ19" s="593" t="str">
        <x:f t="shared" si="39"/>
        <x:v/>
      </x:c>
      <x:c r="CK19" s="594" t="str">
        <x:f t="shared" si="40"/>
        <x:v/>
      </x:c>
      <x:c r="CL19" s="595" t="str">
        <x:f t="shared" si="41"/>
        <x:v/>
      </x:c>
      <x:c r="CM19" s="596" t="str">
        <x:f t="shared" si="42"/>
        <x:v/>
      </x:c>
      <x:c r="CN19" s="597" t="str">
        <x:f t="shared" si="43"/>
        <x:v/>
      </x:c>
      <x:c r="CO19" s="598" t="str">
        <x:f t="shared" si="44"/>
        <x:v/>
      </x:c>
      <x:c r="CP19" s="615" t="str">
        <x:f t="shared" si="45"/>
        <x:v/>
      </x:c>
      <x:c r="CQ19" s="616" t="str">
        <x:f t="shared" si="46"/>
        <x:v/>
      </x:c>
      <x:c r="CR19" s="750">
        <x:f t="shared" si="47"/>
        <x:v>5</x:v>
      </x:c>
      <x:c r="CS19" s="751">
        <x:f t="shared" si="48"/>
        <x:v>5</x:v>
      </x:c>
      <x:c r="CU19" s="817" t="str">
        <x:f>IF(BG19="","",VLOOKUP(BG19,SectInfo!$B:$N,12,FALSE))</x:f>
        <x:v/>
      </x:c>
      <x:c r="CV19" s="815" t="str">
        <x:f>IF(BG19="","",IF(ISBLANK(BP19),VLOOKUP(BG19,SectInfo!$B:$N,13,FALSE),BP19))</x:f>
        <x:v/>
      </x:c>
      <x:c r="CW19" s="815" t="str">
        <x:f>IF(BG19="","",IF(VLOOKUP(BG19,SectInfo!$B:$N,5,FALSE)="","R",UPPER(VLOOKUP(BG19,SectInfo!$B:$N,5,FALSE))))</x:f>
        <x:v/>
      </x:c>
      <x:c r="CX19" s="815" t="str">
        <x:f>IF(BG19="","",IF(ISBLANK(BR19),VLOOKUP(BG19,SectInfo!$B:$N,6,FALSE),BR19))</x:f>
        <x:v/>
      </x:c>
      <x:c r="CY19" s="1286" t="str">
        <x:f>IF(BG19="","",IF(VLOOKUP(BG19,SectInfo!$B:$N,10,FALSE)="","",(IF(BO19="X",VLOOKUP(BG19,SectInfo!$B:$N,10,FALSE),VALUE(BO19))*-1)))</x:f>
        <x:v/>
      </x:c>
      <x:c r="CZ19" s="1122" t="str">
        <x:f>IF(BG19="","",IF(VLOOKUP(BG19,SectInfo!$B:$N,11,FALSE)="","2",(VLOOKUP(BG19,SectInfo!$B:$N,11,FALSE))))</x:f>
        <x:v/>
      </x:c>
      <x:c r="DA19" s="815" t="str">
        <x:f>IF(BG19="","",IF(VLOOKUP(BG19,SectInfo!$B:$N,7,FALSE)="","",(VLOOKUP(BG19,SectInfo!$B:$N,7,FALSE)*-1)))</x:f>
        <x:v/>
      </x:c>
      <x:c r="DB19" s="815" t="str">
        <x:f>IF(BG19="","",IF(VLOOKUP(BG19,SectInfo!$B:$N,8,FALSE)="",VLOOKUP(AU19,$DF$2:$DN$9,6,FALSE),(VLOOKUP(BG19,SectInfo!$B:$N,8,FALSE))))</x:f>
        <x:v/>
      </x:c>
      <x:c r="DC19" s="815" t="str">
        <x:f>IF(BG19="","",VLOOKUP(BG19,SectInfo!$B:$N,9,FALSE))</x:f>
        <x:v/>
      </x:c>
      <x:c r="DD19" s="816">
        <x:f t="shared" si="49"/>
        <x:v>0</x:v>
      </x:c>
      <x:c r="DE19" s="817" t="str">
        <x:f>IF(BS19="","",VLOOKUP(BS19,SectInfo!$B:$N,12,FALSE))</x:f>
        <x:v/>
      </x:c>
      <x:c r="DF19" s="815" t="str">
        <x:f>IF(BS19="","",IF(ISBLANK(CB19),VLOOKUP(BS19,SectInfo!$B:$N,13,FALSE),CB19))</x:f>
        <x:v/>
      </x:c>
      <x:c r="DG19" s="815" t="str">
        <x:f>IF(BS19="","",IF(VLOOKUP(BS19,SectInfo!$B:$N,5,FALSE)="","R",UPPER(VLOOKUP(BS19,SectInfo!$B:$N,5,FALSE))))</x:f>
        <x:v/>
      </x:c>
      <x:c r="DH19" s="815" t="str">
        <x:f>IF(BS19="","",IF(ISBLANK(CD19),VLOOKUP(BS19,SectInfo!$B:$N,6,FALSE),CD19))</x:f>
        <x:v/>
      </x:c>
      <x:c r="DI19" s="1286" t="str">
        <x:f>IF(BS19="","",IF(VLOOKUP(BS19,SectInfo!$B:$N,10,FALSE)="","",(IF(CA19="X",VLOOKUP(BS19,SectInfo!$B:$N,10,FALSE),VALUE(CA19))*-1)))</x:f>
        <x:v/>
      </x:c>
      <x:c r="DJ19" s="1122" t="str">
        <x:f>IF(BS19="","",IF(VLOOKUP(BS19,SectInfo!$B:$N,11,FALSE)="","2",(VLOOKUP(BS19,SectInfo!$B:$N,11,FALSE))))</x:f>
        <x:v/>
      </x:c>
      <x:c r="DK19" s="815" t="str">
        <x:f>IF(BS19="","",IF(VLOOKUP(BS19,SectInfo!$B:$N,7,FALSE)="","",(VLOOKUP(BS19,SectInfo!$B:$N,7,FALSE)*-1)))</x:f>
        <x:v/>
      </x:c>
      <x:c r="DL19" s="815" t="str">
        <x:f>IF(BS19="","",IF(VLOOKUP(BS19,SectInfo!$B:$N,8,FALSE)="",VLOOKUP(AU19,$DF$2:$DN$9,6,FALSE),(VLOOKUP(BS19,SectInfo!$B:$N,8,FALSE))))</x:f>
        <x:v/>
      </x:c>
      <x:c r="DM19" s="815" t="str">
        <x:f>IF(BS19="","",VLOOKUP(BS19,SectInfo!$B:$N,9,FALSE))</x:f>
        <x:v/>
      </x:c>
      <x:c r="DN19" s="816">
        <x:f t="shared" si="50"/>
        <x:v>0</x:v>
      </x:c>
      <x:c r="DO19" s="818">
        <x:f t="shared" si="51"/>
        <x:v>0</x:v>
      </x:c>
      <x:c r="DP19" s="822" t="str">
        <x:f t="shared" si="52"/>
        <x:v/>
      </x:c>
      <x:c r="DQ19" s="822" t="str">
        <x:f t="shared" si="53"/>
        <x:v/>
      </x:c>
      <x:c r="DR19" s="822" t="str">
        <x:f t="shared" si="54"/>
        <x:v/>
      </x:c>
      <x:c r="DS19" s="821">
        <x:f t="shared" si="55"/>
        <x:v>0</x:v>
      </x:c>
      <x:c r="DT19" s="821">
        <x:f t="shared" si="56"/>
        <x:v>0</x:v>
      </x:c>
      <x:c r="DU19" s="821" t="str">
        <x:f t="shared" si="57"/>
        <x:v/>
      </x:c>
      <x:c r="DV19" s="822" t="str">
        <x:f t="shared" si="58"/>
        <x:v/>
      </x:c>
      <x:c r="DW19" s="856" t="str">
        <x:f t="shared" si="59"/>
        <x:v/>
      </x:c>
      <x:c r="DX19" s="1006">
        <x:f t="shared" si="60"/>
        <x:v>0</x:v>
      </x:c>
      <x:c r="DY19" s="822">
        <x:f t="shared" si="61"/>
        <x:v>0</x:v>
      </x:c>
      <x:c r="DZ19" s="821">
        <x:f t="shared" si="62"/>
        <x:v>0</x:v>
      </x:c>
      <x:c r="EA19" s="821" t="str">
        <x:f t="shared" si="63"/>
        <x:v/>
      </x:c>
      <x:c r="EB19" s="822" t="str">
        <x:f t="shared" si="64"/>
        <x:v/>
      </x:c>
      <x:c r="EC19" s="856" t="str">
        <x:f t="shared" si="65"/>
        <x:v/>
      </x:c>
      <x:c r="ED19" s="1006">
        <x:f t="shared" si="66"/>
        <x:v>0</x:v>
      </x:c>
      <x:c r="EE19" s="1293" t="str">
        <x:f t="shared" si="67"/>
        <x:v/>
      </x:c>
      <x:c r="EF19" s="1293" t="str">
        <x:f t="shared" si="68"/>
        <x:v/>
      </x:c>
      <x:c r="EG19" s="1293" t="str">
        <x:f t="shared" si="69"/>
        <x:v/>
      </x:c>
      <x:c r="EH19" s="856" t="str">
        <x:f t="shared" si="70"/>
        <x:v>ERR</x:v>
      </x:c>
      <x:c r="EI19" s="856" t="str">
        <x:f t="shared" si="71"/>
        <x:v>ERR</x:v>
      </x:c>
      <x:c r="EJ19" s="822" t="str">
        <x:f t="shared" si="72"/>
        <x:v/>
      </x:c>
      <x:c r="EK19" s="822" t="str">
        <x:f t="shared" si="72"/>
        <x:v/>
      </x:c>
      <x:c r="EL19" s="1293" t="str">
        <x:f t="shared" si="73"/>
        <x:v/>
      </x:c>
      <x:c r="EM19" s="822" t="str">
        <x:f t="shared" si="74"/>
        <x:v/>
      </x:c>
      <x:c r="EN19" s="822" t="str">
        <x:f t="shared" si="75"/>
        <x:v/>
      </x:c>
      <x:c r="EO19" s="856" t="str">
        <x:f t="shared" si="76"/>
        <x:v>ERR</x:v>
      </x:c>
      <x:c r="EP19" s="856" t="str">
        <x:f t="shared" si="77"/>
        <x:v>ERR</x:v>
      </x:c>
      <x:c r="EQ19" s="1293" t="str">
        <x:f t="shared" si="78"/>
        <x:v/>
      </x:c>
      <x:c r="ER19" s="822" t="str">
        <x:f t="shared" si="78"/>
        <x:v/>
      </x:c>
      <x:c r="ES19" s="822" t="str">
        <x:f t="shared" si="79"/>
        <x:v/>
      </x:c>
      <x:c r="ET19" s="822" t="str">
        <x:f t="shared" si="80"/>
        <x:v/>
      </x:c>
      <x:c r="EU19" s="829">
        <x:f t="shared" si="81"/>
        <x:v>4</x:v>
      </x:c>
      <x:c r="EV19" s="824" t="str">
        <x:f t="shared" si="82"/>
        <x:v/>
      </x:c>
      <x:c r="EW19" s="829"/>
      <x:c r="EX19" s="829" t="str">
        <x:f>IF(AND(CU19="G", ISBLANK(BK19), ISBLANK(BL19)),VLOOKUP(MIN(BH19:BI19),TblJoistSize!$M$3:$N$10,2),IF(OR(CU19="B",CU19="G"),MIN(BK19:BL19),""))</x:f>
        <x:v/>
      </x:c>
      <x:c r="EY19" s="829" t="str">
        <x:f>IF(AND(CU19="G", ISBLANK(BK19), ISBLANK(BL19)),VLOOKUP(MAX(BH19:BI19),TblJoistSize!$M$3:$N$10,2),IF(OR(CU19="B",CU19="G"),MAX(BK19:BL19),""))</x:f>
        <x:v/>
      </x:c>
      <x:c r="EZ19" s="829" t="str">
        <x:f t="shared" si="83"/>
        <x:v/>
      </x:c>
      <x:c r="FA19" s="829" t="str">
        <x:f>IF(AND(DE19="G", ISBLANK(BW19), ISBLANK(BX19)),VLOOKUP(MIN(BT19:BU19),TblJoistSize!$M$3:$N$10,2),IF(OR(DE19="B", DE19="G"),MIN(BW19:BX19),""))</x:f>
        <x:v/>
      </x:c>
      <x:c r="FB19" s="829" t="str">
        <x:f>IF(AND(DE19="G", ISBLANK(BW19), ISBLANK(BX19)),VLOOKUP(MAX(BT19:BU19),TblJoistSize!$M$3:$N$10,2),IF(OR(DE19="B", DE19="G"),MAX(BW19:BX19),""))</x:f>
        <x:v/>
      </x:c>
      <x:c r="FC19" s="829" t="str">
        <x:f t="shared" si="84"/>
        <x:v/>
      </x:c>
      <x:c r="FD19" s="821">
        <x:f t="shared" si="107"/>
        <x:v>0</x:v>
      </x:c>
      <x:c r="FE19" s="821">
        <x:f t="shared" si="85"/>
        <x:v>0</x:v>
      </x:c>
      <x:c r="FF19" s="821">
        <x:f t="shared" si="86"/>
        <x:v>0</x:v>
      </x:c>
      <x:c r="FG19" s="821" t="str">
        <x:f t="shared" si="87"/>
        <x:v/>
      </x:c>
      <x:c r="FH19" s="822" t="str">
        <x:f t="shared" si="88"/>
        <x:v/>
      </x:c>
      <x:c r="FI19" s="821">
        <x:f t="shared" si="108"/>
        <x:v>0</x:v>
      </x:c>
      <x:c r="FJ19" s="821">
        <x:f t="shared" si="89"/>
        <x:v>0</x:v>
      </x:c>
      <x:c r="FK19" s="821">
        <x:f t="shared" si="90"/>
        <x:v>0</x:v>
      </x:c>
      <x:c r="FL19" s="821" t="str">
        <x:f t="shared" si="91"/>
        <x:v/>
      </x:c>
      <x:c r="FM19" s="822" t="str">
        <x:f t="shared" si="92"/>
        <x:v/>
      </x:c>
      <x:c r="FN19" s="822" t="e">
        <x:f t="shared" si="93"/>
        <x:v>#VALUE!</x:v>
      </x:c>
      <x:c r="FO19" s="940" t="e">
        <x:f t="shared" si="94"/>
        <x:v>#VALUE!</x:v>
      </x:c>
      <x:c r="FP19" s="940" t="e">
        <x:f t="shared" si="95"/>
        <x:v>#VALUE!</x:v>
      </x:c>
      <x:c r="FQ19" s="830" t="e">
        <x:f t="shared" si="96"/>
        <x:v>#VALUE!</x:v>
      </x:c>
      <x:c r="FR19" s="831" t="e">
        <x:f t="shared" si="97"/>
        <x:v>#VALUE!</x:v>
      </x:c>
      <x:c r="FS19" s="832" t="str">
        <x:f t="shared" si="98"/>
        <x:v/>
      </x:c>
      <x:c r="FT19" s="833" t="str">
        <x:f t="shared" si="99"/>
        <x:v/>
      </x:c>
      <x:c r="FU19" s="870">
        <x:f t="shared" si="100"/>
        <x:v>0</x:v>
      </x:c>
      <x:c r="FV19" s="871">
        <x:f t="shared" si="101"/>
        <x:v>0</x:v>
      </x:c>
      <x:c r="GA19" s="1791">
        <x:v>50</x:v>
      </x:c>
      <x:c r="GB19" s="1792">
        <x:v>0</x:v>
      </x:c>
      <x:c r="GC19" s="1793">
        <x:v>-0.25</x:v>
      </x:c>
      <x:c r="GD19" s="1794">
        <x:v>-0.25</x:v>
      </x:c>
      <x:c r="GE19" s="1795">
        <x:f t="shared" si="102"/>
        <x:v>0</x:v>
      </x:c>
      <x:c r="GF19" s="600" t="str">
        <x:f t="shared" si="103"/>
        <x:v>J70</x:v>
      </x:c>
      <x:c r="GG19" s="1130">
        <x:v>0</x:v>
      </x:c>
      <x:c r="GH19" s="1131">
        <x:v>0</x:v>
      </x:c>
      <x:c r="GI19" s="1130"/>
      <x:c r="GJ19" s="1131"/>
      <x:c r="GK19" s="1638">
        <x:f t="shared" si="104"/>
        <x:v>599.5</x:v>
      </x:c>
      <x:c r="GL19" s="1636">
        <x:f t="shared" si="105"/>
        <x:v>599.5</x:v>
      </x:c>
      <x:c r="GM19" s="1637">
        <x:f>IF(ABS(GK19-GL19)&gt;='Job Info.'!$L$22,ABS(GK19-GL19),0)</x:f>
        <x:v>0</x:v>
      </x:c>
      <x:c r="HA19" s="1269" t="s">
        <x:v>1500</x:v>
      </x:c>
      <x:c r="HB19" s="1270">
        <x:v>2</x:v>
      </x:c>
      <x:c r="HC19" s="1270" t="s">
        <x:v>1592</x:v>
      </x:c>
      <x:c r="HD19" s="1271">
        <x:v>49</x:v>
      </x:c>
      <x:c r="HE19" s="1272">
        <x:v>11.5</x:v>
      </x:c>
      <x:c r="HF19" s="1270" t="s">
        <x:v>116</x:v>
      </x:c>
      <x:c r="HG19" s="1270" t="s">
        <x:v>116</x:v>
      </x:c>
      <x:c r="HH19" s="1270" t="s">
        <x:v>116</x:v>
      </x:c>
      <x:c r="HI19" s="1273" t="s">
        <x:v>116</x:v>
      </x:c>
      <x:c r="HJ19" s="1270" t="s">
        <x:v>116</x:v>
      </x:c>
      <x:c r="HK19" s="1270" t="s">
        <x:v>116</x:v>
      </x:c>
      <x:c r="HL19" s="1270">
        <x:v>5</x:v>
      </x:c>
      <x:c r="HM19" s="1270">
        <x:v>5</x:v>
      </x:c>
      <x:c r="HN19" s="1270" t="s">
        <x:v>116</x:v>
      </x:c>
      <x:c r="HO19" s="1270" t="s">
        <x:v>116</x:v>
      </x:c>
      <x:c r="HP19" s="1270" t="s">
        <x:v>116</x:v>
      </x:c>
      <x:c r="HQ19" s="1273" t="s">
        <x:v>116</x:v>
      </x:c>
      <x:c r="HR19" s="1270" t="s">
        <x:v>116</x:v>
      </x:c>
      <x:c r="HS19" s="1270" t="s">
        <x:v>116</x:v>
      </x:c>
      <x:c r="HT19" s="1270">
        <x:v>0</x:v>
      </x:c>
      <x:c r="HU19" s="1270">
        <x:v>2.25</x:v>
      </x:c>
      <x:c r="HV19" s="1270">
        <x:v>0</x:v>
      </x:c>
      <x:c r="HW19" s="1272">
        <x:v>2.25</x:v>
      </x:c>
      <x:c r="HX19" s="1272">
        <x:v>4</x:v>
      </x:c>
      <x:c r="HY19" s="1272" t="s">
        <x:v>116</x:v>
      </x:c>
      <x:c r="HZ19" s="1272" t="s">
        <x:v>116</x:v>
      </x:c>
      <x:c r="IA19" s="1272" t="s">
        <x:v>1692</x:v>
      </x:c>
      <x:c r="IB19" s="1272"/>
      <x:c r="IC19" s="1272"/>
      <x:c r="ID19" s="1272"/>
      <x:c r="IE19" s="1272"/>
      <x:c r="IF19" s="1274"/>
    </x:row>
    <x:row r="20" spans="1:240" ht="12.6" customHeight="1" x14ac:dyDescent="0.25">
      <x:c r="A20" s="2764" t="s">
        <x:v>1501</x:v>
      </x:c>
      <x:c r="B20" s="2765">
        <x:v>1</x:v>
      </x:c>
      <x:c r="C20" s="2766" t="s">
        <x:v>1592</x:v>
      </x:c>
      <x:c r="D20" s="2767">
        <x:v>49</x:v>
      </x:c>
      <x:c r="E20" s="2768">
        <x:v>11.5</x:v>
      </x:c>
      <x:c r="F20" s="2776" t="str">
        <x:f t="shared" si="1"/>
        <x:v/>
      </x:c>
      <x:c r="G20" s="2771" t="str">
        <x:f t="shared" si="2"/>
        <x:v/>
      </x:c>
      <x:c r="H20" s="2842" t="str">
        <x:f t="shared" si="3"/>
        <x:v/>
      </x:c>
      <x:c r="I20" s="2767" t="str">
        <x:f t="shared" si="4"/>
        <x:v/>
      </x:c>
      <x:c r="J20" s="2771" t="str">
        <x:f t="shared" si="5"/>
        <x:v/>
      </x:c>
      <x:c r="K20" s="2855" t="str">
        <x:f t="shared" si="6"/>
        <x:v/>
      </x:c>
      <x:c r="L20" s="2774">
        <x:v>5</x:v>
      </x:c>
      <x:c r="M20" s="2775">
        <x:v>5</x:v>
      </x:c>
      <x:c r="N20" s="2770" t="str">
        <x:f t="shared" si="7"/>
        <x:v/>
      </x:c>
      <x:c r="O20" s="2771" t="str">
        <x:f t="shared" si="8"/>
        <x:v/>
      </x:c>
      <x:c r="P20" s="2772" t="str">
        <x:f t="shared" si="9"/>
        <x:v/>
      </x:c>
      <x:c r="Q20" s="2767" t="str">
        <x:f t="shared" si="10"/>
        <x:v/>
      </x:c>
      <x:c r="R20" s="2771" t="str">
        <x:f t="shared" si="11"/>
        <x:v/>
      </x:c>
      <x:c r="S20" s="2773" t="str">
        <x:f t="shared" si="12"/>
        <x:v/>
      </x:c>
      <x:c r="T20" s="2776">
        <x:v>0</x:v>
      </x:c>
      <x:c r="U20" s="2771">
        <x:v>2.25</x:v>
      </x:c>
      <x:c r="V20" s="2767">
        <x:v>0</x:v>
      </x:c>
      <x:c r="W20" s="2771">
        <x:v>2.25</x:v>
      </x:c>
      <x:c r="X20" s="2775">
        <x:v>4</x:v>
      </x:c>
      <x:c r="Y20" s="2844" t="str">
        <x:f t="shared" si="13"/>
        <x:v/>
      </x:c>
      <x:c r="Z20" s="2845" t="str">
        <x:f t="shared" si="14"/>
        <x:v/>
      </x:c>
      <x:c r="AA20" s="2846" t="s">
        <x:v>1693</x:v>
      </x:c>
      <x:c r="AB20" s="1413"/>
      <x:c r="AC20" s="964" t="b">
        <x:v>0</x:v>
      </x:c>
      <x:c r="AD20" s="441">
        <x:f t="shared" si="15"/>
        <x:v>0</x:v>
      </x:c>
      <x:c r="AE20" s="442">
        <x:f t="shared" si="16"/>
        <x:v>1</x:v>
      </x:c>
      <x:c r="AF20" s="442">
        <x:f t="shared" si="17"/>
        <x:v>0</x:v>
      </x:c>
      <x:c r="AG20" s="442">
        <x:f t="shared" si="18"/>
        <x:v>0</x:v>
      </x:c>
      <x:c r="AH20" s="443">
        <x:f t="shared" si="19"/>
        <x:v>0</x:v>
      </x:c>
      <x:c r="AI20" s="444" t="b">
        <x:v>0</x:v>
      </x:c>
      <x:c r="AJ20" s="238">
        <x:f t="shared" si="20"/>
        <x:v>32</x:v>
      </x:c>
      <x:c r="AK20" s="830" t="str">
        <x:f t="shared" si="21"/>
        <x:v>LH</x:v>
      </x:c>
      <x:c r="AL20" s="945" t="str">
        <x:f t="shared" si="22"/>
        <x:v/>
      </x:c>
      <x:c r="AM20" s="830">
        <x:f t="shared" si="23"/>
        <x:v>305</x:v>
      </x:c>
      <x:c r="AN20" s="830">
        <x:f t="shared" si="24"/>
        <x:v>180</x:v>
      </x:c>
      <x:c r="AO20" s="830" t="str">
        <x:f t="shared" si="25"/>
        <x:v/>
      </x:c>
      <x:c r="AP20" s="830" t="b">
        <x:f>IF(ISERROR(AJ20),FALSE,IF(OR(AJ20=0,ISERROR(AL20),ISERROR(AM20),ISERROR(AN20),ISERROR(AO20)),FALSE,IF(AL20&lt;&gt;"",IF(ISERROR(VLOOKUP(SUBSTITUTE(SUBSTITUTE(C20,"R",""),"A",""),TblJoistSize!$A:$A,1,FALSE)),FALSE,TRUE),TRUE)))</x:f>
        <x:v>1</x:v>
      </x:c>
      <x:c r="AQ20" s="1038">
        <x:f t="shared" si="26"/>
        <x:v>6</x:v>
      </x:c>
      <x:c r="AR20" s="945" t="b">
        <x:f t="shared" si="27"/>
        <x:v>1</x:v>
      </x:c>
      <x:c r="AS20" s="1038">
        <x:f t="shared" si="28"/>
        <x:v>6</x:v>
      </x:c>
      <x:c r="AT20" s="945" t="b">
        <x:f t="shared" si="29"/>
        <x:v>1</x:v>
      </x:c>
      <x:c r="AU20" s="946" t="str">
        <x:f t="shared" si="30"/>
        <x:v>LH</x:v>
      </x:c>
      <x:c r="AV20" s="830" t="str">
        <x:f t="shared" si="31"/>
        <x:v/>
      </x:c>
      <x:c r="AW20" s="830" t="str">
        <x:f t="shared" si="32"/>
        <x:v>LH</x:v>
      </x:c>
      <x:c r="AX20" s="830" t="str">
        <x:f t="shared" si="106"/>
        <x:v>J71</x:v>
      </x:c>
      <x:c r="AY20" s="1039" t="b">
        <x:f t="shared" si="33"/>
        <x:v>0</x:v>
      </x:c>
      <x:c r="AZ20" s="856" t="b">
        <x:f t="shared" si="34"/>
        <x:v>0</x:v>
      </x:c>
      <x:c r="BA20" s="549"/>
      <x:c r="BB20" s="672"/>
      <x:c r="BC20" s="1684"/>
      <x:c r="BD20" s="733"/>
      <x:c r="BE20" s="734"/>
      <x:c r="BF20" s="735"/>
      <x:c r="BG20" s="672"/>
      <x:c r="BH20" s="982"/>
      <x:c r="BI20" s="983"/>
      <x:c r="BJ20" s="1625"/>
      <x:c r="BK20" s="713"/>
      <x:c r="BL20" s="714"/>
      <x:c r="BM20" s="715"/>
      <x:c r="BN20" s="716"/>
      <x:c r="BO20" s="672" t="str">
        <x:f>IF(ISERROR(CU20),"",IF(CU20="","",IF(VLOOKUP(BG20,SectInfo!$B:$N,10,FALSE)="","","X")))</x:f>
        <x:v/>
      </x:c>
      <x:c r="BP20" s="738"/>
      <x:c r="BQ20" s="1551" t="str">
        <x:f t="shared" si="35"/>
        <x:v/>
      </x:c>
      <x:c r="BR20" s="910"/>
      <x:c r="BS20" s="672"/>
      <x:c r="BT20" s="713"/>
      <x:c r="BU20" s="714"/>
      <x:c r="BV20" s="1625"/>
      <x:c r="BW20" s="713"/>
      <x:c r="BX20" s="714"/>
      <x:c r="BY20" s="715"/>
      <x:c r="BZ20" s="716"/>
      <x:c r="CA20" s="680" t="str">
        <x:f>IF(ISERROR(DE20),"",IF(DE20="","",IF(VLOOKUP(BS20,SectInfo!$B:$N,10,FALSE)="","","X")))</x:f>
        <x:v/>
      </x:c>
      <x:c r="CB20" s="738"/>
      <x:c r="CC20" s="1551" t="str">
        <x:f t="shared" si="36"/>
        <x:v/>
      </x:c>
      <x:c r="CD20" s="910"/>
      <x:c r="CE20" s="717"/>
      <x:c r="CF20" s="736"/>
      <x:c r="CG20" s="737"/>
      <x:c r="CH20" s="591" t="str">
        <x:f t="shared" si="37"/>
        <x:v/>
      </x:c>
      <x:c r="CI20" s="592" t="str">
        <x:f t="shared" si="38"/>
        <x:v/>
      </x:c>
      <x:c r="CJ20" s="593" t="str">
        <x:f t="shared" si="39"/>
        <x:v/>
      </x:c>
      <x:c r="CK20" s="594" t="str">
        <x:f t="shared" si="40"/>
        <x:v/>
      </x:c>
      <x:c r="CL20" s="595" t="str">
        <x:f t="shared" si="41"/>
        <x:v/>
      </x:c>
      <x:c r="CM20" s="596" t="str">
        <x:f t="shared" si="42"/>
        <x:v/>
      </x:c>
      <x:c r="CN20" s="597" t="str">
        <x:f t="shared" si="43"/>
        <x:v/>
      </x:c>
      <x:c r="CO20" s="598" t="str">
        <x:f t="shared" si="44"/>
        <x:v/>
      </x:c>
      <x:c r="CP20" s="615" t="str">
        <x:f t="shared" si="45"/>
        <x:v/>
      </x:c>
      <x:c r="CQ20" s="616" t="str">
        <x:f t="shared" si="46"/>
        <x:v/>
      </x:c>
      <x:c r="CR20" s="750">
        <x:f t="shared" si="47"/>
        <x:v>5</x:v>
      </x:c>
      <x:c r="CS20" s="751">
        <x:f t="shared" si="48"/>
        <x:v>5</x:v>
      </x:c>
      <x:c r="CU20" s="817" t="str">
        <x:f>IF(BG20="","",VLOOKUP(BG20,SectInfo!$B:$N,12,FALSE))</x:f>
        <x:v/>
      </x:c>
      <x:c r="CV20" s="815" t="str">
        <x:f>IF(BG20="","",IF(ISBLANK(BP20),VLOOKUP(BG20,SectInfo!$B:$N,13,FALSE),BP20))</x:f>
        <x:v/>
      </x:c>
      <x:c r="CW20" s="815" t="str">
        <x:f>IF(BG20="","",IF(VLOOKUP(BG20,SectInfo!$B:$N,5,FALSE)="","R",UPPER(VLOOKUP(BG20,SectInfo!$B:$N,5,FALSE))))</x:f>
        <x:v/>
      </x:c>
      <x:c r="CX20" s="815" t="str">
        <x:f>IF(BG20="","",IF(ISBLANK(BR20),VLOOKUP(BG20,SectInfo!$B:$N,6,FALSE),BR20))</x:f>
        <x:v/>
      </x:c>
      <x:c r="CY20" s="1286" t="str">
        <x:f>IF(BG20="","",IF(VLOOKUP(BG20,SectInfo!$B:$N,10,FALSE)="","",(IF(BO20="X",VLOOKUP(BG20,SectInfo!$B:$N,10,FALSE),VALUE(BO20))*-1)))</x:f>
        <x:v/>
      </x:c>
      <x:c r="CZ20" s="1122" t="str">
        <x:f>IF(BG20="","",IF(VLOOKUP(BG20,SectInfo!$B:$N,11,FALSE)="","2",(VLOOKUP(BG20,SectInfo!$B:$N,11,FALSE))))</x:f>
        <x:v/>
      </x:c>
      <x:c r="DA20" s="815" t="str">
        <x:f>IF(BG20="","",IF(VLOOKUP(BG20,SectInfo!$B:$N,7,FALSE)="","",(VLOOKUP(BG20,SectInfo!$B:$N,7,FALSE)*-1)))</x:f>
        <x:v/>
      </x:c>
      <x:c r="DB20" s="815" t="str">
        <x:f>IF(BG20="","",IF(VLOOKUP(BG20,SectInfo!$B:$N,8,FALSE)="",VLOOKUP(AU20,$DF$2:$DN$9,6,FALSE),(VLOOKUP(BG20,SectInfo!$B:$N,8,FALSE))))</x:f>
        <x:v/>
      </x:c>
      <x:c r="DC20" s="815" t="str">
        <x:f>IF(BG20="","",VLOOKUP(BG20,SectInfo!$B:$N,9,FALSE))</x:f>
        <x:v/>
      </x:c>
      <x:c r="DD20" s="816">
        <x:f t="shared" si="49"/>
        <x:v>0</x:v>
      </x:c>
      <x:c r="DE20" s="817" t="str">
        <x:f>IF(BS20="","",VLOOKUP(BS20,SectInfo!$B:$N,12,FALSE))</x:f>
        <x:v/>
      </x:c>
      <x:c r="DF20" s="815" t="str">
        <x:f>IF(BS20="","",IF(ISBLANK(CB20),VLOOKUP(BS20,SectInfo!$B:$N,13,FALSE),CB20))</x:f>
        <x:v/>
      </x:c>
      <x:c r="DG20" s="815" t="str">
        <x:f>IF(BS20="","",IF(VLOOKUP(BS20,SectInfo!$B:$N,5,FALSE)="","R",UPPER(VLOOKUP(BS20,SectInfo!$B:$N,5,FALSE))))</x:f>
        <x:v/>
      </x:c>
      <x:c r="DH20" s="815" t="str">
        <x:f>IF(BS20="","",IF(ISBLANK(CD20),VLOOKUP(BS20,SectInfo!$B:$N,6,FALSE),CD20))</x:f>
        <x:v/>
      </x:c>
      <x:c r="DI20" s="1286" t="str">
        <x:f>IF(BS20="","",IF(VLOOKUP(BS20,SectInfo!$B:$N,10,FALSE)="","",(IF(CA20="X",VLOOKUP(BS20,SectInfo!$B:$N,10,FALSE),VALUE(CA20))*-1)))</x:f>
        <x:v/>
      </x:c>
      <x:c r="DJ20" s="1122" t="str">
        <x:f>IF(BS20="","",IF(VLOOKUP(BS20,SectInfo!$B:$N,11,FALSE)="","2",(VLOOKUP(BS20,SectInfo!$B:$N,11,FALSE))))</x:f>
        <x:v/>
      </x:c>
      <x:c r="DK20" s="815" t="str">
        <x:f>IF(BS20="","",IF(VLOOKUP(BS20,SectInfo!$B:$N,7,FALSE)="","",(VLOOKUP(BS20,SectInfo!$B:$N,7,FALSE)*-1)))</x:f>
        <x:v/>
      </x:c>
      <x:c r="DL20" s="815" t="str">
        <x:f>IF(BS20="","",IF(VLOOKUP(BS20,SectInfo!$B:$N,8,FALSE)="",VLOOKUP(AU20,$DF$2:$DN$9,6,FALSE),(VLOOKUP(BS20,SectInfo!$B:$N,8,FALSE))))</x:f>
        <x:v/>
      </x:c>
      <x:c r="DM20" s="815" t="str">
        <x:f>IF(BS20="","",VLOOKUP(BS20,SectInfo!$B:$N,9,FALSE))</x:f>
        <x:v/>
      </x:c>
      <x:c r="DN20" s="816">
        <x:f t="shared" si="50"/>
        <x:v>0</x:v>
      </x:c>
      <x:c r="DO20" s="818">
        <x:f t="shared" si="51"/>
        <x:v>0</x:v>
      </x:c>
      <x:c r="DP20" s="822" t="str">
        <x:f t="shared" si="52"/>
        <x:v/>
      </x:c>
      <x:c r="DQ20" s="822" t="str">
        <x:f t="shared" si="53"/>
        <x:v/>
      </x:c>
      <x:c r="DR20" s="822" t="str">
        <x:f t="shared" si="54"/>
        <x:v/>
      </x:c>
      <x:c r="DS20" s="821">
        <x:f t="shared" si="55"/>
        <x:v>0</x:v>
      </x:c>
      <x:c r="DT20" s="821">
        <x:f t="shared" si="56"/>
        <x:v>0</x:v>
      </x:c>
      <x:c r="DU20" s="821" t="str">
        <x:f t="shared" si="57"/>
        <x:v/>
      </x:c>
      <x:c r="DV20" s="822" t="str">
        <x:f t="shared" si="58"/>
        <x:v/>
      </x:c>
      <x:c r="DW20" s="856" t="str">
        <x:f t="shared" si="59"/>
        <x:v/>
      </x:c>
      <x:c r="DX20" s="1006">
        <x:f t="shared" si="60"/>
        <x:v>0</x:v>
      </x:c>
      <x:c r="DY20" s="822">
        <x:f t="shared" si="61"/>
        <x:v>0</x:v>
      </x:c>
      <x:c r="DZ20" s="821">
        <x:f t="shared" si="62"/>
        <x:v>0</x:v>
      </x:c>
      <x:c r="EA20" s="821" t="str">
        <x:f t="shared" si="63"/>
        <x:v/>
      </x:c>
      <x:c r="EB20" s="822" t="str">
        <x:f t="shared" si="64"/>
        <x:v/>
      </x:c>
      <x:c r="EC20" s="856" t="str">
        <x:f t="shared" si="65"/>
        <x:v/>
      </x:c>
      <x:c r="ED20" s="1006">
        <x:f t="shared" si="66"/>
        <x:v>0</x:v>
      </x:c>
      <x:c r="EE20" s="1293" t="str">
        <x:f t="shared" si="67"/>
        <x:v/>
      </x:c>
      <x:c r="EF20" s="1293" t="str">
        <x:f t="shared" si="68"/>
        <x:v/>
      </x:c>
      <x:c r="EG20" s="1293" t="str">
        <x:f t="shared" si="69"/>
        <x:v/>
      </x:c>
      <x:c r="EH20" s="856" t="str">
        <x:f t="shared" si="70"/>
        <x:v>ERR</x:v>
      </x:c>
      <x:c r="EI20" s="856" t="str">
        <x:f t="shared" si="71"/>
        <x:v>ERR</x:v>
      </x:c>
      <x:c r="EJ20" s="822" t="str">
        <x:f t="shared" si="72"/>
        <x:v/>
      </x:c>
      <x:c r="EK20" s="822" t="str">
        <x:f t="shared" si="72"/>
        <x:v/>
      </x:c>
      <x:c r="EL20" s="1293" t="str">
        <x:f t="shared" si="73"/>
        <x:v/>
      </x:c>
      <x:c r="EM20" s="822" t="str">
        <x:f t="shared" si="74"/>
        <x:v/>
      </x:c>
      <x:c r="EN20" s="822" t="str">
        <x:f t="shared" si="75"/>
        <x:v/>
      </x:c>
      <x:c r="EO20" s="856" t="str">
        <x:f t="shared" si="76"/>
        <x:v>ERR</x:v>
      </x:c>
      <x:c r="EP20" s="856" t="str">
        <x:f t="shared" si="77"/>
        <x:v>ERR</x:v>
      </x:c>
      <x:c r="EQ20" s="1293" t="str">
        <x:f t="shared" si="78"/>
        <x:v/>
      </x:c>
      <x:c r="ER20" s="822" t="str">
        <x:f t="shared" si="78"/>
        <x:v/>
      </x:c>
      <x:c r="ES20" s="822" t="str">
        <x:f t="shared" si="79"/>
        <x:v/>
      </x:c>
      <x:c r="ET20" s="822" t="str">
        <x:f t="shared" si="80"/>
        <x:v/>
      </x:c>
      <x:c r="EU20" s="829">
        <x:f t="shared" si="81"/>
        <x:v>4</x:v>
      </x:c>
      <x:c r="EV20" s="824" t="str">
        <x:f t="shared" si="82"/>
        <x:v/>
      </x:c>
      <x:c r="EW20" s="829"/>
      <x:c r="EX20" s="829" t="str">
        <x:f>IF(AND(CU20="G", ISBLANK(BK20), ISBLANK(BL20)),VLOOKUP(MIN(BH20:BI20),TblJoistSize!$M$3:$N$10,2),IF(OR(CU20="B",CU20="G"),MIN(BK20:BL20),""))</x:f>
        <x:v/>
      </x:c>
      <x:c r="EY20" s="829" t="str">
        <x:f>IF(AND(CU20="G", ISBLANK(BK20), ISBLANK(BL20)),VLOOKUP(MAX(BH20:BI20),TblJoistSize!$M$3:$N$10,2),IF(OR(CU20="B",CU20="G"),MAX(BK20:BL20),""))</x:f>
        <x:v/>
      </x:c>
      <x:c r="EZ20" s="829" t="str">
        <x:f t="shared" si="83"/>
        <x:v/>
      </x:c>
      <x:c r="FA20" s="829" t="str">
        <x:f>IF(AND(DE20="G", ISBLANK(BW20), ISBLANK(BX20)),VLOOKUP(MIN(BT20:BU20),TblJoistSize!$M$3:$N$10,2),IF(OR(DE20="B", DE20="G"),MIN(BW20:BX20),""))</x:f>
        <x:v/>
      </x:c>
      <x:c r="FB20" s="829" t="str">
        <x:f>IF(AND(DE20="G", ISBLANK(BW20), ISBLANK(BX20)),VLOOKUP(MAX(BT20:BU20),TblJoistSize!$M$3:$N$10,2),IF(OR(DE20="B", DE20="G"),MAX(BW20:BX20),""))</x:f>
        <x:v/>
      </x:c>
      <x:c r="FC20" s="829" t="str">
        <x:f t="shared" si="84"/>
        <x:v/>
      </x:c>
      <x:c r="FD20" s="821">
        <x:f t="shared" si="107"/>
        <x:v>0</x:v>
      </x:c>
      <x:c r="FE20" s="821">
        <x:f t="shared" si="85"/>
        <x:v>0</x:v>
      </x:c>
      <x:c r="FF20" s="821">
        <x:f t="shared" si="86"/>
        <x:v>0</x:v>
      </x:c>
      <x:c r="FG20" s="821" t="str">
        <x:f t="shared" si="87"/>
        <x:v/>
      </x:c>
      <x:c r="FH20" s="822" t="str">
        <x:f t="shared" si="88"/>
        <x:v/>
      </x:c>
      <x:c r="FI20" s="821">
        <x:f t="shared" si="108"/>
        <x:v>0</x:v>
      </x:c>
      <x:c r="FJ20" s="821">
        <x:f t="shared" si="89"/>
        <x:v>0</x:v>
      </x:c>
      <x:c r="FK20" s="821">
        <x:f t="shared" si="90"/>
        <x:v>0</x:v>
      </x:c>
      <x:c r="FL20" s="821" t="str">
        <x:f t="shared" si="91"/>
        <x:v/>
      </x:c>
      <x:c r="FM20" s="822" t="str">
        <x:f t="shared" si="92"/>
        <x:v/>
      </x:c>
      <x:c r="FN20" s="822" t="e">
        <x:f t="shared" si="93"/>
        <x:v>#VALUE!</x:v>
      </x:c>
      <x:c r="FO20" s="940" t="e">
        <x:f t="shared" si="94"/>
        <x:v>#VALUE!</x:v>
      </x:c>
      <x:c r="FP20" s="940" t="e">
        <x:f t="shared" si="95"/>
        <x:v>#VALUE!</x:v>
      </x:c>
      <x:c r="FQ20" s="830" t="e">
        <x:f t="shared" si="96"/>
        <x:v>#VALUE!</x:v>
      </x:c>
      <x:c r="FR20" s="831" t="e">
        <x:f t="shared" si="97"/>
        <x:v>#VALUE!</x:v>
      </x:c>
      <x:c r="FS20" s="832" t="str">
        <x:f t="shared" si="98"/>
        <x:v/>
      </x:c>
      <x:c r="FT20" s="833" t="str">
        <x:f t="shared" si="99"/>
        <x:v/>
      </x:c>
      <x:c r="FU20" s="870">
        <x:f t="shared" si="100"/>
        <x:v>0</x:v>
      </x:c>
      <x:c r="FV20" s="871">
        <x:f t="shared" si="101"/>
        <x:v>0</x:v>
      </x:c>
      <x:c r="GA20" s="1791">
        <x:v>50</x:v>
      </x:c>
      <x:c r="GB20" s="1792">
        <x:v>0</x:v>
      </x:c>
      <x:c r="GC20" s="1793">
        <x:v>-0.25</x:v>
      </x:c>
      <x:c r="GD20" s="1794">
        <x:v>-0.25</x:v>
      </x:c>
      <x:c r="GE20" s="1795">
        <x:f t="shared" si="102"/>
        <x:v>0</x:v>
      </x:c>
      <x:c r="GF20" s="600" t="str">
        <x:f t="shared" si="103"/>
        <x:v>J71</x:v>
      </x:c>
      <x:c r="GG20" s="1130">
        <x:v>0</x:v>
      </x:c>
      <x:c r="GH20" s="1131">
        <x:v>0</x:v>
      </x:c>
      <x:c r="GI20" s="1130"/>
      <x:c r="GJ20" s="1131"/>
      <x:c r="GK20" s="1638">
        <x:f t="shared" si="104"/>
        <x:v>599.5</x:v>
      </x:c>
      <x:c r="GL20" s="1636">
        <x:f t="shared" si="105"/>
        <x:v>599.5</x:v>
      </x:c>
      <x:c r="GM20" s="1637">
        <x:f>IF(ABS(GK20-GL20)&gt;='Job Info.'!$L$22,ABS(GK20-GL20),0)</x:f>
        <x:v>0</x:v>
      </x:c>
      <x:c r="HA20" s="1269" t="s">
        <x:v>1501</x:v>
      </x:c>
      <x:c r="HB20" s="1270">
        <x:v>1</x:v>
      </x:c>
      <x:c r="HC20" s="1270" t="s">
        <x:v>1592</x:v>
      </x:c>
      <x:c r="HD20" s="1271">
        <x:v>49</x:v>
      </x:c>
      <x:c r="HE20" s="1272">
        <x:v>11.5</x:v>
      </x:c>
      <x:c r="HF20" s="1270" t="s">
        <x:v>116</x:v>
      </x:c>
      <x:c r="HG20" s="1270" t="s">
        <x:v>116</x:v>
      </x:c>
      <x:c r="HH20" s="1270" t="s">
        <x:v>116</x:v>
      </x:c>
      <x:c r="HI20" s="1273" t="s">
        <x:v>116</x:v>
      </x:c>
      <x:c r="HJ20" s="1270" t="s">
        <x:v>116</x:v>
      </x:c>
      <x:c r="HK20" s="1270" t="s">
        <x:v>116</x:v>
      </x:c>
      <x:c r="HL20" s="1270">
        <x:v>5</x:v>
      </x:c>
      <x:c r="HM20" s="1270">
        <x:v>5</x:v>
      </x:c>
      <x:c r="HN20" s="1270" t="s">
        <x:v>116</x:v>
      </x:c>
      <x:c r="HO20" s="1270" t="s">
        <x:v>116</x:v>
      </x:c>
      <x:c r="HP20" s="1270" t="s">
        <x:v>116</x:v>
      </x:c>
      <x:c r="HQ20" s="1273" t="s">
        <x:v>116</x:v>
      </x:c>
      <x:c r="HR20" s="1270" t="s">
        <x:v>116</x:v>
      </x:c>
      <x:c r="HS20" s="1270" t="s">
        <x:v>116</x:v>
      </x:c>
      <x:c r="HT20" s="1270">
        <x:v>0</x:v>
      </x:c>
      <x:c r="HU20" s="1270">
        <x:v>2.25</x:v>
      </x:c>
      <x:c r="HV20" s="1270">
        <x:v>0</x:v>
      </x:c>
      <x:c r="HW20" s="1272">
        <x:v>2.25</x:v>
      </x:c>
      <x:c r="HX20" s="1272">
        <x:v>4</x:v>
      </x:c>
      <x:c r="HY20" s="1272" t="s">
        <x:v>116</x:v>
      </x:c>
      <x:c r="HZ20" s="1272" t="s">
        <x:v>116</x:v>
      </x:c>
      <x:c r="IA20" s="1272" t="s">
        <x:v>1693</x:v>
      </x:c>
      <x:c r="IB20" s="1272"/>
      <x:c r="IC20" s="1272"/>
      <x:c r="ID20" s="1272"/>
      <x:c r="IE20" s="1272"/>
      <x:c r="IF20" s="1274"/>
    </x:row>
    <x:row r="21" spans="1:240" ht="12.6" customHeight="1" x14ac:dyDescent="0.25">
      <x:c r="A21" s="2764" t="s">
        <x:v>1502</x:v>
      </x:c>
      <x:c r="B21" s="2765">
        <x:v>2</x:v>
      </x:c>
      <x:c r="C21" s="2766" t="s">
        <x:v>1593</x:v>
      </x:c>
      <x:c r="D21" s="2767">
        <x:v>69</x:v>
      </x:c>
      <x:c r="E21" s="2768">
        <x:v>1.5</x:v>
      </x:c>
      <x:c r="F21" s="2776" t="str">
        <x:f t="shared" si="1"/>
        <x:v/>
      </x:c>
      <x:c r="G21" s="2771" t="str">
        <x:f t="shared" si="2"/>
        <x:v/>
      </x:c>
      <x:c r="H21" s="2842" t="str">
        <x:f t="shared" si="3"/>
        <x:v/>
      </x:c>
      <x:c r="I21" s="2767" t="str">
        <x:f t="shared" si="4"/>
        <x:v/>
      </x:c>
      <x:c r="J21" s="2771" t="str">
        <x:f t="shared" si="5"/>
        <x:v/>
      </x:c>
      <x:c r="K21" s="2855" t="str">
        <x:f t="shared" si="6"/>
        <x:v/>
      </x:c>
      <x:c r="L21" s="2774">
        <x:v>5</x:v>
      </x:c>
      <x:c r="M21" s="2775">
        <x:v>5</x:v>
      </x:c>
      <x:c r="N21" s="2770" t="str">
        <x:f t="shared" si="7"/>
        <x:v/>
      </x:c>
      <x:c r="O21" s="2771" t="str">
        <x:f t="shared" si="8"/>
        <x:v/>
      </x:c>
      <x:c r="P21" s="2772" t="str">
        <x:f t="shared" si="9"/>
        <x:v/>
      </x:c>
      <x:c r="Q21" s="2767" t="str">
        <x:f t="shared" si="10"/>
        <x:v/>
      </x:c>
      <x:c r="R21" s="2771" t="str">
        <x:f t="shared" si="11"/>
        <x:v/>
      </x:c>
      <x:c r="S21" s="2773" t="str">
        <x:f t="shared" si="12"/>
        <x:v/>
      </x:c>
      <x:c r="T21" s="2776">
        <x:v>0</x:v>
      </x:c>
      <x:c r="U21" s="2771">
        <x:v>2.25</x:v>
      </x:c>
      <x:c r="V21" s="2767">
        <x:v>0</x:v>
      </x:c>
      <x:c r="W21" s="2771">
        <x:v>2</x:v>
      </x:c>
      <x:c r="X21" s="2775">
        <x:v>4</x:v>
      </x:c>
      <x:c r="Y21" s="2844" t="str">
        <x:f t="shared" si="13"/>
        <x:v/>
      </x:c>
      <x:c r="Z21" s="2845" t="str">
        <x:f t="shared" si="14"/>
        <x:v/>
      </x:c>
      <x:c r="AA21" s="2846" t="s">
        <x:v>1694</x:v>
      </x:c>
      <x:c r="AB21" s="1413"/>
      <x:c r="AC21" s="964" t="b">
        <x:v>0</x:v>
      </x:c>
      <x:c r="AD21" s="441">
        <x:f t="shared" si="15"/>
        <x:v>0</x:v>
      </x:c>
      <x:c r="AE21" s="442">
        <x:f t="shared" si="16"/>
        <x:v>2</x:v>
      </x:c>
      <x:c r="AF21" s="442">
        <x:f t="shared" si="17"/>
        <x:v>0</x:v>
      </x:c>
      <x:c r="AG21" s="442">
        <x:f t="shared" si="18"/>
        <x:v>0</x:v>
      </x:c>
      <x:c r="AH21" s="443">
        <x:f t="shared" si="19"/>
        <x:v>0</x:v>
      </x:c>
      <x:c r="AI21" s="444" t="b">
        <x:v>0</x:v>
      </x:c>
      <x:c r="AJ21" s="238">
        <x:f t="shared" si="20"/>
        <x:v>44</x:v>
      </x:c>
      <x:c r="AK21" s="830" t="str">
        <x:f t="shared" si="21"/>
        <x:v>LH</x:v>
      </x:c>
      <x:c r="AL21" s="945" t="str">
        <x:f t="shared" si="22"/>
        <x:v/>
      </x:c>
      <x:c r="AM21" s="830">
        <x:f t="shared" si="23"/>
        <x:v>305</x:v>
      </x:c>
      <x:c r="AN21" s="830">
        <x:f t="shared" si="24"/>
        <x:v>180</x:v>
      </x:c>
      <x:c r="AO21" s="830" t="str">
        <x:f t="shared" si="25"/>
        <x:v/>
      </x:c>
      <x:c r="AP21" s="830" t="b">
        <x:f>IF(ISERROR(AJ21),FALSE,IF(OR(AJ21=0,ISERROR(AL21),ISERROR(AM21),ISERROR(AN21),ISERROR(AO21)),FALSE,IF(AL21&lt;&gt;"",IF(ISERROR(VLOOKUP(SUBSTITUTE(SUBSTITUTE(C21,"R",""),"A",""),TblJoistSize!$A:$A,1,FALSE)),FALSE,TRUE),TRUE)))</x:f>
        <x:v>1</x:v>
      </x:c>
      <x:c r="AQ21" s="1038">
        <x:f t="shared" si="26"/>
        <x:v>6</x:v>
      </x:c>
      <x:c r="AR21" s="945" t="b">
        <x:f t="shared" si="27"/>
        <x:v>1</x:v>
      </x:c>
      <x:c r="AS21" s="1038">
        <x:f t="shared" si="28"/>
        <x:v>6</x:v>
      </x:c>
      <x:c r="AT21" s="945" t="b">
        <x:f t="shared" si="29"/>
        <x:v>1</x:v>
      </x:c>
      <x:c r="AU21" s="946" t="str">
        <x:f t="shared" si="30"/>
        <x:v>LH</x:v>
      </x:c>
      <x:c r="AV21" s="830" t="str">
        <x:f t="shared" si="31"/>
        <x:v/>
      </x:c>
      <x:c r="AW21" s="830" t="str">
        <x:f t="shared" si="32"/>
        <x:v>LH</x:v>
      </x:c>
      <x:c r="AX21" s="830" t="str">
        <x:f t="shared" si="106"/>
        <x:v>J72</x:v>
      </x:c>
      <x:c r="AY21" s="1039" t="b">
        <x:f t="shared" si="33"/>
        <x:v>0</x:v>
      </x:c>
      <x:c r="AZ21" s="856" t="b">
        <x:f t="shared" si="34"/>
        <x:v>0</x:v>
      </x:c>
      <x:c r="BA21" s="549"/>
      <x:c r="BB21" s="672"/>
      <x:c r="BC21" s="1684"/>
      <x:c r="BD21" s="733"/>
      <x:c r="BE21" s="734"/>
      <x:c r="BF21" s="735"/>
      <x:c r="BG21" s="672"/>
      <x:c r="BH21" s="982"/>
      <x:c r="BI21" s="983"/>
      <x:c r="BJ21" s="1625"/>
      <x:c r="BK21" s="713"/>
      <x:c r="BL21" s="714"/>
      <x:c r="BM21" s="715"/>
      <x:c r="BN21" s="716"/>
      <x:c r="BO21" s="672" t="str">
        <x:f>IF(ISERROR(CU21),"",IF(CU21="","",IF(VLOOKUP(BG21,SectInfo!$B:$N,10,FALSE)="","","X")))</x:f>
        <x:v/>
      </x:c>
      <x:c r="BP21" s="738"/>
      <x:c r="BQ21" s="1551" t="str">
        <x:f t="shared" si="35"/>
        <x:v/>
      </x:c>
      <x:c r="BR21" s="910"/>
      <x:c r="BS21" s="672"/>
      <x:c r="BT21" s="713"/>
      <x:c r="BU21" s="714"/>
      <x:c r="BV21" s="1625"/>
      <x:c r="BW21" s="713"/>
      <x:c r="BX21" s="714"/>
      <x:c r="BY21" s="715"/>
      <x:c r="BZ21" s="716"/>
      <x:c r="CA21" s="680" t="str">
        <x:f>IF(ISERROR(DE21),"",IF(DE21="","",IF(VLOOKUP(BS21,SectInfo!$B:$N,10,FALSE)="","","X")))</x:f>
        <x:v/>
      </x:c>
      <x:c r="CB21" s="738"/>
      <x:c r="CC21" s="1551" t="str">
        <x:f t="shared" si="36"/>
        <x:v/>
      </x:c>
      <x:c r="CD21" s="910"/>
      <x:c r="CE21" s="717"/>
      <x:c r="CF21" s="736"/>
      <x:c r="CG21" s="737"/>
      <x:c r="CH21" s="591" t="str">
        <x:f t="shared" si="37"/>
        <x:v/>
      </x:c>
      <x:c r="CI21" s="592" t="str">
        <x:f t="shared" si="38"/>
        <x:v/>
      </x:c>
      <x:c r="CJ21" s="593" t="str">
        <x:f t="shared" si="39"/>
        <x:v/>
      </x:c>
      <x:c r="CK21" s="594" t="str">
        <x:f t="shared" si="40"/>
        <x:v/>
      </x:c>
      <x:c r="CL21" s="595" t="str">
        <x:f t="shared" si="41"/>
        <x:v/>
      </x:c>
      <x:c r="CM21" s="596" t="str">
        <x:f t="shared" si="42"/>
        <x:v/>
      </x:c>
      <x:c r="CN21" s="597" t="str">
        <x:f t="shared" si="43"/>
        <x:v/>
      </x:c>
      <x:c r="CO21" s="598" t="str">
        <x:f t="shared" si="44"/>
        <x:v/>
      </x:c>
      <x:c r="CP21" s="615" t="str">
        <x:f t="shared" si="45"/>
        <x:v/>
      </x:c>
      <x:c r="CQ21" s="616" t="str">
        <x:f t="shared" si="46"/>
        <x:v/>
      </x:c>
      <x:c r="CR21" s="750">
        <x:f t="shared" si="47"/>
        <x:v>5</x:v>
      </x:c>
      <x:c r="CS21" s="751">
        <x:f t="shared" si="48"/>
        <x:v>5</x:v>
      </x:c>
      <x:c r="CU21" s="817" t="str">
        <x:f>IF(BG21="","",VLOOKUP(BG21,SectInfo!$B:$N,12,FALSE))</x:f>
        <x:v/>
      </x:c>
      <x:c r="CV21" s="815" t="str">
        <x:f>IF(BG21="","",IF(ISBLANK(BP21),VLOOKUP(BG21,SectInfo!$B:$N,13,FALSE),BP21))</x:f>
        <x:v/>
      </x:c>
      <x:c r="CW21" s="815" t="str">
        <x:f>IF(BG21="","",IF(VLOOKUP(BG21,SectInfo!$B:$N,5,FALSE)="","R",UPPER(VLOOKUP(BG21,SectInfo!$B:$N,5,FALSE))))</x:f>
        <x:v/>
      </x:c>
      <x:c r="CX21" s="815" t="str">
        <x:f>IF(BG21="","",IF(ISBLANK(BR21),VLOOKUP(BG21,SectInfo!$B:$N,6,FALSE),BR21))</x:f>
        <x:v/>
      </x:c>
      <x:c r="CY21" s="1286" t="str">
        <x:f>IF(BG21="","",IF(VLOOKUP(BG21,SectInfo!$B:$N,10,FALSE)="","",(IF(BO21="X",VLOOKUP(BG21,SectInfo!$B:$N,10,FALSE),VALUE(BO21))*-1)))</x:f>
        <x:v/>
      </x:c>
      <x:c r="CZ21" s="1122" t="str">
        <x:f>IF(BG21="","",IF(VLOOKUP(BG21,SectInfo!$B:$N,11,FALSE)="","2",(VLOOKUP(BG21,SectInfo!$B:$N,11,FALSE))))</x:f>
        <x:v/>
      </x:c>
      <x:c r="DA21" s="815" t="str">
        <x:f>IF(BG21="","",IF(VLOOKUP(BG21,SectInfo!$B:$N,7,FALSE)="","",(VLOOKUP(BG21,SectInfo!$B:$N,7,FALSE)*-1)))</x:f>
        <x:v/>
      </x:c>
      <x:c r="DB21" s="815" t="str">
        <x:f>IF(BG21="","",IF(VLOOKUP(BG21,SectInfo!$B:$N,8,FALSE)="",VLOOKUP(AU21,$DF$2:$DN$9,6,FALSE),(VLOOKUP(BG21,SectInfo!$B:$N,8,FALSE))))</x:f>
        <x:v/>
      </x:c>
      <x:c r="DC21" s="815" t="str">
        <x:f>IF(BG21="","",VLOOKUP(BG21,SectInfo!$B:$N,9,FALSE))</x:f>
        <x:v/>
      </x:c>
      <x:c r="DD21" s="816">
        <x:f t="shared" si="49"/>
        <x:v>0</x:v>
      </x:c>
      <x:c r="DE21" s="817" t="str">
        <x:f>IF(BS21="","",VLOOKUP(BS21,SectInfo!$B:$N,12,FALSE))</x:f>
        <x:v/>
      </x:c>
      <x:c r="DF21" s="815" t="str">
        <x:f>IF(BS21="","",IF(ISBLANK(CB21),VLOOKUP(BS21,SectInfo!$B:$N,13,FALSE),CB21))</x:f>
        <x:v/>
      </x:c>
      <x:c r="DG21" s="815" t="str">
        <x:f>IF(BS21="","",IF(VLOOKUP(BS21,SectInfo!$B:$N,5,FALSE)="","R",UPPER(VLOOKUP(BS21,SectInfo!$B:$N,5,FALSE))))</x:f>
        <x:v/>
      </x:c>
      <x:c r="DH21" s="815" t="str">
        <x:f>IF(BS21="","",IF(ISBLANK(CD21),VLOOKUP(BS21,SectInfo!$B:$N,6,FALSE),CD21))</x:f>
        <x:v/>
      </x:c>
      <x:c r="DI21" s="1286" t="str">
        <x:f>IF(BS21="","",IF(VLOOKUP(BS21,SectInfo!$B:$N,10,FALSE)="","",(IF(CA21="X",VLOOKUP(BS21,SectInfo!$B:$N,10,FALSE),VALUE(CA21))*-1)))</x:f>
        <x:v/>
      </x:c>
      <x:c r="DJ21" s="1122" t="str">
        <x:f>IF(BS21="","",IF(VLOOKUP(BS21,SectInfo!$B:$N,11,FALSE)="","2",(VLOOKUP(BS21,SectInfo!$B:$N,11,FALSE))))</x:f>
        <x:v/>
      </x:c>
      <x:c r="DK21" s="815" t="str">
        <x:f>IF(BS21="","",IF(VLOOKUP(BS21,SectInfo!$B:$N,7,FALSE)="","",(VLOOKUP(BS21,SectInfo!$B:$N,7,FALSE)*-1)))</x:f>
        <x:v/>
      </x:c>
      <x:c r="DL21" s="815" t="str">
        <x:f>IF(BS21="","",IF(VLOOKUP(BS21,SectInfo!$B:$N,8,FALSE)="",VLOOKUP(AU21,$DF$2:$DN$9,6,FALSE),(VLOOKUP(BS21,SectInfo!$B:$N,8,FALSE))))</x:f>
        <x:v/>
      </x:c>
      <x:c r="DM21" s="815" t="str">
        <x:f>IF(BS21="","",VLOOKUP(BS21,SectInfo!$B:$N,9,FALSE))</x:f>
        <x:v/>
      </x:c>
      <x:c r="DN21" s="816">
        <x:f t="shared" si="50"/>
        <x:v>0</x:v>
      </x:c>
      <x:c r="DO21" s="818">
        <x:f t="shared" si="51"/>
        <x:v>0</x:v>
      </x:c>
      <x:c r="DP21" s="822" t="str">
        <x:f t="shared" si="52"/>
        <x:v/>
      </x:c>
      <x:c r="DQ21" s="822" t="str">
        <x:f t="shared" si="53"/>
        <x:v/>
      </x:c>
      <x:c r="DR21" s="822" t="str">
        <x:f t="shared" si="54"/>
        <x:v/>
      </x:c>
      <x:c r="DS21" s="821">
        <x:f t="shared" si="55"/>
        <x:v>0</x:v>
      </x:c>
      <x:c r="DT21" s="821">
        <x:f t="shared" si="56"/>
        <x:v>0</x:v>
      </x:c>
      <x:c r="DU21" s="821" t="str">
        <x:f t="shared" si="57"/>
        <x:v/>
      </x:c>
      <x:c r="DV21" s="822" t="str">
        <x:f t="shared" si="58"/>
        <x:v/>
      </x:c>
      <x:c r="DW21" s="856" t="str">
        <x:f t="shared" si="59"/>
        <x:v/>
      </x:c>
      <x:c r="DX21" s="1006">
        <x:f t="shared" si="60"/>
        <x:v>0</x:v>
      </x:c>
      <x:c r="DY21" s="822">
        <x:f t="shared" si="61"/>
        <x:v>0</x:v>
      </x:c>
      <x:c r="DZ21" s="821">
        <x:f t="shared" si="62"/>
        <x:v>0</x:v>
      </x:c>
      <x:c r="EA21" s="821" t="str">
        <x:f t="shared" si="63"/>
        <x:v/>
      </x:c>
      <x:c r="EB21" s="822" t="str">
        <x:f t="shared" si="64"/>
        <x:v/>
      </x:c>
      <x:c r="EC21" s="856" t="str">
        <x:f t="shared" si="65"/>
        <x:v/>
      </x:c>
      <x:c r="ED21" s="1006">
        <x:f t="shared" si="66"/>
        <x:v>0</x:v>
      </x:c>
      <x:c r="EE21" s="1293" t="str">
        <x:f t="shared" si="67"/>
        <x:v/>
      </x:c>
      <x:c r="EF21" s="1293" t="str">
        <x:f t="shared" si="68"/>
        <x:v/>
      </x:c>
      <x:c r="EG21" s="1293" t="str">
        <x:f t="shared" si="69"/>
        <x:v/>
      </x:c>
      <x:c r="EH21" s="856" t="str">
        <x:f t="shared" si="70"/>
        <x:v>ERR</x:v>
      </x:c>
      <x:c r="EI21" s="856" t="str">
        <x:f t="shared" si="71"/>
        <x:v>ERR</x:v>
      </x:c>
      <x:c r="EJ21" s="822" t="str">
        <x:f t="shared" si="72"/>
        <x:v/>
      </x:c>
      <x:c r="EK21" s="822" t="str">
        <x:f t="shared" si="72"/>
        <x:v/>
      </x:c>
      <x:c r="EL21" s="1293" t="str">
        <x:f t="shared" si="73"/>
        <x:v/>
      </x:c>
      <x:c r="EM21" s="822" t="str">
        <x:f t="shared" si="74"/>
        <x:v/>
      </x:c>
      <x:c r="EN21" s="822" t="str">
        <x:f t="shared" si="75"/>
        <x:v/>
      </x:c>
      <x:c r="EO21" s="856" t="str">
        <x:f t="shared" si="76"/>
        <x:v>ERR</x:v>
      </x:c>
      <x:c r="EP21" s="856" t="str">
        <x:f t="shared" si="77"/>
        <x:v>ERR</x:v>
      </x:c>
      <x:c r="EQ21" s="1293" t="str">
        <x:f t="shared" si="78"/>
        <x:v/>
      </x:c>
      <x:c r="ER21" s="822" t="str">
        <x:f t="shared" si="78"/>
        <x:v/>
      </x:c>
      <x:c r="ES21" s="822" t="str">
        <x:f t="shared" si="79"/>
        <x:v/>
      </x:c>
      <x:c r="ET21" s="822" t="str">
        <x:f t="shared" si="80"/>
        <x:v/>
      </x:c>
      <x:c r="EU21" s="829">
        <x:f t="shared" si="81"/>
        <x:v>4</x:v>
      </x:c>
      <x:c r="EV21" s="824" t="str">
        <x:f t="shared" si="82"/>
        <x:v/>
      </x:c>
      <x:c r="EW21" s="829"/>
      <x:c r="EX21" s="829" t="str">
        <x:f>IF(AND(CU21="G", ISBLANK(BK21), ISBLANK(BL21)),VLOOKUP(MIN(BH21:BI21),TblJoistSize!$M$3:$N$10,2),IF(OR(CU21="B",CU21="G"),MIN(BK21:BL21),""))</x:f>
        <x:v/>
      </x:c>
      <x:c r="EY21" s="829" t="str">
        <x:f>IF(AND(CU21="G", ISBLANK(BK21), ISBLANK(BL21)),VLOOKUP(MAX(BH21:BI21),TblJoistSize!$M$3:$N$10,2),IF(OR(CU21="B",CU21="G"),MAX(BK21:BL21),""))</x:f>
        <x:v/>
      </x:c>
      <x:c r="EZ21" s="829" t="str">
        <x:f t="shared" si="83"/>
        <x:v/>
      </x:c>
      <x:c r="FA21" s="829" t="str">
        <x:f>IF(AND(DE21="G", ISBLANK(BW21), ISBLANK(BX21)),VLOOKUP(MIN(BT21:BU21),TblJoistSize!$M$3:$N$10,2),IF(OR(DE21="B", DE21="G"),MIN(BW21:BX21),""))</x:f>
        <x:v/>
      </x:c>
      <x:c r="FB21" s="829" t="str">
        <x:f>IF(AND(DE21="G", ISBLANK(BW21), ISBLANK(BX21)),VLOOKUP(MAX(BT21:BU21),TblJoistSize!$M$3:$N$10,2),IF(OR(DE21="B", DE21="G"),MAX(BW21:BX21),""))</x:f>
        <x:v/>
      </x:c>
      <x:c r="FC21" s="829" t="str">
        <x:f t="shared" si="84"/>
        <x:v/>
      </x:c>
      <x:c r="FD21" s="821">
        <x:f t="shared" si="107"/>
        <x:v>0</x:v>
      </x:c>
      <x:c r="FE21" s="821">
        <x:f t="shared" si="85"/>
        <x:v>0</x:v>
      </x:c>
      <x:c r="FF21" s="821">
        <x:f t="shared" si="86"/>
        <x:v>0</x:v>
      </x:c>
      <x:c r="FG21" s="821" t="str">
        <x:f t="shared" si="87"/>
        <x:v/>
      </x:c>
      <x:c r="FH21" s="822" t="str">
        <x:f t="shared" si="88"/>
        <x:v/>
      </x:c>
      <x:c r="FI21" s="821">
        <x:f t="shared" si="108"/>
        <x:v>0</x:v>
      </x:c>
      <x:c r="FJ21" s="821">
        <x:f t="shared" si="89"/>
        <x:v>0</x:v>
      </x:c>
      <x:c r="FK21" s="821">
        <x:f t="shared" si="90"/>
        <x:v>0</x:v>
      </x:c>
      <x:c r="FL21" s="821" t="str">
        <x:f t="shared" si="91"/>
        <x:v/>
      </x:c>
      <x:c r="FM21" s="822" t="str">
        <x:f t="shared" si="92"/>
        <x:v/>
      </x:c>
      <x:c r="FN21" s="822" t="e">
        <x:f t="shared" si="93"/>
        <x:v>#VALUE!</x:v>
      </x:c>
      <x:c r="FO21" s="940" t="e">
        <x:f t="shared" si="94"/>
        <x:v>#VALUE!</x:v>
      </x:c>
      <x:c r="FP21" s="940" t="e">
        <x:f t="shared" si="95"/>
        <x:v>#VALUE!</x:v>
      </x:c>
      <x:c r="FQ21" s="830" t="e">
        <x:f t="shared" si="96"/>
        <x:v>#VALUE!</x:v>
      </x:c>
      <x:c r="FR21" s="831" t="e">
        <x:f t="shared" si="97"/>
        <x:v>#VALUE!</x:v>
      </x:c>
      <x:c r="FS21" s="832" t="str">
        <x:f t="shared" si="98"/>
        <x:v/>
      </x:c>
      <x:c r="FT21" s="833" t="str">
        <x:f t="shared" si="99"/>
        <x:v/>
      </x:c>
      <x:c r="FU21" s="870">
        <x:f t="shared" si="100"/>
        <x:v>0</x:v>
      </x:c>
      <x:c r="FV21" s="871">
        <x:f t="shared" si="101"/>
        <x:v>0</x:v>
      </x:c>
      <x:c r="GA21" s="1791">
        <x:v>69</x:v>
      </x:c>
      <x:c r="GB21" s="1792">
        <x:v>2.25</x:v>
      </x:c>
      <x:c r="GC21" s="1793">
        <x:v>-0.25</x:v>
      </x:c>
      <x:c r="GD21" s="1794">
        <x:v>-0.5</x:v>
      </x:c>
      <x:c r="GE21" s="1795">
        <x:f t="shared" si="102"/>
        <x:v>0</x:v>
      </x:c>
      <x:c r="GF21" s="600" t="str">
        <x:f t="shared" si="103"/>
        <x:v>J72</x:v>
      </x:c>
      <x:c r="GG21" s="1130">
        <x:v>0</x:v>
      </x:c>
      <x:c r="GH21" s="1131">
        <x:v>0</x:v>
      </x:c>
      <x:c r="GI21" s="1130"/>
      <x:c r="GJ21" s="1131"/>
      <x:c r="GK21" s="1638">
        <x:f t="shared" si="104"/>
        <x:v>829.5</x:v>
      </x:c>
      <x:c r="GL21" s="1636">
        <x:f t="shared" si="105"/>
        <x:v>829.5</x:v>
      </x:c>
      <x:c r="GM21" s="1637">
        <x:f>IF(ABS(GK21-GL21)&gt;='Job Info.'!$L$22,ABS(GK21-GL21),0)</x:f>
        <x:v>0</x:v>
      </x:c>
      <x:c r="HA21" s="1269" t="s">
        <x:v>1502</x:v>
      </x:c>
      <x:c r="HB21" s="1270">
        <x:v>2</x:v>
      </x:c>
      <x:c r="HC21" s="1270" t="s">
        <x:v>1593</x:v>
      </x:c>
      <x:c r="HD21" s="1271">
        <x:v>69</x:v>
      </x:c>
      <x:c r="HE21" s="1272">
        <x:v>1.5</x:v>
      </x:c>
      <x:c r="HF21" s="1270" t="s">
        <x:v>116</x:v>
      </x:c>
      <x:c r="HG21" s="1270" t="s">
        <x:v>116</x:v>
      </x:c>
      <x:c r="HH21" s="1270" t="s">
        <x:v>116</x:v>
      </x:c>
      <x:c r="HI21" s="1273" t="s">
        <x:v>116</x:v>
      </x:c>
      <x:c r="HJ21" s="1270" t="s">
        <x:v>116</x:v>
      </x:c>
      <x:c r="HK21" s="1270" t="s">
        <x:v>116</x:v>
      </x:c>
      <x:c r="HL21" s="1270">
        <x:v>5</x:v>
      </x:c>
      <x:c r="HM21" s="1270">
        <x:v>5</x:v>
      </x:c>
      <x:c r="HN21" s="1270" t="s">
        <x:v>116</x:v>
      </x:c>
      <x:c r="HO21" s="1270" t="s">
        <x:v>116</x:v>
      </x:c>
      <x:c r="HP21" s="1270" t="s">
        <x:v>116</x:v>
      </x:c>
      <x:c r="HQ21" s="1273" t="s">
        <x:v>116</x:v>
      </x:c>
      <x:c r="HR21" s="1270" t="s">
        <x:v>116</x:v>
      </x:c>
      <x:c r="HS21" s="1270" t="s">
        <x:v>116</x:v>
      </x:c>
      <x:c r="HT21" s="1270">
        <x:v>0</x:v>
      </x:c>
      <x:c r="HU21" s="1270">
        <x:v>2.25</x:v>
      </x:c>
      <x:c r="HV21" s="1270">
        <x:v>0</x:v>
      </x:c>
      <x:c r="HW21" s="1272">
        <x:v>2</x:v>
      </x:c>
      <x:c r="HX21" s="1272">
        <x:v>4</x:v>
      </x:c>
      <x:c r="HY21" s="1272" t="s">
        <x:v>116</x:v>
      </x:c>
      <x:c r="HZ21" s="1272" t="s">
        <x:v>116</x:v>
      </x:c>
      <x:c r="IA21" s="1272" t="s">
        <x:v>1694</x:v>
      </x:c>
      <x:c r="IB21" s="1272"/>
      <x:c r="IC21" s="1272"/>
      <x:c r="ID21" s="1272"/>
      <x:c r="IE21" s="1272"/>
      <x:c r="IF21" s="1274"/>
    </x:row>
    <x:row r="22" spans="1:240" ht="12.6" customHeight="1" x14ac:dyDescent="0.25">
      <x:c r="A22" s="2764" t="s">
        <x:v>1503</x:v>
      </x:c>
      <x:c r="B22" s="2765">
        <x:v>1</x:v>
      </x:c>
      <x:c r="C22" s="2766" t="s">
        <x:v>1593</x:v>
      </x:c>
      <x:c r="D22" s="2767">
        <x:v>69</x:v>
      </x:c>
      <x:c r="E22" s="2768">
        <x:v>1.5</x:v>
      </x:c>
      <x:c r="F22" s="2776" t="str">
        <x:f t="shared" si="1"/>
        <x:v/>
      </x:c>
      <x:c r="G22" s="2771" t="str">
        <x:f t="shared" si="2"/>
        <x:v/>
      </x:c>
      <x:c r="H22" s="2842" t="str">
        <x:f t="shared" si="3"/>
        <x:v/>
      </x:c>
      <x:c r="I22" s="2767" t="str">
        <x:f t="shared" si="4"/>
        <x:v/>
      </x:c>
      <x:c r="J22" s="2771" t="str">
        <x:f t="shared" si="5"/>
        <x:v/>
      </x:c>
      <x:c r="K22" s="2855" t="str">
        <x:f t="shared" si="6"/>
        <x:v/>
      </x:c>
      <x:c r="L22" s="2774">
        <x:v>5</x:v>
      </x:c>
      <x:c r="M22" s="2775">
        <x:v>5</x:v>
      </x:c>
      <x:c r="N22" s="2770" t="str">
        <x:f t="shared" si="7"/>
        <x:v/>
      </x:c>
      <x:c r="O22" s="2771" t="str">
        <x:f t="shared" si="8"/>
        <x:v/>
      </x:c>
      <x:c r="P22" s="2772" t="str">
        <x:f t="shared" si="9"/>
        <x:v/>
      </x:c>
      <x:c r="Q22" s="2767" t="str">
        <x:f t="shared" si="10"/>
        <x:v/>
      </x:c>
      <x:c r="R22" s="2771" t="str">
        <x:f t="shared" si="11"/>
        <x:v/>
      </x:c>
      <x:c r="S22" s="2773" t="str">
        <x:f t="shared" si="12"/>
        <x:v/>
      </x:c>
      <x:c r="T22" s="2776">
        <x:v>0</x:v>
      </x:c>
      <x:c r="U22" s="2771">
        <x:v>2.25</x:v>
      </x:c>
      <x:c r="V22" s="2767">
        <x:v>0</x:v>
      </x:c>
      <x:c r="W22" s="2771">
        <x:v>2</x:v>
      </x:c>
      <x:c r="X22" s="2775">
        <x:v>4</x:v>
      </x:c>
      <x:c r="Y22" s="2844" t="str">
        <x:f t="shared" si="13"/>
        <x:v/>
      </x:c>
      <x:c r="Z22" s="2845" t="str">
        <x:f t="shared" si="14"/>
        <x:v/>
      </x:c>
      <x:c r="AA22" s="2846" t="s">
        <x:v>1691</x:v>
      </x:c>
      <x:c r="AB22" s="1413"/>
      <x:c r="AC22" s="964" t="b">
        <x:v>0</x:v>
      </x:c>
      <x:c r="AD22" s="441">
        <x:f t="shared" si="15"/>
        <x:v>0</x:v>
      </x:c>
      <x:c r="AE22" s="442">
        <x:f t="shared" si="16"/>
        <x:v>1</x:v>
      </x:c>
      <x:c r="AF22" s="442">
        <x:f t="shared" si="17"/>
        <x:v>0</x:v>
      </x:c>
      <x:c r="AG22" s="442">
        <x:f t="shared" si="18"/>
        <x:v>0</x:v>
      </x:c>
      <x:c r="AH22" s="443">
        <x:f t="shared" si="19"/>
        <x:v>0</x:v>
      </x:c>
      <x:c r="AI22" s="444" t="b">
        <x:v>0</x:v>
      </x:c>
      <x:c r="AJ22" s="238">
        <x:f t="shared" si="20"/>
        <x:v>44</x:v>
      </x:c>
      <x:c r="AK22" s="830" t="str">
        <x:f t="shared" si="21"/>
        <x:v>LH</x:v>
      </x:c>
      <x:c r="AL22" s="945" t="str">
        <x:f t="shared" si="22"/>
        <x:v/>
      </x:c>
      <x:c r="AM22" s="830">
        <x:f t="shared" si="23"/>
        <x:v>305</x:v>
      </x:c>
      <x:c r="AN22" s="830">
        <x:f t="shared" si="24"/>
        <x:v>180</x:v>
      </x:c>
      <x:c r="AO22" s="830" t="str">
        <x:f t="shared" si="25"/>
        <x:v/>
      </x:c>
      <x:c r="AP22" s="830" t="b">
        <x:f>IF(ISERROR(AJ22),FALSE,IF(OR(AJ22=0,ISERROR(AL22),ISERROR(AM22),ISERROR(AN22),ISERROR(AO22)),FALSE,IF(AL22&lt;&gt;"",IF(ISERROR(VLOOKUP(SUBSTITUTE(SUBSTITUTE(C22,"R",""),"A",""),TblJoistSize!$A:$A,1,FALSE)),FALSE,TRUE),TRUE)))</x:f>
        <x:v>1</x:v>
      </x:c>
      <x:c r="AQ22" s="1038">
        <x:f t="shared" si="26"/>
        <x:v>6</x:v>
      </x:c>
      <x:c r="AR22" s="945" t="b">
        <x:f t="shared" si="27"/>
        <x:v>1</x:v>
      </x:c>
      <x:c r="AS22" s="1038">
        <x:f t="shared" si="28"/>
        <x:v>6</x:v>
      </x:c>
      <x:c r="AT22" s="945" t="b">
        <x:f t="shared" si="29"/>
        <x:v>1</x:v>
      </x:c>
      <x:c r="AU22" s="946" t="str">
        <x:f t="shared" si="30"/>
        <x:v>LH</x:v>
      </x:c>
      <x:c r="AV22" s="830" t="str">
        <x:f t="shared" si="31"/>
        <x:v/>
      </x:c>
      <x:c r="AW22" s="830" t="str">
        <x:f t="shared" si="32"/>
        <x:v>LH</x:v>
      </x:c>
      <x:c r="AX22" s="830" t="str">
        <x:f t="shared" si="106"/>
        <x:v>J73</x:v>
      </x:c>
      <x:c r="AY22" s="1039" t="b">
        <x:f t="shared" si="33"/>
        <x:v>0</x:v>
      </x:c>
      <x:c r="AZ22" s="856" t="b">
        <x:f t="shared" si="34"/>
        <x:v>0</x:v>
      </x:c>
      <x:c r="BA22" s="549"/>
      <x:c r="BB22" s="672"/>
      <x:c r="BC22" s="1684"/>
      <x:c r="BD22" s="733"/>
      <x:c r="BE22" s="734"/>
      <x:c r="BF22" s="735"/>
      <x:c r="BG22" s="672"/>
      <x:c r="BH22" s="982"/>
      <x:c r="BI22" s="983"/>
      <x:c r="BJ22" s="1625"/>
      <x:c r="BK22" s="713"/>
      <x:c r="BL22" s="714"/>
      <x:c r="BM22" s="715"/>
      <x:c r="BN22" s="716"/>
      <x:c r="BO22" s="672" t="str">
        <x:f>IF(ISERROR(CU22),"",IF(CU22="","",IF(VLOOKUP(BG22,SectInfo!$B:$N,10,FALSE)="","","X")))</x:f>
        <x:v/>
      </x:c>
      <x:c r="BP22" s="738"/>
      <x:c r="BQ22" s="1551" t="str">
        <x:f t="shared" si="35"/>
        <x:v/>
      </x:c>
      <x:c r="BR22" s="910"/>
      <x:c r="BS22" s="672"/>
      <x:c r="BT22" s="713"/>
      <x:c r="BU22" s="714"/>
      <x:c r="BV22" s="1625"/>
      <x:c r="BW22" s="713"/>
      <x:c r="BX22" s="714"/>
      <x:c r="BY22" s="715"/>
      <x:c r="BZ22" s="716"/>
      <x:c r="CA22" s="680" t="str">
        <x:f>IF(ISERROR(DE22),"",IF(DE22="","",IF(VLOOKUP(BS22,SectInfo!$B:$N,10,FALSE)="","","X")))</x:f>
        <x:v/>
      </x:c>
      <x:c r="CB22" s="738"/>
      <x:c r="CC22" s="1551" t="str">
        <x:f t="shared" si="36"/>
        <x:v/>
      </x:c>
      <x:c r="CD22" s="910"/>
      <x:c r="CE22" s="717"/>
      <x:c r="CF22" s="736"/>
      <x:c r="CG22" s="737"/>
      <x:c r="CH22" s="591" t="str">
        <x:f t="shared" si="37"/>
        <x:v/>
      </x:c>
      <x:c r="CI22" s="592" t="str">
        <x:f t="shared" si="38"/>
        <x:v/>
      </x:c>
      <x:c r="CJ22" s="593" t="str">
        <x:f t="shared" si="39"/>
        <x:v/>
      </x:c>
      <x:c r="CK22" s="594" t="str">
        <x:f t="shared" si="40"/>
        <x:v/>
      </x:c>
      <x:c r="CL22" s="595" t="str">
        <x:f t="shared" si="41"/>
        <x:v/>
      </x:c>
      <x:c r="CM22" s="596" t="str">
        <x:f t="shared" si="42"/>
        <x:v/>
      </x:c>
      <x:c r="CN22" s="597" t="str">
        <x:f t="shared" si="43"/>
        <x:v/>
      </x:c>
      <x:c r="CO22" s="598" t="str">
        <x:f t="shared" si="44"/>
        <x:v/>
      </x:c>
      <x:c r="CP22" s="615" t="str">
        <x:f t="shared" si="45"/>
        <x:v/>
      </x:c>
      <x:c r="CQ22" s="616" t="str">
        <x:f t="shared" si="46"/>
        <x:v/>
      </x:c>
      <x:c r="CR22" s="750">
        <x:f t="shared" si="47"/>
        <x:v>5</x:v>
      </x:c>
      <x:c r="CS22" s="751">
        <x:f t="shared" si="48"/>
        <x:v>5</x:v>
      </x:c>
      <x:c r="CU22" s="817" t="str">
        <x:f>IF(BG22="","",VLOOKUP(BG22,SectInfo!$B:$N,12,FALSE))</x:f>
        <x:v/>
      </x:c>
      <x:c r="CV22" s="815" t="str">
        <x:f>IF(BG22="","",IF(ISBLANK(BP22),VLOOKUP(BG22,SectInfo!$B:$N,13,FALSE),BP22))</x:f>
        <x:v/>
      </x:c>
      <x:c r="CW22" s="815" t="str">
        <x:f>IF(BG22="","",IF(VLOOKUP(BG22,SectInfo!$B:$N,5,FALSE)="","R",UPPER(VLOOKUP(BG22,SectInfo!$B:$N,5,FALSE))))</x:f>
        <x:v/>
      </x:c>
      <x:c r="CX22" s="815" t="str">
        <x:f>IF(BG22="","",IF(ISBLANK(BR22),VLOOKUP(BG22,SectInfo!$B:$N,6,FALSE),BR22))</x:f>
        <x:v/>
      </x:c>
      <x:c r="CY22" s="1286" t="str">
        <x:f>IF(BG22="","",IF(VLOOKUP(BG22,SectInfo!$B:$N,10,FALSE)="","",(IF(BO22="X",VLOOKUP(BG22,SectInfo!$B:$N,10,FALSE),VALUE(BO22))*-1)))</x:f>
        <x:v/>
      </x:c>
      <x:c r="CZ22" s="1122" t="str">
        <x:f>IF(BG22="","",IF(VLOOKUP(BG22,SectInfo!$B:$N,11,FALSE)="","2",(VLOOKUP(BG22,SectInfo!$B:$N,11,FALSE))))</x:f>
        <x:v/>
      </x:c>
      <x:c r="DA22" s="815" t="str">
        <x:f>IF(BG22="","",IF(VLOOKUP(BG22,SectInfo!$B:$N,7,FALSE)="","",(VLOOKUP(BG22,SectInfo!$B:$N,7,FALSE)*-1)))</x:f>
        <x:v/>
      </x:c>
      <x:c r="DB22" s="815" t="str">
        <x:f>IF(BG22="","",IF(VLOOKUP(BG22,SectInfo!$B:$N,8,FALSE)="",VLOOKUP(AU22,$DF$2:$DN$9,6,FALSE),(VLOOKUP(BG22,SectInfo!$B:$N,8,FALSE))))</x:f>
        <x:v/>
      </x:c>
      <x:c r="DC22" s="815" t="str">
        <x:f>IF(BG22="","",VLOOKUP(BG22,SectInfo!$B:$N,9,FALSE))</x:f>
        <x:v/>
      </x:c>
      <x:c r="DD22" s="816">
        <x:f t="shared" si="49"/>
        <x:v>0</x:v>
      </x:c>
      <x:c r="DE22" s="817" t="str">
        <x:f>IF(BS22="","",VLOOKUP(BS22,SectInfo!$B:$N,12,FALSE))</x:f>
        <x:v/>
      </x:c>
      <x:c r="DF22" s="815" t="str">
        <x:f>IF(BS22="","",IF(ISBLANK(CB22),VLOOKUP(BS22,SectInfo!$B:$N,13,FALSE),CB22))</x:f>
        <x:v/>
      </x:c>
      <x:c r="DG22" s="815" t="str">
        <x:f>IF(BS22="","",IF(VLOOKUP(BS22,SectInfo!$B:$N,5,FALSE)="","R",UPPER(VLOOKUP(BS22,SectInfo!$B:$N,5,FALSE))))</x:f>
        <x:v/>
      </x:c>
      <x:c r="DH22" s="815" t="str">
        <x:f>IF(BS22="","",IF(ISBLANK(CD22),VLOOKUP(BS22,SectInfo!$B:$N,6,FALSE),CD22))</x:f>
        <x:v/>
      </x:c>
      <x:c r="DI22" s="1286" t="str">
        <x:f>IF(BS22="","",IF(VLOOKUP(BS22,SectInfo!$B:$N,10,FALSE)="","",(IF(CA22="X",VLOOKUP(BS22,SectInfo!$B:$N,10,FALSE),VALUE(CA22))*-1)))</x:f>
        <x:v/>
      </x:c>
      <x:c r="DJ22" s="1122" t="str">
        <x:f>IF(BS22="","",IF(VLOOKUP(BS22,SectInfo!$B:$N,11,FALSE)="","2",(VLOOKUP(BS22,SectInfo!$B:$N,11,FALSE))))</x:f>
        <x:v/>
      </x:c>
      <x:c r="DK22" s="815" t="str">
        <x:f>IF(BS22="","",IF(VLOOKUP(BS22,SectInfo!$B:$N,7,FALSE)="","",(VLOOKUP(BS22,SectInfo!$B:$N,7,FALSE)*-1)))</x:f>
        <x:v/>
      </x:c>
      <x:c r="DL22" s="815" t="str">
        <x:f>IF(BS22="","",IF(VLOOKUP(BS22,SectInfo!$B:$N,8,FALSE)="",VLOOKUP(AU22,$DF$2:$DN$9,6,FALSE),(VLOOKUP(BS22,SectInfo!$B:$N,8,FALSE))))</x:f>
        <x:v/>
      </x:c>
      <x:c r="DM22" s="815" t="str">
        <x:f>IF(BS22="","",VLOOKUP(BS22,SectInfo!$B:$N,9,FALSE))</x:f>
        <x:v/>
      </x:c>
      <x:c r="DN22" s="816">
        <x:f t="shared" si="50"/>
        <x:v>0</x:v>
      </x:c>
      <x:c r="DO22" s="818">
        <x:f t="shared" si="51"/>
        <x:v>0</x:v>
      </x:c>
      <x:c r="DP22" s="822" t="str">
        <x:f t="shared" si="52"/>
        <x:v/>
      </x:c>
      <x:c r="DQ22" s="822" t="str">
        <x:f t="shared" si="53"/>
        <x:v/>
      </x:c>
      <x:c r="DR22" s="822" t="str">
        <x:f t="shared" si="54"/>
        <x:v/>
      </x:c>
      <x:c r="DS22" s="821">
        <x:f t="shared" si="55"/>
        <x:v>0</x:v>
      </x:c>
      <x:c r="DT22" s="821">
        <x:f t="shared" si="56"/>
        <x:v>0</x:v>
      </x:c>
      <x:c r="DU22" s="821" t="str">
        <x:f t="shared" si="57"/>
        <x:v/>
      </x:c>
      <x:c r="DV22" s="822" t="str">
        <x:f t="shared" si="58"/>
        <x:v/>
      </x:c>
      <x:c r="DW22" s="856" t="str">
        <x:f t="shared" si="59"/>
        <x:v/>
      </x:c>
      <x:c r="DX22" s="1006">
        <x:f t="shared" si="60"/>
        <x:v>0</x:v>
      </x:c>
      <x:c r="DY22" s="822">
        <x:f t="shared" si="61"/>
        <x:v>0</x:v>
      </x:c>
      <x:c r="DZ22" s="821">
        <x:f t="shared" si="62"/>
        <x:v>0</x:v>
      </x:c>
      <x:c r="EA22" s="821" t="str">
        <x:f t="shared" si="63"/>
        <x:v/>
      </x:c>
      <x:c r="EB22" s="822" t="str">
        <x:f t="shared" si="64"/>
        <x:v/>
      </x:c>
      <x:c r="EC22" s="856" t="str">
        <x:f t="shared" si="65"/>
        <x:v/>
      </x:c>
      <x:c r="ED22" s="1006">
        <x:f t="shared" si="66"/>
        <x:v>0</x:v>
      </x:c>
      <x:c r="EE22" s="1293" t="str">
        <x:f t="shared" si="67"/>
        <x:v/>
      </x:c>
      <x:c r="EF22" s="1293" t="str">
        <x:f t="shared" si="68"/>
        <x:v/>
      </x:c>
      <x:c r="EG22" s="1293" t="str">
        <x:f t="shared" si="69"/>
        <x:v/>
      </x:c>
      <x:c r="EH22" s="856" t="str">
        <x:f t="shared" si="70"/>
        <x:v>ERR</x:v>
      </x:c>
      <x:c r="EI22" s="856" t="str">
        <x:f t="shared" si="71"/>
        <x:v>ERR</x:v>
      </x:c>
      <x:c r="EJ22" s="822" t="str">
        <x:f t="shared" si="72"/>
        <x:v/>
      </x:c>
      <x:c r="EK22" s="822" t="str">
        <x:f t="shared" si="72"/>
        <x:v/>
      </x:c>
      <x:c r="EL22" s="1293" t="str">
        <x:f t="shared" si="73"/>
        <x:v/>
      </x:c>
      <x:c r="EM22" s="822" t="str">
        <x:f t="shared" si="74"/>
        <x:v/>
      </x:c>
      <x:c r="EN22" s="822" t="str">
        <x:f t="shared" si="75"/>
        <x:v/>
      </x:c>
      <x:c r="EO22" s="856" t="str">
        <x:f t="shared" si="76"/>
        <x:v>ERR</x:v>
      </x:c>
      <x:c r="EP22" s="856" t="str">
        <x:f t="shared" si="77"/>
        <x:v>ERR</x:v>
      </x:c>
      <x:c r="EQ22" s="1293" t="str">
        <x:f t="shared" si="78"/>
        <x:v/>
      </x:c>
      <x:c r="ER22" s="822" t="str">
        <x:f t="shared" si="78"/>
        <x:v/>
      </x:c>
      <x:c r="ES22" s="822" t="str">
        <x:f t="shared" si="79"/>
        <x:v/>
      </x:c>
      <x:c r="ET22" s="822" t="str">
        <x:f t="shared" si="80"/>
        <x:v/>
      </x:c>
      <x:c r="EU22" s="829">
        <x:f t="shared" si="81"/>
        <x:v>4</x:v>
      </x:c>
      <x:c r="EV22" s="824" t="str">
        <x:f t="shared" si="82"/>
        <x:v/>
      </x:c>
      <x:c r="EW22" s="829"/>
      <x:c r="EX22" s="829" t="str">
        <x:f>IF(AND(CU22="G", ISBLANK(BK22), ISBLANK(BL22)),VLOOKUP(MIN(BH22:BI22),TblJoistSize!$M$3:$N$10,2),IF(OR(CU22="B",CU22="G"),MIN(BK22:BL22),""))</x:f>
        <x:v/>
      </x:c>
      <x:c r="EY22" s="829" t="str">
        <x:f>IF(AND(CU22="G", ISBLANK(BK22), ISBLANK(BL22)),VLOOKUP(MAX(BH22:BI22),TblJoistSize!$M$3:$N$10,2),IF(OR(CU22="B",CU22="G"),MAX(BK22:BL22),""))</x:f>
        <x:v/>
      </x:c>
      <x:c r="EZ22" s="829" t="str">
        <x:f t="shared" si="83"/>
        <x:v/>
      </x:c>
      <x:c r="FA22" s="829" t="str">
        <x:f>IF(AND(DE22="G", ISBLANK(BW22), ISBLANK(BX22)),VLOOKUP(MIN(BT22:BU22),TblJoistSize!$M$3:$N$10,2),IF(OR(DE22="B", DE22="G"),MIN(BW22:BX22),""))</x:f>
        <x:v/>
      </x:c>
      <x:c r="FB22" s="829" t="str">
        <x:f>IF(AND(DE22="G", ISBLANK(BW22), ISBLANK(BX22)),VLOOKUP(MAX(BT22:BU22),TblJoistSize!$M$3:$N$10,2),IF(OR(DE22="B", DE22="G"),MAX(BW22:BX22),""))</x:f>
        <x:v/>
      </x:c>
      <x:c r="FC22" s="829" t="str">
        <x:f t="shared" si="84"/>
        <x:v/>
      </x:c>
      <x:c r="FD22" s="821">
        <x:f t="shared" si="107"/>
        <x:v>0</x:v>
      </x:c>
      <x:c r="FE22" s="821">
        <x:f t="shared" si="85"/>
        <x:v>0</x:v>
      </x:c>
      <x:c r="FF22" s="821">
        <x:f t="shared" si="86"/>
        <x:v>0</x:v>
      </x:c>
      <x:c r="FG22" s="821" t="str">
        <x:f t="shared" si="87"/>
        <x:v/>
      </x:c>
      <x:c r="FH22" s="822" t="str">
        <x:f t="shared" si="88"/>
        <x:v/>
      </x:c>
      <x:c r="FI22" s="821">
        <x:f t="shared" si="108"/>
        <x:v>0</x:v>
      </x:c>
      <x:c r="FJ22" s="821">
        <x:f t="shared" si="89"/>
        <x:v>0</x:v>
      </x:c>
      <x:c r="FK22" s="821">
        <x:f t="shared" si="90"/>
        <x:v>0</x:v>
      </x:c>
      <x:c r="FL22" s="821" t="str">
        <x:f t="shared" si="91"/>
        <x:v/>
      </x:c>
      <x:c r="FM22" s="822" t="str">
        <x:f t="shared" si="92"/>
        <x:v/>
      </x:c>
      <x:c r="FN22" s="822" t="e">
        <x:f t="shared" si="93"/>
        <x:v>#VALUE!</x:v>
      </x:c>
      <x:c r="FO22" s="940" t="e">
        <x:f t="shared" si="94"/>
        <x:v>#VALUE!</x:v>
      </x:c>
      <x:c r="FP22" s="940" t="e">
        <x:f t="shared" si="95"/>
        <x:v>#VALUE!</x:v>
      </x:c>
      <x:c r="FQ22" s="830" t="e">
        <x:f t="shared" si="96"/>
        <x:v>#VALUE!</x:v>
      </x:c>
      <x:c r="FR22" s="831" t="e">
        <x:f t="shared" si="97"/>
        <x:v>#VALUE!</x:v>
      </x:c>
      <x:c r="FS22" s="832" t="str">
        <x:f t="shared" si="98"/>
        <x:v/>
      </x:c>
      <x:c r="FT22" s="833" t="str">
        <x:f t="shared" si="99"/>
        <x:v/>
      </x:c>
      <x:c r="FU22" s="870">
        <x:f t="shared" si="100"/>
        <x:v>0</x:v>
      </x:c>
      <x:c r="FV22" s="871">
        <x:f t="shared" si="101"/>
        <x:v>0</x:v>
      </x:c>
      <x:c r="GA22" s="1791">
        <x:v>69</x:v>
      </x:c>
      <x:c r="GB22" s="1792">
        <x:v>2.25</x:v>
      </x:c>
      <x:c r="GC22" s="1793">
        <x:v>-0.25</x:v>
      </x:c>
      <x:c r="GD22" s="1794">
        <x:v>-0.5</x:v>
      </x:c>
      <x:c r="GE22" s="1795">
        <x:f t="shared" si="102"/>
        <x:v>0</x:v>
      </x:c>
      <x:c r="GF22" s="600" t="str">
        <x:f t="shared" si="103"/>
        <x:v>J73</x:v>
      </x:c>
      <x:c r="GG22" s="1130">
        <x:v>0</x:v>
      </x:c>
      <x:c r="GH22" s="1131">
        <x:v>0</x:v>
      </x:c>
      <x:c r="GI22" s="1130"/>
      <x:c r="GJ22" s="1131"/>
      <x:c r="GK22" s="1638">
        <x:f t="shared" si="104"/>
        <x:v>829.5</x:v>
      </x:c>
      <x:c r="GL22" s="1636">
        <x:f t="shared" si="105"/>
        <x:v>829.5</x:v>
      </x:c>
      <x:c r="GM22" s="1637">
        <x:f>IF(ABS(GK22-GL22)&gt;='Job Info.'!$L$22,ABS(GK22-GL22),0)</x:f>
        <x:v>0</x:v>
      </x:c>
      <x:c r="HA22" s="1269" t="s">
        <x:v>1503</x:v>
      </x:c>
      <x:c r="HB22" s="1270">
        <x:v>1</x:v>
      </x:c>
      <x:c r="HC22" s="1270" t="s">
        <x:v>1593</x:v>
      </x:c>
      <x:c r="HD22" s="1271">
        <x:v>69</x:v>
      </x:c>
      <x:c r="HE22" s="1272">
        <x:v>1.5</x:v>
      </x:c>
      <x:c r="HF22" s="1270" t="s">
        <x:v>116</x:v>
      </x:c>
      <x:c r="HG22" s="1270" t="s">
        <x:v>116</x:v>
      </x:c>
      <x:c r="HH22" s="1270" t="s">
        <x:v>116</x:v>
      </x:c>
      <x:c r="HI22" s="1273" t="s">
        <x:v>116</x:v>
      </x:c>
      <x:c r="HJ22" s="1270" t="s">
        <x:v>116</x:v>
      </x:c>
      <x:c r="HK22" s="1270" t="s">
        <x:v>116</x:v>
      </x:c>
      <x:c r="HL22" s="1270">
        <x:v>5</x:v>
      </x:c>
      <x:c r="HM22" s="1270">
        <x:v>5</x:v>
      </x:c>
      <x:c r="HN22" s="1270" t="s">
        <x:v>116</x:v>
      </x:c>
      <x:c r="HO22" s="1270" t="s">
        <x:v>116</x:v>
      </x:c>
      <x:c r="HP22" s="1270" t="s">
        <x:v>116</x:v>
      </x:c>
      <x:c r="HQ22" s="1273" t="s">
        <x:v>116</x:v>
      </x:c>
      <x:c r="HR22" s="1270" t="s">
        <x:v>116</x:v>
      </x:c>
      <x:c r="HS22" s="1270" t="s">
        <x:v>116</x:v>
      </x:c>
      <x:c r="HT22" s="1270">
        <x:v>0</x:v>
      </x:c>
      <x:c r="HU22" s="1270">
        <x:v>2.25</x:v>
      </x:c>
      <x:c r="HV22" s="1270">
        <x:v>0</x:v>
      </x:c>
      <x:c r="HW22" s="1272">
        <x:v>2</x:v>
      </x:c>
      <x:c r="HX22" s="1272">
        <x:v>4</x:v>
      </x:c>
      <x:c r="HY22" s="1272" t="s">
        <x:v>116</x:v>
      </x:c>
      <x:c r="HZ22" s="1272" t="s">
        <x:v>116</x:v>
      </x:c>
      <x:c r="IA22" s="1272" t="s">
        <x:v>1691</x:v>
      </x:c>
      <x:c r="IB22" s="1272"/>
      <x:c r="IC22" s="1272"/>
      <x:c r="ID22" s="1272"/>
      <x:c r="IE22" s="1272"/>
      <x:c r="IF22" s="1274"/>
    </x:row>
    <x:row r="23" spans="1:240" ht="12.6" customHeight="1" x14ac:dyDescent="0.25">
      <x:c r="A23" s="2764" t="str">
        <x:f t="shared" ref="A23:A44" si="109">IF(BB23="","",UPPER(BB23))</x:f>
        <x:v/>
      </x:c>
      <x:c r="B23" s="2765"/>
      <x:c r="C23" s="2766" t="str">
        <x:f t="shared" ref="C23:C44" si="110">IF(BD23="","",UPPER(BD23))</x:f>
        <x:v/>
      </x:c>
      <x:c r="D23" s="2767" t="str">
        <x:f t="shared" ref="D23:D44" si="111">IF(DP23="","",TRUNC(DP23/12))</x:f>
        <x:v/>
      </x:c>
      <x:c r="E23" s="2768" t="str">
        <x:f t="shared" ref="E23:E44" si="112">IF(DP23="","",DP23-(D23*12))</x:f>
        <x:v/>
      </x:c>
      <x:c r="F23" s="2776" t="str">
        <x:f t="shared" si="1"/>
        <x:v/>
      </x:c>
      <x:c r="G23" s="2771" t="str">
        <x:f t="shared" si="2"/>
        <x:v/>
      </x:c>
      <x:c r="H23" s="2842" t="str">
        <x:f t="shared" si="3"/>
        <x:v/>
      </x:c>
      <x:c r="I23" s="2767" t="str">
        <x:f t="shared" si="4"/>
        <x:v/>
      </x:c>
      <x:c r="J23" s="2771" t="str">
        <x:f t="shared" si="5"/>
        <x:v/>
      </x:c>
      <x:c r="K23" s="2855" t="str">
        <x:f t="shared" si="6"/>
        <x:v/>
      </x:c>
      <x:c r="L23" s="2774" t="str">
        <x:f t="shared" ref="L23:M44" si="113">DQ23</x:f>
        <x:v/>
      </x:c>
      <x:c r="M23" s="2775" t="str">
        <x:f t="shared" si="113"/>
        <x:v/>
      </x:c>
      <x:c r="N23" s="2770" t="str">
        <x:f t="shared" si="7"/>
        <x:v/>
      </x:c>
      <x:c r="O23" s="2771" t="str">
        <x:f t="shared" si="8"/>
        <x:v/>
      </x:c>
      <x:c r="P23" s="2772" t="str">
        <x:f t="shared" si="9"/>
        <x:v/>
      </x:c>
      <x:c r="Q23" s="2767" t="str">
        <x:f t="shared" si="10"/>
        <x:v/>
      </x:c>
      <x:c r="R23" s="2771" t="str">
        <x:f t="shared" si="11"/>
        <x:v/>
      </x:c>
      <x:c r="S23" s="2773" t="str">
        <x:f t="shared" si="12"/>
        <x:v/>
      </x:c>
      <x:c r="T23" s="2776" t="str">
        <x:f t="shared" ref="T23:T45" si="114">IF(CH23="ERR","",IF(EK23="","",IF(EK23="ERR",TRUNC(EJ23/12),TRUNC(EK23/12))))</x:f>
        <x:v/>
      </x:c>
      <x:c r="U23" s="2771" t="str">
        <x:f t="shared" ref="U23:U45" si="115">IF(CH23="ERR","",IF(EK23="","",IF(EK23="ERR",EJ23-(T23*12),EK23-(T23*12))))</x:f>
        <x:v/>
      </x:c>
      <x:c r="V23" s="2767" t="str">
        <x:f t="shared" ref="V23:V45" si="116">IF(CI23="ERR","",IF(ER23="","",IF(ER23="ERR",TRUNC(EQ23/12),TRUNC(ER23/12))))</x:f>
        <x:v/>
      </x:c>
      <x:c r="W23" s="2771" t="str">
        <x:f t="shared" ref="W23:W45" si="117">IF(CI23="ERR","",IF(ER23="","",IF(ER23="ERR",EQ23-(V23*12),ER23-(V23*12))))</x:f>
        <x:v/>
      </x:c>
      <x:c r="X23" s="2775">
        <x:f t="shared" ref="X23:X44" si="118">IF(EV23="",0,EV23)</x:f>
        <x:v>0</x:v>
      </x:c>
      <x:c r="Y23" s="2844" t="str">
        <x:f t="shared" si="13"/>
        <x:v/>
      </x:c>
      <x:c r="Z23" s="2845" t="str">
        <x:f t="shared" si="14"/>
        <x:v/>
      </x:c>
      <x:c r="AA23" s="2846" t="s">
        <x:v>116</x:v>
      </x:c>
      <x:c r="AB23" s="1413"/>
      <x:c r="AC23" s="964" t="b">
        <x:v>0</x:v>
      </x:c>
      <x:c r="AD23" s="441">
        <x:f t="shared" si="15"/>
        <x:v>0</x:v>
      </x:c>
      <x:c r="AE23" s="442">
        <x:f t="shared" si="16"/>
        <x:v>0</x:v>
      </x:c>
      <x:c r="AF23" s="442">
        <x:f t="shared" si="17"/>
        <x:v>0</x:v>
      </x:c>
      <x:c r="AG23" s="442">
        <x:f t="shared" si="18"/>
        <x:v>0</x:v>
      </x:c>
      <x:c r="AH23" s="443">
        <x:f t="shared" si="19"/>
        <x:v>0</x:v>
      </x:c>
      <x:c r="AI23" s="444" t="b">
        <x:v>0</x:v>
      </x:c>
      <x:c r="AJ23" s="238">
        <x:f t="shared" si="20"/>
        <x:v>0</x:v>
      </x:c>
      <x:c r="AK23" s="830" t="str">
        <x:f t="shared" si="21"/>
        <x:v/>
      </x:c>
      <x:c r="AL23" s="945" t="str">
        <x:f t="shared" si="22"/>
        <x:v/>
      </x:c>
      <x:c r="AM23" s="830" t="str">
        <x:f t="shared" si="23"/>
        <x:v/>
      </x:c>
      <x:c r="AN23" s="830" t="str">
        <x:f t="shared" si="24"/>
        <x:v/>
      </x:c>
      <x:c r="AO23" s="830" t="str">
        <x:f t="shared" si="25"/>
        <x:v/>
      </x:c>
      <x:c r="AP23" s="830" t="b">
        <x:f>IF(ISERROR(AJ23),FALSE,IF(OR(AJ23=0,ISERROR(AL23),ISERROR(AM23),ISERROR(AN23),ISERROR(AO23)),FALSE,IF(AL23&lt;&gt;"",IF(ISERROR(VLOOKUP(SUBSTITUTE(SUBSTITUTE(C23,"R",""),"A",""),TblJoistSize!$A:$A,1,FALSE)),FALSE,TRUE),TRUE)))</x:f>
        <x:v>0</x:v>
      </x:c>
      <x:c r="AQ23" s="1038" t="e">
        <x:f t="shared" si="26"/>
        <x:v>#N/A</x:v>
      </x:c>
      <x:c r="AR23" s="945" t="b">
        <x:f t="shared" si="27"/>
        <x:v>0</x:v>
      </x:c>
      <x:c r="AS23" s="1038" t="e">
        <x:f t="shared" si="28"/>
        <x:v>#N/A</x:v>
      </x:c>
      <x:c r="AT23" s="945" t="b">
        <x:f t="shared" si="29"/>
        <x:v>0</x:v>
      </x:c>
      <x:c r="AU23" s="946" t="str">
        <x:f t="shared" si="30"/>
        <x:v/>
      </x:c>
      <x:c r="AV23" s="830" t="str">
        <x:f t="shared" si="31"/>
        <x:v/>
      </x:c>
      <x:c r="AW23" s="830" t="str">
        <x:f t="shared" si="32"/>
        <x:v/>
      </x:c>
      <x:c r="AX23" s="830" t="str">
        <x:f t="shared" si="106"/>
        <x:v/>
      </x:c>
      <x:c r="AY23" s="1039" t="b">
        <x:f t="shared" si="33"/>
        <x:v>0</x:v>
      </x:c>
      <x:c r="AZ23" s="856" t="str">
        <x:f t="shared" si="34"/>
        <x:v/>
      </x:c>
      <x:c r="BA23" s="549"/>
      <x:c r="BB23" s="672"/>
      <x:c r="BC23" s="1684"/>
      <x:c r="BD23" s="733"/>
      <x:c r="BE23" s="734"/>
      <x:c r="BF23" s="735"/>
      <x:c r="BG23" s="672"/>
      <x:c r="BH23" s="982"/>
      <x:c r="BI23" s="983"/>
      <x:c r="BJ23" s="1625"/>
      <x:c r="BK23" s="713"/>
      <x:c r="BL23" s="714"/>
      <x:c r="BM23" s="715"/>
      <x:c r="BN23" s="716"/>
      <x:c r="BO23" s="672" t="str">
        <x:f>IF(ISERROR(CU23),"",IF(CU23="","",IF(VLOOKUP(BG23,SectInfo!$B:$N,10,FALSE)="","","X")))</x:f>
        <x:v/>
      </x:c>
      <x:c r="BP23" s="738"/>
      <x:c r="BQ23" s="1551" t="str">
        <x:f t="shared" si="35"/>
        <x:v/>
      </x:c>
      <x:c r="BR23" s="910"/>
      <x:c r="BS23" s="672"/>
      <x:c r="BT23" s="713"/>
      <x:c r="BU23" s="714"/>
      <x:c r="BV23" s="1625"/>
      <x:c r="BW23" s="713"/>
      <x:c r="BX23" s="714"/>
      <x:c r="BY23" s="715"/>
      <x:c r="BZ23" s="716"/>
      <x:c r="CA23" s="680" t="str">
        <x:f>IF(ISERROR(DE23),"",IF(DE23="","",IF(VLOOKUP(BS23,SectInfo!$B:$N,10,FALSE)="","","X")))</x:f>
        <x:v/>
      </x:c>
      <x:c r="CB23" s="738"/>
      <x:c r="CC23" s="1551" t="str">
        <x:f t="shared" si="36"/>
        <x:v/>
      </x:c>
      <x:c r="CD23" s="910"/>
      <x:c r="CE23" s="717"/>
      <x:c r="CF23" s="736"/>
      <x:c r="CG23" s="737"/>
      <x:c r="CH23" s="591" t="str">
        <x:f t="shared" si="37"/>
        <x:v/>
      </x:c>
      <x:c r="CI23" s="592" t="str">
        <x:f t="shared" si="38"/>
        <x:v/>
      </x:c>
      <x:c r="CJ23" s="593" t="str">
        <x:f t="shared" si="39"/>
        <x:v/>
      </x:c>
      <x:c r="CK23" s="594" t="str">
        <x:f t="shared" si="40"/>
        <x:v/>
      </x:c>
      <x:c r="CL23" s="595" t="str">
        <x:f t="shared" si="41"/>
        <x:v/>
      </x:c>
      <x:c r="CM23" s="596" t="str">
        <x:f t="shared" si="42"/>
        <x:v/>
      </x:c>
      <x:c r="CN23" s="597" t="str">
        <x:f t="shared" si="43"/>
        <x:v/>
      </x:c>
      <x:c r="CO23" s="598" t="str">
        <x:f t="shared" si="44"/>
        <x:v/>
      </x:c>
      <x:c r="CP23" s="615" t="str">
        <x:f t="shared" si="45"/>
        <x:v/>
      </x:c>
      <x:c r="CQ23" s="616" t="str">
        <x:f t="shared" si="46"/>
        <x:v/>
      </x:c>
      <x:c r="CR23" s="750" t="str">
        <x:f t="shared" si="47"/>
        <x:v/>
      </x:c>
      <x:c r="CS23" s="751" t="str">
        <x:f t="shared" si="48"/>
        <x:v/>
      </x:c>
      <x:c r="CU23" s="817" t="str">
        <x:f>IF(BG23="","",VLOOKUP(BG23,SectInfo!$B:$N,12,FALSE))</x:f>
        <x:v/>
      </x:c>
      <x:c r="CV23" s="815" t="str">
        <x:f>IF(BG23="","",IF(ISBLANK(BP23),VLOOKUP(BG23,SectInfo!$B:$N,13,FALSE),BP23))</x:f>
        <x:v/>
      </x:c>
      <x:c r="CW23" s="8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8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si="49"/>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si="50"/>
        <x:v>0</x:v>
      </x:c>
      <x:c r="DO23" s="818">
        <x:f t="shared" si="51"/>
        <x:v>0</x:v>
      </x:c>
      <x:c r="DP23" s="822" t="str">
        <x:f t="shared" si="52"/>
        <x:v/>
      </x:c>
      <x:c r="DQ23" s="822" t="str">
        <x:f t="shared" si="53"/>
        <x:v/>
      </x:c>
      <x:c r="DR23" s="822" t="str">
        <x:f t="shared" si="54"/>
        <x:v/>
      </x:c>
      <x:c r="DS23" s="821">
        <x:f t="shared" si="55"/>
        <x:v>0</x:v>
      </x:c>
      <x:c r="DT23" s="821">
        <x:f t="shared" si="56"/>
        <x:v>0</x:v>
      </x:c>
      <x:c r="DU23" s="821" t="str">
        <x:f t="shared" si="57"/>
        <x:v/>
      </x:c>
      <x:c r="DV23" s="822" t="str">
        <x:f t="shared" si="58"/>
        <x:v/>
      </x:c>
      <x:c r="DW23" s="856" t="str">
        <x:f t="shared" si="59"/>
        <x:v/>
      </x:c>
      <x:c r="DX23" s="1006">
        <x:f t="shared" si="60"/>
        <x:v>0</x:v>
      </x:c>
      <x:c r="DY23" s="822">
        <x:f t="shared" si="61"/>
        <x:v>0</x:v>
      </x:c>
      <x:c r="DZ23" s="821">
        <x:f t="shared" si="62"/>
        <x:v>0</x:v>
      </x:c>
      <x:c r="EA23" s="821" t="str">
        <x:f t="shared" si="63"/>
        <x:v/>
      </x:c>
      <x:c r="EB23" s="822" t="str">
        <x:f t="shared" si="64"/>
        <x:v/>
      </x:c>
      <x:c r="EC23" s="856" t="str">
        <x:f t="shared" si="65"/>
        <x:v/>
      </x:c>
      <x:c r="ED23" s="1006">
        <x:f t="shared" si="66"/>
        <x:v>0</x:v>
      </x:c>
      <x:c r="EE23" s="1293" t="str">
        <x:f t="shared" si="67"/>
        <x:v/>
      </x:c>
      <x:c r="EF23" s="1293" t="str">
        <x:f t="shared" si="68"/>
        <x:v/>
      </x:c>
      <x:c r="EG23" s="1293" t="str">
        <x:f t="shared" si="69"/>
        <x:v/>
      </x:c>
      <x:c r="EH23" s="856" t="e">
        <x:f t="shared" si="70"/>
        <x:v>#N/A</x:v>
      </x:c>
      <x:c r="EI23" s="856" t="e">
        <x:f t="shared" si="71"/>
        <x:v>#N/A</x:v>
      </x:c>
      <x:c r="EJ23" s="822" t="str">
        <x:f t="shared" si="72"/>
        <x:v/>
      </x:c>
      <x:c r="EK23" s="822" t="str">
        <x:f t="shared" si="72"/>
        <x:v/>
      </x:c>
      <x:c r="EL23" s="1293" t="str">
        <x:f t="shared" si="73"/>
        <x:v/>
      </x:c>
      <x:c r="EM23" s="822" t="str">
        <x:f t="shared" si="74"/>
        <x:v/>
      </x:c>
      <x:c r="EN23" s="822" t="str">
        <x:f t="shared" si="75"/>
        <x:v/>
      </x:c>
      <x:c r="EO23" s="856" t="e">
        <x:f t="shared" si="76"/>
        <x:v>#N/A</x:v>
      </x:c>
      <x:c r="EP23" s="856" t="e">
        <x:f t="shared" si="77"/>
        <x:v>#N/A</x:v>
      </x:c>
      <x:c r="EQ23" s="1293" t="str">
        <x:f t="shared" si="78"/>
        <x:v/>
      </x:c>
      <x:c r="ER23" s="822" t="str">
        <x:f t="shared" si="78"/>
        <x:v/>
      </x:c>
      <x:c r="ES23" s="822" t="str">
        <x:f t="shared" si="79"/>
        <x:v/>
      </x:c>
      <x:c r="ET23" s="822" t="str">
        <x:f t="shared" si="80"/>
        <x:v/>
      </x:c>
      <x:c r="EU23" s="829" t="str">
        <x:f t="shared" si="81"/>
        <x:v/>
      </x:c>
      <x:c r="EV23" s="824" t="str">
        <x:f t="shared" si="82"/>
        <x:v/>
      </x:c>
      <x:c r="EW23" s="829"/>
      <x:c r="EX23" s="829" t="str">
        <x:f>IF(AND(CU23="G", ISBLANK(BK23), ISBLANK(BL23)),VLOOKUP(MIN(BH23:BI23),TblJoistSize!$M$3:$N$10,2),IF(OR(CU23="B",CU23="G"),MIN(BK23:BL23),""))</x:f>
        <x:v/>
      </x:c>
      <x:c r="EY23" s="829" t="str">
        <x:f>IF(AND(CU23="G", ISBLANK(BK23), ISBLANK(BL23)),VLOOKUP(MAX(BH23:BI23),TblJoistSize!$M$3:$N$10,2),IF(OR(CU23="B",CU23="G"),MAX(BK23:BL23),""))</x:f>
        <x:v/>
      </x:c>
      <x:c r="EZ23" s="829" t="str">
        <x:f t="shared" si="83"/>
        <x:v/>
      </x:c>
      <x:c r="FA23" s="829" t="str">
        <x:f>IF(AND(DE23="G", ISBLANK(BW23), ISBLANK(BX23)),VLOOKUP(MIN(BT23:BU23),TblJoistSize!$M$3:$N$10,2),IF(OR(DE23="B", DE23="G"),MIN(BW23:BX23),""))</x:f>
        <x:v/>
      </x:c>
      <x:c r="FB23" s="829" t="str">
        <x:f>IF(AND(DE23="G", ISBLANK(BW23), ISBLANK(BX23)),VLOOKUP(MAX(BT23:BU23),TblJoistSize!$M$3:$N$10,2),IF(OR(DE23="B", DE23="G"),MAX(BW23:BX23),""))</x:f>
        <x:v/>
      </x:c>
      <x:c r="FC23" s="829" t="str">
        <x:f t="shared" si="84"/>
        <x:v/>
      </x:c>
      <x:c r="FD23" s="821">
        <x:f t="shared" si="107"/>
        <x:v>0</x:v>
      </x:c>
      <x:c r="FE23" s="821">
        <x:f t="shared" si="85"/>
        <x:v>0</x:v>
      </x:c>
      <x:c r="FF23" s="821">
        <x:f t="shared" si="86"/>
        <x:v>0</x:v>
      </x:c>
      <x:c r="FG23" s="821" t="str">
        <x:f t="shared" si="87"/>
        <x:v/>
      </x:c>
      <x:c r="FH23" s="822" t="str">
        <x:f t="shared" si="88"/>
        <x:v/>
      </x:c>
      <x:c r="FI23" s="821">
        <x:f t="shared" si="108"/>
        <x:v>0</x:v>
      </x:c>
      <x:c r="FJ23" s="821">
        <x:f t="shared" si="89"/>
        <x:v>0</x:v>
      </x:c>
      <x:c r="FK23" s="821">
        <x:f t="shared" si="90"/>
        <x:v>0</x:v>
      </x:c>
      <x:c r="FL23" s="821" t="str">
        <x:f t="shared" si="91"/>
        <x:v/>
      </x:c>
      <x:c r="FM23" s="822" t="str">
        <x:f t="shared" si="92"/>
        <x:v/>
      </x:c>
      <x:c r="FN23" s="822" t="e">
        <x:f t="shared" si="93"/>
        <x:v>#VALUE!</x:v>
      </x:c>
      <x:c r="FO23" s="940" t="e">
        <x:f t="shared" si="94"/>
        <x:v>#VALUE!</x:v>
      </x:c>
      <x:c r="FP23" s="940" t="e">
        <x:f t="shared" si="95"/>
        <x:v>#VALUE!</x:v>
      </x:c>
      <x:c r="FQ23" s="830" t="e">
        <x:f t="shared" si="96"/>
        <x:v>#VALUE!</x:v>
      </x:c>
      <x:c r="FR23" s="831" t="e">
        <x:f t="shared" si="97"/>
        <x:v>#VALUE!</x:v>
      </x:c>
      <x:c r="FS23" s="832" t="str">
        <x:f t="shared" si="98"/>
        <x:v/>
      </x:c>
      <x:c r="FT23" s="833" t="str">
        <x:f t="shared" si="99"/>
        <x:v/>
      </x:c>
      <x:c r="FU23" s="870">
        <x:f t="shared" si="100"/>
        <x:v>0</x:v>
      </x:c>
      <x:c r="FV23" s="871">
        <x:f t="shared" si="101"/>
        <x:v>0</x:v>
      </x:c>
      <x:c r="GA23" s="1791" t="str">
        <x:f t="shared" ref="GA23:GA45" si="119">IF(GF23="","",BE23)</x:f>
        <x:v/>
      </x:c>
      <x:c r="GB23" s="1792" t="str">
        <x:f t="shared" ref="GB23:GB45" si="120">IF(GF23="","",BF23)</x:f>
        <x:v/>
      </x:c>
      <x:c r="GC23" s="1793" t="str">
        <x:f t="shared" ref="GC23:GC45" si="121">IF(GF23="","",IF(CV23="",0,CV23))</x:f>
        <x:v/>
      </x:c>
      <x:c r="GD23" s="1794" t="str">
        <x:f t="shared" ref="GD23:GD45" si="122">IF(GF23="","",IF(DF23="",0,DF23))</x:f>
        <x:v/>
      </x:c>
      <x:c r="GE23" s="1795" t="str">
        <x:f t="shared" si="102"/>
        <x:v/>
      </x:c>
      <x:c r="GF23" s="600" t="str">
        <x:f t="shared" si="103"/>
        <x:v/>
      </x:c>
      <x:c r="GG23" s="1130"/>
      <x:c r="GH23" s="1131"/>
      <x:c r="GI23" s="1130"/>
      <x:c r="GJ23" s="1131"/>
      <x:c r="GK23" s="1638">
        <x:f t="shared" si="104"/>
        <x:v>0</x:v>
      </x:c>
      <x:c r="GL23" s="1636" t="e">
        <x:f t="shared" si="105"/>
        <x:v>#VALUE!</x:v>
      </x:c>
      <x:c r="GM23" s="1637" t="e">
        <x:f>IF(ABS(GK23-GL23)&gt;='Job Info.'!$L$22,ABS(GK23-GL23),0)</x:f>
        <x:v>#VALUE!</x:v>
      </x:c>
      <x:c r="HA23" s="1269"/>
      <x:c r="HB23" s="1270"/>
      <x:c r="HC23" s="1270"/>
      <x:c r="HD23" s="1271"/>
      <x:c r="HE23" s="1272"/>
      <x:c r="HF23" s="1270"/>
      <x:c r="HG23" s="1270"/>
      <x:c r="HH23" s="1270"/>
      <x:c r="HI23" s="1273"/>
      <x:c r="HJ23" s="1270"/>
      <x:c r="HK23" s="1270"/>
      <x:c r="HL23" s="1270"/>
      <x:c r="HM23" s="1270"/>
      <x:c r="HN23" s="1270"/>
      <x:c r="HO23" s="1270"/>
      <x:c r="HP23" s="1270"/>
      <x:c r="HQ23" s="1273"/>
      <x:c r="HR23" s="1270"/>
      <x:c r="HS23" s="1270"/>
      <x:c r="HT23" s="1270"/>
      <x:c r="HU23" s="1270"/>
      <x:c r="HV23" s="1270"/>
      <x:c r="HW23" s="1272"/>
      <x:c r="HX23" s="1272"/>
      <x:c r="HY23" s="1272"/>
      <x:c r="HZ23" s="1272"/>
      <x:c r="IA23" s="1272"/>
      <x:c r="IB23" s="1272"/>
      <x:c r="IC23" s="1272"/>
      <x:c r="ID23" s="1272"/>
      <x:c r="IE23" s="1272"/>
      <x:c r="IF23" s="1274"/>
    </x:row>
    <x:row r="24" spans="1:240" ht="12.6" customHeight="1" x14ac:dyDescent="0.25">
      <x:c r="A24" s="2764" t="str">
        <x:f t="shared" si="109"/>
        <x:v/>
      </x:c>
      <x:c r="B24" s="2765"/>
      <x:c r="C24" s="2766" t="str">
        <x:f t="shared" si="110"/>
        <x:v/>
      </x:c>
      <x:c r="D24" s="2767" t="str">
        <x:f t="shared" si="111"/>
        <x:v/>
      </x:c>
      <x:c r="E24" s="2768" t="str">
        <x:f t="shared" si="112"/>
        <x:v/>
      </x:c>
      <x:c r="F24" s="2776" t="str">
        <x:f t="shared" si="1"/>
        <x:v/>
      </x:c>
      <x:c r="G24" s="2771" t="str">
        <x:f t="shared" si="2"/>
        <x:v/>
      </x:c>
      <x:c r="H24" s="2842" t="str">
        <x:f t="shared" si="3"/>
        <x:v/>
      </x:c>
      <x:c r="I24" s="2767" t="str">
        <x:f t="shared" si="4"/>
        <x:v/>
      </x:c>
      <x:c r="J24" s="2771" t="str">
        <x:f t="shared" si="5"/>
        <x:v/>
      </x:c>
      <x:c r="K24" s="2855" t="str">
        <x:f t="shared" si="6"/>
        <x:v/>
      </x:c>
      <x:c r="L24" s="2774" t="str">
        <x:f t="shared" si="113"/>
        <x:v/>
      </x:c>
      <x:c r="M24" s="2775" t="str">
        <x:f t="shared" si="113"/>
        <x:v/>
      </x:c>
      <x:c r="N24" s="2770" t="str">
        <x:f t="shared" si="7"/>
        <x:v/>
      </x:c>
      <x:c r="O24" s="2771" t="str">
        <x:f t="shared" si="8"/>
        <x:v/>
      </x:c>
      <x:c r="P24" s="2772" t="str">
        <x:f t="shared" si="9"/>
        <x:v/>
      </x:c>
      <x:c r="Q24" s="2767" t="str">
        <x:f t="shared" si="10"/>
        <x:v/>
      </x:c>
      <x:c r="R24" s="2771" t="str">
        <x:f t="shared" si="11"/>
        <x:v/>
      </x:c>
      <x:c r="S24" s="2773" t="str">
        <x:f t="shared" si="12"/>
        <x:v/>
      </x:c>
      <x:c r="T24" s="2776" t="str">
        <x:f t="shared" si="114"/>
        <x:v/>
      </x:c>
      <x:c r="U24" s="2771" t="str">
        <x:f t="shared" si="115"/>
        <x:v/>
      </x:c>
      <x:c r="V24" s="2767" t="str">
        <x:f t="shared" si="116"/>
        <x:v/>
      </x:c>
      <x:c r="W24" s="2771" t="str">
        <x:f t="shared" si="117"/>
        <x:v/>
      </x:c>
      <x:c r="X24" s="2775">
        <x:f t="shared" si="118"/>
        <x:v>0</x:v>
      </x:c>
      <x:c r="Y24" s="2844" t="str">
        <x:f t="shared" si="13"/>
        <x:v/>
      </x:c>
      <x:c r="Z24" s="2845" t="str">
        <x:f t="shared" si="14"/>
        <x:v/>
      </x:c>
      <x:c r="AA24" s="2846" t="s">
        <x:v>116</x:v>
      </x:c>
      <x:c r="AB24" s="1413"/>
      <x:c r="AC24" s="964" t="b">
        <x:v>0</x:v>
      </x:c>
      <x:c r="AD24" s="441">
        <x:f t="shared" si="15"/>
        <x:v>0</x:v>
      </x:c>
      <x:c r="AE24" s="442">
        <x:f t="shared" si="16"/>
        <x:v>0</x:v>
      </x:c>
      <x:c r="AF24" s="442">
        <x:f t="shared" si="17"/>
        <x:v>0</x:v>
      </x:c>
      <x:c r="AG24" s="442">
        <x:f t="shared" si="18"/>
        <x:v>0</x:v>
      </x:c>
      <x:c r="AH24" s="443">
        <x:f t="shared" si="19"/>
        <x:v>0</x:v>
      </x:c>
      <x:c r="AI24" s="444" t="b">
        <x:v>0</x:v>
      </x:c>
      <x:c r="AJ24" s="238">
        <x:f t="shared" si="20"/>
        <x:v>0</x:v>
      </x:c>
      <x:c r="AK24" s="830" t="str">
        <x:f t="shared" si="21"/>
        <x:v/>
      </x:c>
      <x:c r="AL24" s="945" t="str">
        <x:f t="shared" si="22"/>
        <x:v/>
      </x:c>
      <x:c r="AM24" s="830" t="str">
        <x:f t="shared" si="23"/>
        <x:v/>
      </x:c>
      <x:c r="AN24" s="830" t="str">
        <x:f t="shared" si="24"/>
        <x:v/>
      </x:c>
      <x:c r="AO24" s="830" t="str">
        <x:f t="shared" si="25"/>
        <x:v/>
      </x:c>
      <x:c r="AP24" s="830" t="b">
        <x:f>IF(ISERROR(AJ24),FALSE,IF(OR(AJ24=0,ISERROR(AL24),ISERROR(AM24),ISERROR(AN24),ISERROR(AO24)),FALSE,IF(AL24&lt;&gt;"",IF(ISERROR(VLOOKUP(SUBSTITUTE(SUBSTITUTE(C24,"R",""),"A",""),TblJoistSize!$A:$A,1,FALSE)),FALSE,TRUE),TRUE)))</x:f>
        <x:v>0</x:v>
      </x:c>
      <x:c r="AQ24" s="1038" t="e">
        <x:f t="shared" si="26"/>
        <x:v>#N/A</x:v>
      </x:c>
      <x:c r="AR24" s="945" t="b">
        <x:f t="shared" si="27"/>
        <x:v>0</x:v>
      </x:c>
      <x:c r="AS24" s="1038" t="e">
        <x:f t="shared" si="28"/>
        <x:v>#N/A</x:v>
      </x:c>
      <x:c r="AT24" s="945" t="b">
        <x:f t="shared" si="29"/>
        <x:v>0</x:v>
      </x:c>
      <x:c r="AU24" s="946" t="str">
        <x:f t="shared" si="30"/>
        <x:v/>
      </x:c>
      <x:c r="AV24" s="830" t="str">
        <x:f t="shared" si="31"/>
        <x:v/>
      </x:c>
      <x:c r="AW24" s="830" t="str">
        <x:f t="shared" si="32"/>
        <x:v/>
      </x:c>
      <x:c r="AX24" s="830" t="str">
        <x:f t="shared" si="106"/>
        <x:v/>
      </x:c>
      <x:c r="AY24" s="1039" t="b">
        <x:f t="shared" si="33"/>
        <x:v>0</x:v>
      </x:c>
      <x:c r="AZ24" s="856" t="str">
        <x:f t="shared" si="34"/>
        <x:v/>
      </x:c>
      <x:c r="BA24" s="549"/>
      <x:c r="BB24" s="672"/>
      <x:c r="BC24" s="1684"/>
      <x:c r="BD24" s="733"/>
      <x:c r="BE24" s="734"/>
      <x:c r="BF24" s="735"/>
      <x:c r="BG24" s="672"/>
      <x:c r="BH24" s="982"/>
      <x:c r="BI24" s="983"/>
      <x:c r="BJ24" s="1625"/>
      <x:c r="BK24" s="713"/>
      <x:c r="BL24" s="714"/>
      <x:c r="BM24" s="715"/>
      <x:c r="BN24" s="716"/>
      <x:c r="BO24" s="672" t="str">
        <x:f>IF(ISERROR(CU24),"",IF(CU24="","",IF(VLOOKUP(BG24,SectInfo!$B:$N,10,FALSE)="","","X")))</x:f>
        <x:v/>
      </x:c>
      <x:c r="BP24" s="738"/>
      <x:c r="BQ24" s="1551" t="str">
        <x:f t="shared" si="35"/>
        <x:v/>
      </x:c>
      <x:c r="BR24" s="910"/>
      <x:c r="BS24" s="672"/>
      <x:c r="BT24" s="713"/>
      <x:c r="BU24" s="714"/>
      <x:c r="BV24" s="1625"/>
      <x:c r="BW24" s="713"/>
      <x:c r="BX24" s="714"/>
      <x:c r="BY24" s="715"/>
      <x:c r="BZ24" s="716"/>
      <x:c r="CA24" s="680" t="str">
        <x:f>IF(ISERROR(DE24),"",IF(DE24="","",IF(VLOOKUP(BS24,SectInfo!$B:$N,10,FALSE)="","","X")))</x:f>
        <x:v/>
      </x:c>
      <x:c r="CB24" s="738"/>
      <x:c r="CC24" s="1551" t="str">
        <x:f t="shared" si="36"/>
        <x:v/>
      </x:c>
      <x:c r="CD24" s="910"/>
      <x:c r="CE24" s="717"/>
      <x:c r="CF24" s="736"/>
      <x:c r="CG24" s="737"/>
      <x:c r="CH24" s="591" t="str">
        <x:f t="shared" si="37"/>
        <x:v/>
      </x:c>
      <x:c r="CI24" s="592" t="str">
        <x:f t="shared" si="38"/>
        <x:v/>
      </x:c>
      <x:c r="CJ24" s="593" t="str">
        <x:f t="shared" si="39"/>
        <x:v/>
      </x:c>
      <x:c r="CK24" s="594" t="str">
        <x:f t="shared" si="40"/>
        <x:v/>
      </x:c>
      <x:c r="CL24" s="595" t="str">
        <x:f t="shared" si="41"/>
        <x:v/>
      </x:c>
      <x:c r="CM24" s="596" t="str">
        <x:f t="shared" si="42"/>
        <x:v/>
      </x:c>
      <x:c r="CN24" s="597" t="str">
        <x:f t="shared" si="43"/>
        <x:v/>
      </x:c>
      <x:c r="CO24" s="598" t="str">
        <x:f t="shared" si="44"/>
        <x:v/>
      </x:c>
      <x:c r="CP24" s="615" t="str">
        <x:f t="shared" si="45"/>
        <x:v/>
      </x:c>
      <x:c r="CQ24" s="616" t="str">
        <x:f t="shared" si="46"/>
        <x:v/>
      </x:c>
      <x:c r="CR24" s="750" t="str">
        <x:f t="shared" si="47"/>
        <x:v/>
      </x:c>
      <x:c r="CS24" s="751" t="str">
        <x:f t="shared" si="48"/>
        <x:v/>
      </x:c>
      <x:c r="CU24" s="817" t="str">
        <x:f>IF(BG24="","",VLOOKUP(BG24,SectInfo!$B:$N,12,FALSE))</x:f>
        <x:v/>
      </x:c>
      <x:c r="CV24" s="815" t="str">
        <x:f>IF(BG24="","",IF(ISBLANK(BP24),VLOOKUP(BG24,SectInfo!$B:$N,13,FALSE),BP24))</x:f>
        <x:v/>
      </x:c>
      <x:c r="CW24" s="8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8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49"/>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50"/>
        <x:v>0</x:v>
      </x:c>
      <x:c r="DO24" s="818">
        <x:f t="shared" si="51"/>
        <x:v>0</x:v>
      </x:c>
      <x:c r="DP24" s="822" t="str">
        <x:f t="shared" si="52"/>
        <x:v/>
      </x:c>
      <x:c r="DQ24" s="822" t="str">
        <x:f t="shared" si="53"/>
        <x:v/>
      </x:c>
      <x:c r="DR24" s="822" t="str">
        <x:f t="shared" si="54"/>
        <x:v/>
      </x:c>
      <x:c r="DS24" s="821">
        <x:f t="shared" si="55"/>
        <x:v>0</x:v>
      </x:c>
      <x:c r="DT24" s="821">
        <x:f t="shared" si="56"/>
        <x:v>0</x:v>
      </x:c>
      <x:c r="DU24" s="821" t="str">
        <x:f t="shared" si="57"/>
        <x:v/>
      </x:c>
      <x:c r="DV24" s="822" t="str">
        <x:f t="shared" si="58"/>
        <x:v/>
      </x:c>
      <x:c r="DW24" s="856" t="str">
        <x:f t="shared" si="59"/>
        <x:v/>
      </x:c>
      <x:c r="DX24" s="1006">
        <x:f t="shared" si="60"/>
        <x:v>0</x:v>
      </x:c>
      <x:c r="DY24" s="822">
        <x:f t="shared" si="61"/>
        <x:v>0</x:v>
      </x:c>
      <x:c r="DZ24" s="821">
        <x:f t="shared" si="62"/>
        <x:v>0</x:v>
      </x:c>
      <x:c r="EA24" s="821" t="str">
        <x:f t="shared" si="63"/>
        <x:v/>
      </x:c>
      <x:c r="EB24" s="822" t="str">
        <x:f t="shared" si="64"/>
        <x:v/>
      </x:c>
      <x:c r="EC24" s="856" t="str">
        <x:f t="shared" si="65"/>
        <x:v/>
      </x:c>
      <x:c r="ED24" s="1006">
        <x:f t="shared" si="66"/>
        <x:v>0</x:v>
      </x:c>
      <x:c r="EE24" s="1293" t="str">
        <x:f t="shared" si="67"/>
        <x:v/>
      </x:c>
      <x:c r="EF24" s="1293" t="str">
        <x:f t="shared" si="68"/>
        <x:v/>
      </x:c>
      <x:c r="EG24" s="1293" t="str">
        <x:f t="shared" si="69"/>
        <x:v/>
      </x:c>
      <x:c r="EH24" s="856" t="e">
        <x:f t="shared" si="70"/>
        <x:v>#N/A</x:v>
      </x:c>
      <x:c r="EI24" s="856" t="e">
        <x:f t="shared" si="71"/>
        <x:v>#N/A</x:v>
      </x:c>
      <x:c r="EJ24" s="822" t="str">
        <x:f t="shared" si="72"/>
        <x:v/>
      </x:c>
      <x:c r="EK24" s="822" t="str">
        <x:f t="shared" si="72"/>
        <x:v/>
      </x:c>
      <x:c r="EL24" s="1293" t="str">
        <x:f t="shared" si="73"/>
        <x:v/>
      </x:c>
      <x:c r="EM24" s="822" t="str">
        <x:f t="shared" si="74"/>
        <x:v/>
      </x:c>
      <x:c r="EN24" s="822" t="str">
        <x:f t="shared" si="75"/>
        <x:v/>
      </x:c>
      <x:c r="EO24" s="856" t="e">
        <x:f t="shared" si="76"/>
        <x:v>#N/A</x:v>
      </x:c>
      <x:c r="EP24" s="856" t="e">
        <x:f t="shared" si="77"/>
        <x:v>#N/A</x:v>
      </x:c>
      <x:c r="EQ24" s="1293" t="str">
        <x:f t="shared" si="78"/>
        <x:v/>
      </x:c>
      <x:c r="ER24" s="822" t="str">
        <x:f t="shared" si="78"/>
        <x:v/>
      </x:c>
      <x:c r="ES24" s="822" t="str">
        <x:f t="shared" si="79"/>
        <x:v/>
      </x:c>
      <x:c r="ET24" s="822" t="str">
        <x:f t="shared" si="80"/>
        <x:v/>
      </x:c>
      <x:c r="EU24" s="829" t="str">
        <x:f t="shared" si="81"/>
        <x:v/>
      </x:c>
      <x:c r="EV24" s="824" t="str">
        <x:f t="shared" si="82"/>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83"/>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84"/>
        <x:v/>
      </x:c>
      <x:c r="FD24" s="821">
        <x:f t="shared" si="107"/>
        <x:v>0</x:v>
      </x:c>
      <x:c r="FE24" s="821">
        <x:f t="shared" si="85"/>
        <x:v>0</x:v>
      </x:c>
      <x:c r="FF24" s="821">
        <x:f t="shared" si="86"/>
        <x:v>0</x:v>
      </x:c>
      <x:c r="FG24" s="821" t="str">
        <x:f t="shared" si="87"/>
        <x:v/>
      </x:c>
      <x:c r="FH24" s="822" t="str">
        <x:f t="shared" si="88"/>
        <x:v/>
      </x:c>
      <x:c r="FI24" s="821">
        <x:f t="shared" si="108"/>
        <x:v>0</x:v>
      </x:c>
      <x:c r="FJ24" s="821">
        <x:f t="shared" si="89"/>
        <x:v>0</x:v>
      </x:c>
      <x:c r="FK24" s="821">
        <x:f t="shared" si="90"/>
        <x:v>0</x:v>
      </x:c>
      <x:c r="FL24" s="821" t="str">
        <x:f t="shared" si="91"/>
        <x:v/>
      </x:c>
      <x:c r="FM24" s="822" t="str">
        <x:f t="shared" si="92"/>
        <x:v/>
      </x:c>
      <x:c r="FN24" s="822" t="e">
        <x:f t="shared" si="93"/>
        <x:v>#VALUE!</x:v>
      </x:c>
      <x:c r="FO24" s="940" t="e">
        <x:f t="shared" si="94"/>
        <x:v>#VALUE!</x:v>
      </x:c>
      <x:c r="FP24" s="940" t="e">
        <x:f t="shared" si="95"/>
        <x:v>#VALUE!</x:v>
      </x:c>
      <x:c r="FQ24" s="830" t="e">
        <x:f t="shared" si="96"/>
        <x:v>#VALUE!</x:v>
      </x:c>
      <x:c r="FR24" s="831" t="e">
        <x:f t="shared" si="97"/>
        <x:v>#VALUE!</x:v>
      </x:c>
      <x:c r="FS24" s="832" t="str">
        <x:f t="shared" si="98"/>
        <x:v/>
      </x:c>
      <x:c r="FT24" s="833" t="str">
        <x:f t="shared" si="99"/>
        <x:v/>
      </x:c>
      <x:c r="FU24" s="870">
        <x:f t="shared" si="100"/>
        <x:v>0</x:v>
      </x:c>
      <x:c r="FV24" s="871">
        <x:f t="shared" si="101"/>
        <x:v>0</x:v>
      </x:c>
      <x:c r="GA24" s="1791" t="str">
        <x:f t="shared" si="119"/>
        <x:v/>
      </x:c>
      <x:c r="GB24" s="1792" t="str">
        <x:f t="shared" si="120"/>
        <x:v/>
      </x:c>
      <x:c r="GC24" s="1793" t="str">
        <x:f t="shared" si="121"/>
        <x:v/>
      </x:c>
      <x:c r="GD24" s="1794" t="str">
        <x:f t="shared" si="122"/>
        <x:v/>
      </x:c>
      <x:c r="GE24" s="1795" t="str">
        <x:f t="shared" si="102"/>
        <x:v/>
      </x:c>
      <x:c r="GF24" s="600" t="str">
        <x:f t="shared" si="103"/>
        <x:v/>
      </x:c>
      <x:c r="GG24" s="1130"/>
      <x:c r="GH24" s="1131"/>
      <x:c r="GI24" s="1130"/>
      <x:c r="GJ24" s="1131"/>
      <x:c r="GK24" s="1638">
        <x:f t="shared" si="104"/>
        <x:v>0</x:v>
      </x:c>
      <x:c r="GL24" s="1636" t="e">
        <x:f t="shared" si="105"/>
        <x:v>#VALUE!</x:v>
      </x:c>
      <x:c r="GM24" s="1637" t="e">
        <x:f>IF(ABS(GK24-GL24)&gt;='Job Info.'!$L$22,ABS(GK24-GL24),0)</x:f>
        <x:v>#VALUE!</x:v>
      </x:c>
      <x:c r="HA24" s="1269"/>
      <x:c r="HB24" s="1270"/>
      <x:c r="HC24" s="1270"/>
      <x:c r="HD24" s="1271"/>
      <x:c r="HE24" s="1272"/>
      <x:c r="HF24" s="1270"/>
      <x:c r="HG24" s="1270"/>
      <x:c r="HH24" s="1270"/>
      <x:c r="HI24" s="1273"/>
      <x:c r="HJ24" s="1270"/>
      <x:c r="HK24" s="1270"/>
      <x:c r="HL24" s="1270"/>
      <x:c r="HM24" s="1270"/>
      <x:c r="HN24" s="1270"/>
      <x:c r="HO24" s="1270"/>
      <x:c r="HP24" s="1270"/>
      <x:c r="HQ24" s="1273"/>
      <x:c r="HR24" s="1270"/>
      <x:c r="HS24" s="1270"/>
      <x:c r="HT24" s="1270"/>
      <x:c r="HU24" s="1270"/>
      <x:c r="HV24" s="1270"/>
      <x:c r="HW24" s="1272"/>
      <x:c r="HX24" s="1272"/>
      <x:c r="HY24" s="1272"/>
      <x:c r="HZ24" s="1272"/>
      <x:c r="IA24" s="1272"/>
      <x:c r="IB24" s="1272"/>
      <x:c r="IC24" s="1272"/>
      <x:c r="ID24" s="1272"/>
      <x:c r="IE24" s="1272"/>
      <x:c r="IF24" s="1274"/>
    </x:row>
    <x:row r="25" spans="1:240" ht="12.6" customHeight="1" x14ac:dyDescent="0.25">
      <x:c r="A25" s="2764" t="str">
        <x:f t="shared" si="109"/>
        <x:v/>
      </x:c>
      <x:c r="B25" s="2765"/>
      <x:c r="C25" s="2766" t="str">
        <x:f t="shared" si="110"/>
        <x:v/>
      </x:c>
      <x:c r="D25" s="2767" t="str">
        <x:f t="shared" si="111"/>
        <x:v/>
      </x:c>
      <x:c r="E25" s="2768" t="str">
        <x:f t="shared" si="112"/>
        <x:v/>
      </x:c>
      <x:c r="F25" s="2776" t="str">
        <x:f t="shared" si="1"/>
        <x:v/>
      </x:c>
      <x:c r="G25" s="2771" t="str">
        <x:f t="shared" si="2"/>
        <x:v/>
      </x:c>
      <x:c r="H25" s="2842" t="str">
        <x:f t="shared" si="3"/>
        <x:v/>
      </x:c>
      <x:c r="I25" s="2767" t="str">
        <x:f t="shared" si="4"/>
        <x:v/>
      </x:c>
      <x:c r="J25" s="2771" t="str">
        <x:f t="shared" si="5"/>
        <x:v/>
      </x:c>
      <x:c r="K25" s="2855" t="str">
        <x:f t="shared" si="6"/>
        <x:v/>
      </x:c>
      <x:c r="L25" s="2774" t="str">
        <x:f t="shared" si="113"/>
        <x:v/>
      </x:c>
      <x:c r="M25" s="2775" t="str">
        <x:f t="shared" si="113"/>
        <x:v/>
      </x:c>
      <x:c r="N25" s="2770" t="str">
        <x:f t="shared" si="7"/>
        <x:v/>
      </x:c>
      <x:c r="O25" s="2771" t="str">
        <x:f t="shared" si="8"/>
        <x:v/>
      </x:c>
      <x:c r="P25" s="2772" t="str">
        <x:f t="shared" si="9"/>
        <x:v/>
      </x:c>
      <x:c r="Q25" s="2767" t="str">
        <x:f t="shared" si="10"/>
        <x:v/>
      </x:c>
      <x:c r="R25" s="2771" t="str">
        <x:f t="shared" si="11"/>
        <x:v/>
      </x:c>
      <x:c r="S25" s="2773" t="str">
        <x:f t="shared" si="12"/>
        <x:v/>
      </x:c>
      <x:c r="T25" s="2776" t="str">
        <x:f t="shared" si="114"/>
        <x:v/>
      </x:c>
      <x:c r="U25" s="2771" t="str">
        <x:f t="shared" si="115"/>
        <x:v/>
      </x:c>
      <x:c r="V25" s="2767" t="str">
        <x:f t="shared" si="116"/>
        <x:v/>
      </x:c>
      <x:c r="W25" s="2771" t="str">
        <x:f t="shared" si="117"/>
        <x:v/>
      </x:c>
      <x:c r="X25" s="2775">
        <x:f t="shared" si="118"/>
        <x:v>0</x:v>
      </x:c>
      <x:c r="Y25" s="2844" t="str">
        <x:f t="shared" si="13"/>
        <x:v/>
      </x:c>
      <x:c r="Z25" s="2845" t="str">
        <x:f t="shared" si="14"/>
        <x:v/>
      </x:c>
      <x:c r="AA25" s="2846" t="s">
        <x:v>116</x:v>
      </x:c>
      <x:c r="AB25" s="1413"/>
      <x:c r="AC25" s="964" t="b">
        <x:v>0</x:v>
      </x:c>
      <x:c r="AD25" s="441">
        <x:f t="shared" si="15"/>
        <x:v>0</x:v>
      </x:c>
      <x:c r="AE25" s="442">
        <x:f t="shared" si="16"/>
        <x:v>0</x:v>
      </x:c>
      <x:c r="AF25" s="442">
        <x:f t="shared" si="17"/>
        <x:v>0</x:v>
      </x:c>
      <x:c r="AG25" s="442">
        <x:f t="shared" si="18"/>
        <x:v>0</x:v>
      </x:c>
      <x:c r="AH25" s="443">
        <x:f t="shared" si="19"/>
        <x:v>0</x:v>
      </x:c>
      <x:c r="AI25" s="444" t="b">
        <x:v>0</x:v>
      </x:c>
      <x:c r="AJ25" s="238">
        <x:f t="shared" si="20"/>
        <x:v>0</x:v>
      </x:c>
      <x:c r="AK25" s="830" t="str">
        <x:f t="shared" si="21"/>
        <x:v/>
      </x:c>
      <x:c r="AL25" s="945" t="str">
        <x:f t="shared" si="22"/>
        <x:v/>
      </x:c>
      <x:c r="AM25" s="830" t="str">
        <x:f t="shared" si="23"/>
        <x:v/>
      </x:c>
      <x:c r="AN25" s="830" t="str">
        <x:f t="shared" si="24"/>
        <x:v/>
      </x:c>
      <x:c r="AO25" s="830" t="str">
        <x:f t="shared" si="25"/>
        <x:v/>
      </x:c>
      <x:c r="AP25" s="830" t="b">
        <x:f>IF(ISERROR(AJ25),FALSE,IF(OR(AJ25=0,ISERROR(AL25),ISERROR(AM25),ISERROR(AN25),ISERROR(AO25)),FALSE,IF(AL25&lt;&gt;"",IF(ISERROR(VLOOKUP(SUBSTITUTE(SUBSTITUTE(C25,"R",""),"A",""),TblJoistSize!$A:$A,1,FALSE)),FALSE,TRUE),TRUE)))</x:f>
        <x:v>0</x:v>
      </x:c>
      <x:c r="AQ25" s="1038" t="e">
        <x:f t="shared" si="26"/>
        <x:v>#N/A</x:v>
      </x:c>
      <x:c r="AR25" s="945" t="b">
        <x:f t="shared" si="27"/>
        <x:v>0</x:v>
      </x:c>
      <x:c r="AS25" s="1038" t="e">
        <x:f t="shared" si="28"/>
        <x:v>#N/A</x:v>
      </x:c>
      <x:c r="AT25" s="945" t="b">
        <x:f t="shared" si="29"/>
        <x:v>0</x:v>
      </x:c>
      <x:c r="AU25" s="946" t="str">
        <x:f t="shared" si="30"/>
        <x:v/>
      </x:c>
      <x:c r="AV25" s="830" t="str">
        <x:f t="shared" si="31"/>
        <x:v/>
      </x:c>
      <x:c r="AW25" s="830" t="str">
        <x:f t="shared" si="32"/>
        <x:v/>
      </x:c>
      <x:c r="AX25" s="830" t="str">
        <x:f t="shared" si="106"/>
        <x:v/>
      </x:c>
      <x:c r="AY25" s="1039" t="b">
        <x:f t="shared" si="33"/>
        <x:v>0</x:v>
      </x:c>
      <x:c r="AZ25" s="856" t="str">
        <x:f t="shared" si="34"/>
        <x:v/>
      </x:c>
      <x:c r="BA25" s="549"/>
      <x:c r="BB25" s="672"/>
      <x:c r="BC25" s="1684"/>
      <x:c r="BD25" s="733"/>
      <x:c r="BE25" s="734"/>
      <x:c r="BF25" s="735"/>
      <x:c r="BG25" s="672"/>
      <x:c r="BH25" s="982"/>
      <x:c r="BI25" s="983"/>
      <x:c r="BJ25" s="1625"/>
      <x:c r="BK25" s="713"/>
      <x:c r="BL25" s="714"/>
      <x:c r="BM25" s="715"/>
      <x:c r="BN25" s="716"/>
      <x:c r="BO25" s="672" t="str">
        <x:f>IF(ISERROR(CU25),"",IF(CU25="","",IF(VLOOKUP(BG25,SectInfo!$B:$N,10,FALSE)="","","X")))</x:f>
        <x:v/>
      </x:c>
      <x:c r="BP25" s="738"/>
      <x:c r="BQ25" s="1551" t="str">
        <x:f t="shared" si="35"/>
        <x:v/>
      </x:c>
      <x:c r="BR25" s="910"/>
      <x:c r="BS25" s="672"/>
      <x:c r="BT25" s="713"/>
      <x:c r="BU25" s="714"/>
      <x:c r="BV25" s="1625"/>
      <x:c r="BW25" s="713"/>
      <x:c r="BX25" s="714"/>
      <x:c r="BY25" s="715"/>
      <x:c r="BZ25" s="716"/>
      <x:c r="CA25" s="680" t="str">
        <x:f>IF(ISERROR(DE25),"",IF(DE25="","",IF(VLOOKUP(BS25,SectInfo!$B:$N,10,FALSE)="","","X")))</x:f>
        <x:v/>
      </x:c>
      <x:c r="CB25" s="738"/>
      <x:c r="CC25" s="1551" t="str">
        <x:f t="shared" si="36"/>
        <x:v/>
      </x:c>
      <x:c r="CD25" s="910"/>
      <x:c r="CE25" s="717"/>
      <x:c r="CF25" s="736"/>
      <x:c r="CG25" s="737"/>
      <x:c r="CH25" s="591" t="str">
        <x:f t="shared" si="37"/>
        <x:v/>
      </x:c>
      <x:c r="CI25" s="592" t="str">
        <x:f t="shared" si="38"/>
        <x:v/>
      </x:c>
      <x:c r="CJ25" s="593" t="str">
        <x:f t="shared" si="39"/>
        <x:v/>
      </x:c>
      <x:c r="CK25" s="594" t="str">
        <x:f t="shared" si="40"/>
        <x:v/>
      </x:c>
      <x:c r="CL25" s="595" t="str">
        <x:f t="shared" si="41"/>
        <x:v/>
      </x:c>
      <x:c r="CM25" s="596" t="str">
        <x:f t="shared" si="42"/>
        <x:v/>
      </x:c>
      <x:c r="CN25" s="597" t="str">
        <x:f t="shared" si="43"/>
        <x:v/>
      </x:c>
      <x:c r="CO25" s="598" t="str">
        <x:f t="shared" si="44"/>
        <x:v/>
      </x:c>
      <x:c r="CP25" s="615" t="str">
        <x:f t="shared" si="45"/>
        <x:v/>
      </x:c>
      <x:c r="CQ25" s="616" t="str">
        <x:f t="shared" si="46"/>
        <x:v/>
      </x:c>
      <x:c r="CR25" s="750" t="str">
        <x:f t="shared" si="47"/>
        <x:v/>
      </x:c>
      <x:c r="CS25" s="751" t="str">
        <x:f t="shared" si="48"/>
        <x:v/>
      </x:c>
      <x:c r="CU25" s="817" t="str">
        <x:f>IF(BG25="","",VLOOKUP(BG25,SectInfo!$B:$N,12,FALSE))</x:f>
        <x:v/>
      </x:c>
      <x:c r="CV25" s="815" t="str">
        <x:f>IF(BG25="","",IF(ISBLANK(BP25),VLOOKUP(BG25,SectInfo!$B:$N,13,FALSE),BP25))</x:f>
        <x:v/>
      </x:c>
      <x:c r="CW25" s="8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8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49"/>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50"/>
        <x:v>0</x:v>
      </x:c>
      <x:c r="DO25" s="818">
        <x:f t="shared" si="51"/>
        <x:v>0</x:v>
      </x:c>
      <x:c r="DP25" s="822" t="str">
        <x:f t="shared" si="52"/>
        <x:v/>
      </x:c>
      <x:c r="DQ25" s="822" t="str">
        <x:f t="shared" si="53"/>
        <x:v/>
      </x:c>
      <x:c r="DR25" s="822" t="str">
        <x:f t="shared" si="54"/>
        <x:v/>
      </x:c>
      <x:c r="DS25" s="821">
        <x:f t="shared" si="55"/>
        <x:v>0</x:v>
      </x:c>
      <x:c r="DT25" s="821">
        <x:f t="shared" si="56"/>
        <x:v>0</x:v>
      </x:c>
      <x:c r="DU25" s="821" t="str">
        <x:f t="shared" si="57"/>
        <x:v/>
      </x:c>
      <x:c r="DV25" s="822" t="str">
        <x:f t="shared" si="58"/>
        <x:v/>
      </x:c>
      <x:c r="DW25" s="856" t="str">
        <x:f t="shared" si="59"/>
        <x:v/>
      </x:c>
      <x:c r="DX25" s="1006">
        <x:f t="shared" si="60"/>
        <x:v>0</x:v>
      </x:c>
      <x:c r="DY25" s="822">
        <x:f t="shared" si="61"/>
        <x:v>0</x:v>
      </x:c>
      <x:c r="DZ25" s="821">
        <x:f t="shared" si="62"/>
        <x:v>0</x:v>
      </x:c>
      <x:c r="EA25" s="821" t="str">
        <x:f t="shared" si="63"/>
        <x:v/>
      </x:c>
      <x:c r="EB25" s="822" t="str">
        <x:f t="shared" si="64"/>
        <x:v/>
      </x:c>
      <x:c r="EC25" s="856" t="str">
        <x:f t="shared" si="65"/>
        <x:v/>
      </x:c>
      <x:c r="ED25" s="1006">
        <x:f t="shared" si="66"/>
        <x:v>0</x:v>
      </x:c>
      <x:c r="EE25" s="1293" t="str">
        <x:f t="shared" si="67"/>
        <x:v/>
      </x:c>
      <x:c r="EF25" s="1293" t="str">
        <x:f t="shared" si="68"/>
        <x:v/>
      </x:c>
      <x:c r="EG25" s="1293" t="str">
        <x:f t="shared" si="69"/>
        <x:v/>
      </x:c>
      <x:c r="EH25" s="856" t="e">
        <x:f t="shared" si="70"/>
        <x:v>#N/A</x:v>
      </x:c>
      <x:c r="EI25" s="856" t="e">
        <x:f t="shared" si="71"/>
        <x:v>#N/A</x:v>
      </x:c>
      <x:c r="EJ25" s="822" t="str">
        <x:f t="shared" si="72"/>
        <x:v/>
      </x:c>
      <x:c r="EK25" s="822" t="str">
        <x:f t="shared" si="72"/>
        <x:v/>
      </x:c>
      <x:c r="EL25" s="1293" t="str">
        <x:f t="shared" si="73"/>
        <x:v/>
      </x:c>
      <x:c r="EM25" s="822" t="str">
        <x:f t="shared" si="74"/>
        <x:v/>
      </x:c>
      <x:c r="EN25" s="822" t="str">
        <x:f t="shared" si="75"/>
        <x:v/>
      </x:c>
      <x:c r="EO25" s="856" t="e">
        <x:f t="shared" si="76"/>
        <x:v>#N/A</x:v>
      </x:c>
      <x:c r="EP25" s="856" t="e">
        <x:f t="shared" si="77"/>
        <x:v>#N/A</x:v>
      </x:c>
      <x:c r="EQ25" s="1293" t="str">
        <x:f t="shared" si="78"/>
        <x:v/>
      </x:c>
      <x:c r="ER25" s="822" t="str">
        <x:f t="shared" si="78"/>
        <x:v/>
      </x:c>
      <x:c r="ES25" s="822" t="str">
        <x:f t="shared" si="79"/>
        <x:v/>
      </x:c>
      <x:c r="ET25" s="822" t="str">
        <x:f t="shared" si="80"/>
        <x:v/>
      </x:c>
      <x:c r="EU25" s="829" t="str">
        <x:f t="shared" si="81"/>
        <x:v/>
      </x:c>
      <x:c r="EV25" s="824" t="str">
        <x:f t="shared" si="82"/>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83"/>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84"/>
        <x:v/>
      </x:c>
      <x:c r="FD25" s="821">
        <x:f t="shared" si="107"/>
        <x:v>0</x:v>
      </x:c>
      <x:c r="FE25" s="821">
        <x:f t="shared" si="85"/>
        <x:v>0</x:v>
      </x:c>
      <x:c r="FF25" s="821">
        <x:f t="shared" si="86"/>
        <x:v>0</x:v>
      </x:c>
      <x:c r="FG25" s="821" t="str">
        <x:f t="shared" si="87"/>
        <x:v/>
      </x:c>
      <x:c r="FH25" s="822" t="str">
        <x:f t="shared" si="88"/>
        <x:v/>
      </x:c>
      <x:c r="FI25" s="821">
        <x:f t="shared" si="108"/>
        <x:v>0</x:v>
      </x:c>
      <x:c r="FJ25" s="821">
        <x:f t="shared" si="89"/>
        <x:v>0</x:v>
      </x:c>
      <x:c r="FK25" s="821">
        <x:f t="shared" si="90"/>
        <x:v>0</x:v>
      </x:c>
      <x:c r="FL25" s="821" t="str">
        <x:f t="shared" si="91"/>
        <x:v/>
      </x:c>
      <x:c r="FM25" s="822" t="str">
        <x:f t="shared" si="92"/>
        <x:v/>
      </x:c>
      <x:c r="FN25" s="822" t="e">
        <x:f t="shared" si="93"/>
        <x:v>#VALUE!</x:v>
      </x:c>
      <x:c r="FO25" s="940" t="e">
        <x:f t="shared" si="94"/>
        <x:v>#VALUE!</x:v>
      </x:c>
      <x:c r="FP25" s="940" t="e">
        <x:f t="shared" si="95"/>
        <x:v>#VALUE!</x:v>
      </x:c>
      <x:c r="FQ25" s="830" t="e">
        <x:f t="shared" si="96"/>
        <x:v>#VALUE!</x:v>
      </x:c>
      <x:c r="FR25" s="831" t="e">
        <x:f t="shared" si="97"/>
        <x:v>#VALUE!</x:v>
      </x:c>
      <x:c r="FS25" s="832" t="str">
        <x:f t="shared" si="98"/>
        <x:v/>
      </x:c>
      <x:c r="FT25" s="833" t="str">
        <x:f t="shared" si="99"/>
        <x:v/>
      </x:c>
      <x:c r="FU25" s="870">
        <x:f t="shared" si="100"/>
        <x:v>0</x:v>
      </x:c>
      <x:c r="FV25" s="871">
        <x:f t="shared" si="101"/>
        <x:v>0</x:v>
      </x:c>
      <x:c r="GA25" s="1791" t="str">
        <x:f t="shared" si="119"/>
        <x:v/>
      </x:c>
      <x:c r="GB25" s="1792" t="str">
        <x:f t="shared" si="120"/>
        <x:v/>
      </x:c>
      <x:c r="GC25" s="1793" t="str">
        <x:f t="shared" si="121"/>
        <x:v/>
      </x:c>
      <x:c r="GD25" s="1794" t="str">
        <x:f t="shared" si="122"/>
        <x:v/>
      </x:c>
      <x:c r="GE25" s="1795" t="str">
        <x:f t="shared" si="102"/>
        <x:v/>
      </x:c>
      <x:c r="GF25" s="600" t="str">
        <x:f t="shared" si="103"/>
        <x:v/>
      </x:c>
      <x:c r="GG25" s="1130"/>
      <x:c r="GH25" s="1131"/>
      <x:c r="GI25" s="1130"/>
      <x:c r="GJ25" s="1131"/>
      <x:c r="GK25" s="1638">
        <x:f t="shared" si="104"/>
        <x:v>0</x:v>
      </x:c>
      <x:c r="GL25" s="1636" t="e">
        <x:f t="shared" si="105"/>
        <x:v>#VALUE!</x:v>
      </x:c>
      <x:c r="GM25" s="1637" t="e">
        <x:f>IF(ABS(GK25-GL25)&gt;='Job Info.'!$L$22,ABS(GK25-GL25),0)</x:f>
        <x:v>#VALUE!</x:v>
      </x:c>
      <x:c r="HA25" s="1269"/>
      <x:c r="HB25" s="1270"/>
      <x:c r="HC25" s="1270"/>
      <x:c r="HD25" s="1271"/>
      <x:c r="HE25" s="1272"/>
      <x:c r="HF25" s="1270"/>
      <x:c r="HG25" s="1270"/>
      <x:c r="HH25" s="1270"/>
      <x:c r="HI25" s="1273"/>
      <x:c r="HJ25" s="1270"/>
      <x:c r="HK25" s="1270"/>
      <x:c r="HL25" s="1270"/>
      <x:c r="HM25" s="1270"/>
      <x:c r="HN25" s="1270"/>
      <x:c r="HO25" s="1270"/>
      <x:c r="HP25" s="1270"/>
      <x:c r="HQ25" s="1273"/>
      <x:c r="HR25" s="1270"/>
      <x:c r="HS25" s="1270"/>
      <x:c r="HT25" s="1270"/>
      <x:c r="HU25" s="1270"/>
      <x:c r="HV25" s="1270"/>
      <x:c r="HW25" s="1272"/>
      <x:c r="HX25" s="1272"/>
      <x:c r="HY25" s="1272"/>
      <x:c r="HZ25" s="1272"/>
      <x:c r="IA25" s="1272"/>
      <x:c r="IB25" s="1272"/>
      <x:c r="IC25" s="1272"/>
      <x:c r="ID25" s="1272"/>
      <x:c r="IE25" s="1272"/>
      <x:c r="IF25" s="1274"/>
    </x:row>
    <x:row r="26" spans="1:240" ht="12.6" customHeight="1" x14ac:dyDescent="0.25">
      <x:c r="A26" s="2764" t="str">
        <x:f t="shared" si="109"/>
        <x:v/>
      </x:c>
      <x:c r="B26" s="2765"/>
      <x:c r="C26" s="2766" t="str">
        <x:f t="shared" si="110"/>
        <x:v/>
      </x:c>
      <x:c r="D26" s="2767" t="str">
        <x:f t="shared" si="111"/>
        <x:v/>
      </x:c>
      <x:c r="E26" s="2768" t="str">
        <x:f t="shared" si="112"/>
        <x:v/>
      </x:c>
      <x:c r="F26" s="2776" t="str">
        <x:f t="shared" si="1"/>
        <x:v/>
      </x:c>
      <x:c r="G26" s="2771" t="str">
        <x:f t="shared" si="2"/>
        <x:v/>
      </x:c>
      <x:c r="H26" s="2842" t="str">
        <x:f t="shared" si="3"/>
        <x:v/>
      </x:c>
      <x:c r="I26" s="2767" t="str">
        <x:f t="shared" si="4"/>
        <x:v/>
      </x:c>
      <x:c r="J26" s="2771" t="str">
        <x:f t="shared" si="5"/>
        <x:v/>
      </x:c>
      <x:c r="K26" s="2855" t="str">
        <x:f t="shared" si="6"/>
        <x:v/>
      </x:c>
      <x:c r="L26" s="2774" t="str">
        <x:f t="shared" si="113"/>
        <x:v/>
      </x:c>
      <x:c r="M26" s="2775" t="str">
        <x:f t="shared" si="113"/>
        <x:v/>
      </x:c>
      <x:c r="N26" s="2770" t="str">
        <x:f t="shared" si="7"/>
        <x:v/>
      </x:c>
      <x:c r="O26" s="2771" t="str">
        <x:f t="shared" si="8"/>
        <x:v/>
      </x:c>
      <x:c r="P26" s="2772" t="str">
        <x:f t="shared" si="9"/>
        <x:v/>
      </x:c>
      <x:c r="Q26" s="2767" t="str">
        <x:f t="shared" si="10"/>
        <x:v/>
      </x:c>
      <x:c r="R26" s="2771" t="str">
        <x:f t="shared" si="11"/>
        <x:v/>
      </x:c>
      <x:c r="S26" s="2773" t="str">
        <x:f t="shared" si="12"/>
        <x:v/>
      </x:c>
      <x:c r="T26" s="2776" t="str">
        <x:f t="shared" si="114"/>
        <x:v/>
      </x:c>
      <x:c r="U26" s="2771" t="str">
        <x:f t="shared" si="115"/>
        <x:v/>
      </x:c>
      <x:c r="V26" s="2767" t="str">
        <x:f t="shared" si="116"/>
        <x:v/>
      </x:c>
      <x:c r="W26" s="2771" t="str">
        <x:f t="shared" si="117"/>
        <x:v/>
      </x:c>
      <x:c r="X26" s="2775">
        <x:f t="shared" si="118"/>
        <x:v>0</x:v>
      </x:c>
      <x:c r="Y26" s="2844" t="str">
        <x:f t="shared" si="13"/>
        <x:v/>
      </x:c>
      <x:c r="Z26" s="2845" t="str">
        <x:f t="shared" si="14"/>
        <x:v/>
      </x:c>
      <x:c r="AA26" s="2846" t="s">
        <x:v>116</x:v>
      </x:c>
      <x:c r="AB26" s="1413"/>
      <x:c r="AC26" s="964" t="b">
        <x:v>0</x:v>
      </x:c>
      <x:c r="AD26" s="441">
        <x:f t="shared" si="15"/>
        <x:v>0</x:v>
      </x:c>
      <x:c r="AE26" s="442">
        <x:f t="shared" si="16"/>
        <x:v>0</x:v>
      </x:c>
      <x:c r="AF26" s="442">
        <x:f t="shared" si="17"/>
        <x:v>0</x:v>
      </x:c>
      <x:c r="AG26" s="442">
        <x:f t="shared" si="18"/>
        <x:v>0</x:v>
      </x:c>
      <x:c r="AH26" s="443">
        <x:f t="shared" si="19"/>
        <x:v>0</x:v>
      </x:c>
      <x:c r="AI26" s="444" t="b">
        <x:v>0</x:v>
      </x:c>
      <x:c r="AJ26" s="238">
        <x:f t="shared" si="20"/>
        <x:v>0</x:v>
      </x:c>
      <x:c r="AK26" s="830" t="str">
        <x:f t="shared" si="21"/>
        <x:v/>
      </x:c>
      <x:c r="AL26" s="945" t="str">
        <x:f t="shared" si="22"/>
        <x:v/>
      </x:c>
      <x:c r="AM26" s="830" t="str">
        <x:f t="shared" si="23"/>
        <x:v/>
      </x:c>
      <x:c r="AN26" s="830" t="str">
        <x:f t="shared" si="24"/>
        <x:v/>
      </x:c>
      <x:c r="AO26" s="830" t="str">
        <x:f t="shared" si="25"/>
        <x:v/>
      </x:c>
      <x:c r="AP26" s="830" t="b">
        <x:f>IF(ISERROR(AJ26),FALSE,IF(OR(AJ26=0,ISERROR(AL26),ISERROR(AM26),ISERROR(AN26),ISERROR(AO26)),FALSE,IF(AL26&lt;&gt;"",IF(ISERROR(VLOOKUP(SUBSTITUTE(SUBSTITUTE(C26,"R",""),"A",""),TblJoistSize!$A:$A,1,FALSE)),FALSE,TRUE),TRUE)))</x:f>
        <x:v>0</x:v>
      </x:c>
      <x:c r="AQ26" s="1038" t="e">
        <x:f t="shared" si="26"/>
        <x:v>#N/A</x:v>
      </x:c>
      <x:c r="AR26" s="945" t="b">
        <x:f t="shared" si="27"/>
        <x:v>0</x:v>
      </x:c>
      <x:c r="AS26" s="1038" t="e">
        <x:f t="shared" si="28"/>
        <x:v>#N/A</x:v>
      </x:c>
      <x:c r="AT26" s="945" t="b">
        <x:f t="shared" si="29"/>
        <x:v>0</x:v>
      </x:c>
      <x:c r="AU26" s="946" t="str">
        <x:f t="shared" si="30"/>
        <x:v/>
      </x:c>
      <x:c r="AV26" s="830" t="str">
        <x:f t="shared" si="31"/>
        <x:v/>
      </x:c>
      <x:c r="AW26" s="830" t="str">
        <x:f t="shared" si="32"/>
        <x:v/>
      </x:c>
      <x:c r="AX26" s="830" t="str">
        <x:f t="shared" si="106"/>
        <x:v/>
      </x:c>
      <x:c r="AY26" s="1039" t="b">
        <x:f t="shared" si="33"/>
        <x:v>0</x:v>
      </x:c>
      <x:c r="AZ26" s="856" t="str">
        <x:f t="shared" si="34"/>
        <x:v/>
      </x:c>
      <x:c r="BA26" s="549"/>
      <x:c r="BB26" s="672"/>
      <x:c r="BC26" s="1684"/>
      <x:c r="BD26" s="733"/>
      <x:c r="BE26" s="734"/>
      <x:c r="BF26" s="735"/>
      <x:c r="BG26" s="672"/>
      <x:c r="BH26" s="982"/>
      <x:c r="BI26" s="983"/>
      <x:c r="BJ26" s="1625"/>
      <x:c r="BK26" s="713"/>
      <x:c r="BL26" s="714"/>
      <x:c r="BM26" s="715"/>
      <x:c r="BN26" s="716"/>
      <x:c r="BO26" s="672" t="str">
        <x:f>IF(ISERROR(CU26),"",IF(CU26="","",IF(VLOOKUP(BG26,SectInfo!$B:$N,10,FALSE)="","","X")))</x:f>
        <x:v/>
      </x:c>
      <x:c r="BP26" s="738"/>
      <x:c r="BQ26" s="1551" t="str">
        <x:f t="shared" si="35"/>
        <x:v/>
      </x:c>
      <x:c r="BR26" s="910"/>
      <x:c r="BS26" s="672"/>
      <x:c r="BT26" s="713"/>
      <x:c r="BU26" s="714"/>
      <x:c r="BV26" s="1625"/>
      <x:c r="BW26" s="713"/>
      <x:c r="BX26" s="714"/>
      <x:c r="BY26" s="715"/>
      <x:c r="BZ26" s="716"/>
      <x:c r="CA26" s="680" t="str">
        <x:f>IF(ISERROR(DE26),"",IF(DE26="","",IF(VLOOKUP(BS26,SectInfo!$B:$N,10,FALSE)="","","X")))</x:f>
        <x:v/>
      </x:c>
      <x:c r="CB26" s="738"/>
      <x:c r="CC26" s="1551" t="str">
        <x:f t="shared" si="36"/>
        <x:v/>
      </x:c>
      <x:c r="CD26" s="910"/>
      <x:c r="CE26" s="717"/>
      <x:c r="CF26" s="736"/>
      <x:c r="CG26" s="737"/>
      <x:c r="CH26" s="591" t="str">
        <x:f t="shared" si="37"/>
        <x:v/>
      </x:c>
      <x:c r="CI26" s="592" t="str">
        <x:f t="shared" si="38"/>
        <x:v/>
      </x:c>
      <x:c r="CJ26" s="593" t="str">
        <x:f t="shared" si="39"/>
        <x:v/>
      </x:c>
      <x:c r="CK26" s="594" t="str">
        <x:f t="shared" si="40"/>
        <x:v/>
      </x:c>
      <x:c r="CL26" s="595" t="str">
        <x:f t="shared" si="41"/>
        <x:v/>
      </x:c>
      <x:c r="CM26" s="596" t="str">
        <x:f t="shared" si="42"/>
        <x:v/>
      </x:c>
      <x:c r="CN26" s="597" t="str">
        <x:f t="shared" si="43"/>
        <x:v/>
      </x:c>
      <x:c r="CO26" s="598" t="str">
        <x:f t="shared" si="44"/>
        <x:v/>
      </x:c>
      <x:c r="CP26" s="615" t="str">
        <x:f t="shared" si="45"/>
        <x:v/>
      </x:c>
      <x:c r="CQ26" s="616" t="str">
        <x:f t="shared" si="46"/>
        <x:v/>
      </x:c>
      <x:c r="CR26" s="750" t="str">
        <x:f t="shared" si="47"/>
        <x:v/>
      </x:c>
      <x:c r="CS26" s="751" t="str">
        <x:f t="shared" si="48"/>
        <x:v/>
      </x:c>
      <x:c r="CU26" s="817" t="str">
        <x:f>IF(BG26="","",VLOOKUP(BG26,SectInfo!$B:$N,12,FALSE))</x:f>
        <x:v/>
      </x:c>
      <x:c r="CV26" s="815" t="str">
        <x:f>IF(BG26="","",IF(ISBLANK(BP26),VLOOKUP(BG26,SectInfo!$B:$N,13,FALSE),BP26))</x:f>
        <x:v/>
      </x:c>
      <x:c r="CW26" s="8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8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49"/>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50"/>
        <x:v>0</x:v>
      </x:c>
      <x:c r="DO26" s="818">
        <x:f t="shared" si="51"/>
        <x:v>0</x:v>
      </x:c>
      <x:c r="DP26" s="822" t="str">
        <x:f t="shared" si="52"/>
        <x:v/>
      </x:c>
      <x:c r="DQ26" s="822" t="str">
        <x:f t="shared" si="53"/>
        <x:v/>
      </x:c>
      <x:c r="DR26" s="822" t="str">
        <x:f t="shared" si="54"/>
        <x:v/>
      </x:c>
      <x:c r="DS26" s="821">
        <x:f t="shared" si="55"/>
        <x:v>0</x:v>
      </x:c>
      <x:c r="DT26" s="821">
        <x:f t="shared" si="56"/>
        <x:v>0</x:v>
      </x:c>
      <x:c r="DU26" s="821" t="str">
        <x:f t="shared" si="57"/>
        <x:v/>
      </x:c>
      <x:c r="DV26" s="822" t="str">
        <x:f t="shared" si="58"/>
        <x:v/>
      </x:c>
      <x:c r="DW26" s="856" t="str">
        <x:f t="shared" si="59"/>
        <x:v/>
      </x:c>
      <x:c r="DX26" s="1006">
        <x:f t="shared" si="60"/>
        <x:v>0</x:v>
      </x:c>
      <x:c r="DY26" s="822">
        <x:f t="shared" si="61"/>
        <x:v>0</x:v>
      </x:c>
      <x:c r="DZ26" s="821">
        <x:f t="shared" si="62"/>
        <x:v>0</x:v>
      </x:c>
      <x:c r="EA26" s="821" t="str">
        <x:f t="shared" si="63"/>
        <x:v/>
      </x:c>
      <x:c r="EB26" s="822" t="str">
        <x:f t="shared" si="64"/>
        <x:v/>
      </x:c>
      <x:c r="EC26" s="856" t="str">
        <x:f t="shared" si="65"/>
        <x:v/>
      </x:c>
      <x:c r="ED26" s="1006">
        <x:f t="shared" si="66"/>
        <x:v>0</x:v>
      </x:c>
      <x:c r="EE26" s="1293" t="str">
        <x:f t="shared" si="67"/>
        <x:v/>
      </x:c>
      <x:c r="EF26" s="1293" t="str">
        <x:f t="shared" si="68"/>
        <x:v/>
      </x:c>
      <x:c r="EG26" s="1293" t="str">
        <x:f t="shared" si="69"/>
        <x:v/>
      </x:c>
      <x:c r="EH26" s="856" t="e">
        <x:f t="shared" si="70"/>
        <x:v>#N/A</x:v>
      </x:c>
      <x:c r="EI26" s="856" t="e">
        <x:f t="shared" si="71"/>
        <x:v>#N/A</x:v>
      </x:c>
      <x:c r="EJ26" s="822" t="str">
        <x:f t="shared" si="72"/>
        <x:v/>
      </x:c>
      <x:c r="EK26" s="822" t="str">
        <x:f t="shared" si="72"/>
        <x:v/>
      </x:c>
      <x:c r="EL26" s="1293" t="str">
        <x:f t="shared" si="73"/>
        <x:v/>
      </x:c>
      <x:c r="EM26" s="822" t="str">
        <x:f t="shared" si="74"/>
        <x:v/>
      </x:c>
      <x:c r="EN26" s="822" t="str">
        <x:f t="shared" si="75"/>
        <x:v/>
      </x:c>
      <x:c r="EO26" s="856" t="e">
        <x:f t="shared" si="76"/>
        <x:v>#N/A</x:v>
      </x:c>
      <x:c r="EP26" s="856" t="e">
        <x:f t="shared" si="77"/>
        <x:v>#N/A</x:v>
      </x:c>
      <x:c r="EQ26" s="1293" t="str">
        <x:f t="shared" si="78"/>
        <x:v/>
      </x:c>
      <x:c r="ER26" s="822" t="str">
        <x:f t="shared" si="78"/>
        <x:v/>
      </x:c>
      <x:c r="ES26" s="822" t="str">
        <x:f t="shared" si="79"/>
        <x:v/>
      </x:c>
      <x:c r="ET26" s="822" t="str">
        <x:f t="shared" si="80"/>
        <x:v/>
      </x:c>
      <x:c r="EU26" s="829" t="str">
        <x:f t="shared" si="81"/>
        <x:v/>
      </x:c>
      <x:c r="EV26" s="824" t="str">
        <x:f t="shared" si="82"/>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83"/>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84"/>
        <x:v/>
      </x:c>
      <x:c r="FD26" s="821">
        <x:f t="shared" si="107"/>
        <x:v>0</x:v>
      </x:c>
      <x:c r="FE26" s="821">
        <x:f t="shared" si="85"/>
        <x:v>0</x:v>
      </x:c>
      <x:c r="FF26" s="821">
        <x:f t="shared" si="86"/>
        <x:v>0</x:v>
      </x:c>
      <x:c r="FG26" s="821" t="str">
        <x:f t="shared" si="87"/>
        <x:v/>
      </x:c>
      <x:c r="FH26" s="822" t="str">
        <x:f t="shared" si="88"/>
        <x:v/>
      </x:c>
      <x:c r="FI26" s="821">
        <x:f t="shared" si="108"/>
        <x:v>0</x:v>
      </x:c>
      <x:c r="FJ26" s="821">
        <x:f t="shared" si="89"/>
        <x:v>0</x:v>
      </x:c>
      <x:c r="FK26" s="821">
        <x:f t="shared" si="90"/>
        <x:v>0</x:v>
      </x:c>
      <x:c r="FL26" s="821" t="str">
        <x:f t="shared" si="91"/>
        <x:v/>
      </x:c>
      <x:c r="FM26" s="822" t="str">
        <x:f t="shared" si="92"/>
        <x:v/>
      </x:c>
      <x:c r="FN26" s="822" t="e">
        <x:f t="shared" si="93"/>
        <x:v>#VALUE!</x:v>
      </x:c>
      <x:c r="FO26" s="940" t="e">
        <x:f t="shared" si="94"/>
        <x:v>#VALUE!</x:v>
      </x:c>
      <x:c r="FP26" s="940" t="e">
        <x:f t="shared" si="95"/>
        <x:v>#VALUE!</x:v>
      </x:c>
      <x:c r="FQ26" s="830" t="e">
        <x:f t="shared" si="96"/>
        <x:v>#VALUE!</x:v>
      </x:c>
      <x:c r="FR26" s="831" t="e">
        <x:f t="shared" si="97"/>
        <x:v>#VALUE!</x:v>
      </x:c>
      <x:c r="FS26" s="832" t="str">
        <x:f t="shared" si="98"/>
        <x:v/>
      </x:c>
      <x:c r="FT26" s="833" t="str">
        <x:f t="shared" si="99"/>
        <x:v/>
      </x:c>
      <x:c r="FU26" s="870">
        <x:f t="shared" si="100"/>
        <x:v>0</x:v>
      </x:c>
      <x:c r="FV26" s="871">
        <x:f t="shared" si="101"/>
        <x:v>0</x:v>
      </x:c>
      <x:c r="GA26" s="1791" t="str">
        <x:f t="shared" si="119"/>
        <x:v/>
      </x:c>
      <x:c r="GB26" s="1792" t="str">
        <x:f t="shared" si="120"/>
        <x:v/>
      </x:c>
      <x:c r="GC26" s="1793" t="str">
        <x:f t="shared" si="121"/>
        <x:v/>
      </x:c>
      <x:c r="GD26" s="1794" t="str">
        <x:f t="shared" si="122"/>
        <x:v/>
      </x:c>
      <x:c r="GE26" s="1795" t="str">
        <x:f t="shared" si="102"/>
        <x:v/>
      </x:c>
      <x:c r="GF26" s="600" t="str">
        <x:f t="shared" si="103"/>
        <x:v/>
      </x:c>
      <x:c r="GG26" s="1130"/>
      <x:c r="GH26" s="1131"/>
      <x:c r="GI26" s="1130"/>
      <x:c r="GJ26" s="1131"/>
      <x:c r="GK26" s="1638">
        <x:f t="shared" si="104"/>
        <x:v>0</x:v>
      </x:c>
      <x:c r="GL26" s="1636" t="e">
        <x:f t="shared" si="105"/>
        <x:v>#VALUE!</x:v>
      </x:c>
      <x:c r="GM26" s="1637" t="e">
        <x:f>IF(ABS(GK26-GL26)&gt;='Job Info.'!$L$22,ABS(GK26-GL26),0)</x:f>
        <x:v>#VALUE!</x:v>
      </x:c>
      <x:c r="HA26" s="1269"/>
      <x:c r="HB26" s="1270"/>
      <x:c r="HC26" s="1270"/>
      <x:c r="HD26" s="1271"/>
      <x:c r="HE26" s="1272"/>
      <x:c r="HF26" s="1270"/>
      <x:c r="HG26" s="1270"/>
      <x:c r="HH26" s="1270"/>
      <x:c r="HI26" s="1273"/>
      <x:c r="HJ26" s="1270"/>
      <x:c r="HK26" s="1270"/>
      <x:c r="HL26" s="1270"/>
      <x:c r="HM26" s="1270"/>
      <x:c r="HN26" s="1270"/>
      <x:c r="HO26" s="1270"/>
      <x:c r="HP26" s="1270"/>
      <x:c r="HQ26" s="1273"/>
      <x:c r="HR26" s="1270"/>
      <x:c r="HS26" s="1270"/>
      <x:c r="HT26" s="1270"/>
      <x:c r="HU26" s="1270"/>
      <x:c r="HV26" s="1270"/>
      <x:c r="HW26" s="1272"/>
      <x:c r="HX26" s="1272"/>
      <x:c r="HY26" s="1272"/>
      <x:c r="HZ26" s="1272"/>
      <x:c r="IA26" s="1272"/>
      <x:c r="IB26" s="1272"/>
      <x:c r="IC26" s="1272"/>
      <x:c r="ID26" s="1272"/>
      <x:c r="IE26" s="1272"/>
      <x:c r="IF26" s="1274"/>
    </x:row>
    <x:row r="27" spans="1:240" ht="12.6" customHeight="1" x14ac:dyDescent="0.25">
      <x:c r="A27" s="2764" t="str">
        <x:f t="shared" si="109"/>
        <x:v/>
      </x:c>
      <x:c r="B27" s="2765"/>
      <x:c r="C27" s="2766" t="str">
        <x:f t="shared" si="110"/>
        <x:v/>
      </x:c>
      <x:c r="D27" s="2767" t="str">
        <x:f t="shared" si="111"/>
        <x:v/>
      </x:c>
      <x:c r="E27" s="2768" t="str">
        <x:f t="shared" si="112"/>
        <x:v/>
      </x:c>
      <x:c r="F27" s="2776" t="str">
        <x:f t="shared" si="1"/>
        <x:v/>
      </x:c>
      <x:c r="G27" s="2771" t="str">
        <x:f t="shared" si="2"/>
        <x:v/>
      </x:c>
      <x:c r="H27" s="2842" t="str">
        <x:f t="shared" si="3"/>
        <x:v/>
      </x:c>
      <x:c r="I27" s="2767" t="str">
        <x:f t="shared" si="4"/>
        <x:v/>
      </x:c>
      <x:c r="J27" s="2771" t="str">
        <x:f t="shared" si="5"/>
        <x:v/>
      </x:c>
      <x:c r="K27" s="2855" t="str">
        <x:f t="shared" si="6"/>
        <x:v/>
      </x:c>
      <x:c r="L27" s="2774" t="str">
        <x:f t="shared" si="113"/>
        <x:v/>
      </x:c>
      <x:c r="M27" s="2775" t="str">
        <x:f t="shared" si="113"/>
        <x:v/>
      </x:c>
      <x:c r="N27" s="2770" t="str">
        <x:f t="shared" si="7"/>
        <x:v/>
      </x:c>
      <x:c r="O27" s="2771" t="str">
        <x:f t="shared" si="8"/>
        <x:v/>
      </x:c>
      <x:c r="P27" s="2772" t="str">
        <x:f t="shared" si="9"/>
        <x:v/>
      </x:c>
      <x:c r="Q27" s="2767" t="str">
        <x:f t="shared" si="10"/>
        <x:v/>
      </x:c>
      <x:c r="R27" s="2771" t="str">
        <x:f t="shared" si="11"/>
        <x:v/>
      </x:c>
      <x:c r="S27" s="2773" t="str">
        <x:f t="shared" si="12"/>
        <x:v/>
      </x:c>
      <x:c r="T27" s="2776" t="str">
        <x:f t="shared" si="114"/>
        <x:v/>
      </x:c>
      <x:c r="U27" s="2771" t="str">
        <x:f t="shared" si="115"/>
        <x:v/>
      </x:c>
      <x:c r="V27" s="2767" t="str">
        <x:f t="shared" si="116"/>
        <x:v/>
      </x:c>
      <x:c r="W27" s="2771" t="str">
        <x:f t="shared" si="117"/>
        <x:v/>
      </x:c>
      <x:c r="X27" s="2775">
        <x:f t="shared" si="118"/>
        <x:v>0</x:v>
      </x:c>
      <x:c r="Y27" s="2844" t="str">
        <x:f t="shared" si="13"/>
        <x:v/>
      </x:c>
      <x:c r="Z27" s="2845" t="str">
        <x:f t="shared" si="14"/>
        <x:v/>
      </x:c>
      <x:c r="AA27" s="2846" t="s">
        <x:v>116</x:v>
      </x:c>
      <x:c r="AB27" s="1413"/>
      <x:c r="AC27" s="964" t="b">
        <x:v>0</x:v>
      </x:c>
      <x:c r="AD27" s="441">
        <x:f t="shared" si="15"/>
        <x:v>0</x:v>
      </x:c>
      <x:c r="AE27" s="442">
        <x:f t="shared" si="16"/>
        <x:v>0</x:v>
      </x:c>
      <x:c r="AF27" s="442">
        <x:f t="shared" si="17"/>
        <x:v>0</x:v>
      </x:c>
      <x:c r="AG27" s="442">
        <x:f t="shared" si="18"/>
        <x:v>0</x:v>
      </x:c>
      <x:c r="AH27" s="443">
        <x:f t="shared" si="19"/>
        <x:v>0</x:v>
      </x:c>
      <x:c r="AI27" s="444" t="b">
        <x:v>0</x:v>
      </x:c>
      <x:c r="AJ27" s="238">
        <x:f t="shared" si="20"/>
        <x:v>0</x:v>
      </x:c>
      <x:c r="AK27" s="830" t="str">
        <x:f t="shared" si="21"/>
        <x:v/>
      </x:c>
      <x:c r="AL27" s="945" t="str">
        <x:f t="shared" si="22"/>
        <x:v/>
      </x:c>
      <x:c r="AM27" s="830" t="str">
        <x:f t="shared" si="23"/>
        <x:v/>
      </x:c>
      <x:c r="AN27" s="830" t="str">
        <x:f t="shared" si="24"/>
        <x:v/>
      </x:c>
      <x:c r="AO27" s="830" t="str">
        <x:f t="shared" si="25"/>
        <x:v/>
      </x:c>
      <x:c r="AP27" s="830" t="b">
        <x:f>IF(ISERROR(AJ27),FALSE,IF(OR(AJ27=0,ISERROR(AL27),ISERROR(AM27),ISERROR(AN27),ISERROR(AO27)),FALSE,IF(AL27&lt;&gt;"",IF(ISERROR(VLOOKUP(SUBSTITUTE(SUBSTITUTE(C27,"R",""),"A",""),TblJoistSize!$A:$A,1,FALSE)),FALSE,TRUE),TRUE)))</x:f>
        <x:v>0</x:v>
      </x:c>
      <x:c r="AQ27" s="1038" t="e">
        <x:f t="shared" si="26"/>
        <x:v>#N/A</x:v>
      </x:c>
      <x:c r="AR27" s="945" t="b">
        <x:f t="shared" si="27"/>
        <x:v>0</x:v>
      </x:c>
      <x:c r="AS27" s="1038" t="e">
        <x:f t="shared" si="28"/>
        <x:v>#N/A</x:v>
      </x:c>
      <x:c r="AT27" s="945" t="b">
        <x:f t="shared" si="29"/>
        <x:v>0</x:v>
      </x:c>
      <x:c r="AU27" s="946" t="str">
        <x:f t="shared" si="30"/>
        <x:v/>
      </x:c>
      <x:c r="AV27" s="830" t="str">
        <x:f t="shared" si="31"/>
        <x:v/>
      </x:c>
      <x:c r="AW27" s="830" t="str">
        <x:f t="shared" si="32"/>
        <x:v/>
      </x:c>
      <x:c r="AX27" s="830" t="str">
        <x:f t="shared" si="106"/>
        <x:v/>
      </x:c>
      <x:c r="AY27" s="1039" t="b">
        <x:f t="shared" si="33"/>
        <x:v>0</x:v>
      </x:c>
      <x:c r="AZ27" s="856" t="str">
        <x:f t="shared" si="34"/>
        <x:v/>
      </x:c>
      <x:c r="BA27" s="549"/>
      <x:c r="BB27" s="672"/>
      <x:c r="BC27" s="1684"/>
      <x:c r="BD27" s="733"/>
      <x:c r="BE27" s="734"/>
      <x:c r="BF27" s="735"/>
      <x:c r="BG27" s="672"/>
      <x:c r="BH27" s="982"/>
      <x:c r="BI27" s="983"/>
      <x:c r="BJ27" s="1625"/>
      <x:c r="BK27" s="713"/>
      <x:c r="BL27" s="714"/>
      <x:c r="BM27" s="715"/>
      <x:c r="BN27" s="716"/>
      <x:c r="BO27" s="672" t="str">
        <x:f>IF(ISERROR(CU27),"",IF(CU27="","",IF(VLOOKUP(BG27,SectInfo!$B:$N,10,FALSE)="","","X")))</x:f>
        <x:v/>
      </x:c>
      <x:c r="BP27" s="738"/>
      <x:c r="BQ27" s="1551" t="str">
        <x:f t="shared" si="35"/>
        <x:v/>
      </x:c>
      <x:c r="BR27" s="910"/>
      <x:c r="BS27" s="672"/>
      <x:c r="BT27" s="713"/>
      <x:c r="BU27" s="714"/>
      <x:c r="BV27" s="1625"/>
      <x:c r="BW27" s="713"/>
      <x:c r="BX27" s="714"/>
      <x:c r="BY27" s="715"/>
      <x:c r="BZ27" s="716"/>
      <x:c r="CA27" s="680" t="str">
        <x:f>IF(ISERROR(DE27),"",IF(DE27="","",IF(VLOOKUP(BS27,SectInfo!$B:$N,10,FALSE)="","","X")))</x:f>
        <x:v/>
      </x:c>
      <x:c r="CB27" s="738"/>
      <x:c r="CC27" s="1551" t="str">
        <x:f t="shared" si="36"/>
        <x:v/>
      </x:c>
      <x:c r="CD27" s="910"/>
      <x:c r="CE27" s="717"/>
      <x:c r="CF27" s="736"/>
      <x:c r="CG27" s="737"/>
      <x:c r="CH27" s="591" t="str">
        <x:f t="shared" si="37"/>
        <x:v/>
      </x:c>
      <x:c r="CI27" s="592" t="str">
        <x:f t="shared" si="38"/>
        <x:v/>
      </x:c>
      <x:c r="CJ27" s="593" t="str">
        <x:f t="shared" si="39"/>
        <x:v/>
      </x:c>
      <x:c r="CK27" s="594" t="str">
        <x:f t="shared" si="40"/>
        <x:v/>
      </x:c>
      <x:c r="CL27" s="595" t="str">
        <x:f t="shared" si="41"/>
        <x:v/>
      </x:c>
      <x:c r="CM27" s="596" t="str">
        <x:f t="shared" si="42"/>
        <x:v/>
      </x:c>
      <x:c r="CN27" s="597" t="str">
        <x:f t="shared" si="43"/>
        <x:v/>
      </x:c>
      <x:c r="CO27" s="598" t="str">
        <x:f t="shared" si="44"/>
        <x:v/>
      </x:c>
      <x:c r="CP27" s="615" t="str">
        <x:f t="shared" si="45"/>
        <x:v/>
      </x:c>
      <x:c r="CQ27" s="616" t="str">
        <x:f t="shared" si="46"/>
        <x:v/>
      </x:c>
      <x:c r="CR27" s="750" t="str">
        <x:f t="shared" si="47"/>
        <x:v/>
      </x:c>
      <x:c r="CS27" s="751" t="str">
        <x:f t="shared" si="48"/>
        <x:v/>
      </x:c>
      <x:c r="CU27" s="817" t="str">
        <x:f>IF(BG27="","",VLOOKUP(BG27,SectInfo!$B:$N,12,FALSE))</x:f>
        <x:v/>
      </x:c>
      <x:c r="CV27" s="815" t="str">
        <x:f>IF(BG27="","",IF(ISBLANK(BP27),VLOOKUP(BG27,SectInfo!$B:$N,13,FALSE),BP27))</x:f>
        <x:v/>
      </x:c>
      <x:c r="CW27" s="8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8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49"/>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50"/>
        <x:v>0</x:v>
      </x:c>
      <x:c r="DO27" s="818">
        <x:f t="shared" si="51"/>
        <x:v>0</x:v>
      </x:c>
      <x:c r="DP27" s="822" t="str">
        <x:f t="shared" si="52"/>
        <x:v/>
      </x:c>
      <x:c r="DQ27" s="822" t="str">
        <x:f t="shared" si="53"/>
        <x:v/>
      </x:c>
      <x:c r="DR27" s="822" t="str">
        <x:f t="shared" si="54"/>
        <x:v/>
      </x:c>
      <x:c r="DS27" s="821">
        <x:f t="shared" si="55"/>
        <x:v>0</x:v>
      </x:c>
      <x:c r="DT27" s="821">
        <x:f t="shared" si="56"/>
        <x:v>0</x:v>
      </x:c>
      <x:c r="DU27" s="821" t="str">
        <x:f t="shared" si="57"/>
        <x:v/>
      </x:c>
      <x:c r="DV27" s="822" t="str">
        <x:f t="shared" si="58"/>
        <x:v/>
      </x:c>
      <x:c r="DW27" s="856" t="str">
        <x:f t="shared" si="59"/>
        <x:v/>
      </x:c>
      <x:c r="DX27" s="1006">
        <x:f t="shared" si="60"/>
        <x:v>0</x:v>
      </x:c>
      <x:c r="DY27" s="822">
        <x:f t="shared" si="61"/>
        <x:v>0</x:v>
      </x:c>
      <x:c r="DZ27" s="821">
        <x:f t="shared" si="62"/>
        <x:v>0</x:v>
      </x:c>
      <x:c r="EA27" s="821" t="str">
        <x:f t="shared" si="63"/>
        <x:v/>
      </x:c>
      <x:c r="EB27" s="822" t="str">
        <x:f t="shared" si="64"/>
        <x:v/>
      </x:c>
      <x:c r="EC27" s="856" t="str">
        <x:f t="shared" si="65"/>
        <x:v/>
      </x:c>
      <x:c r="ED27" s="1006">
        <x:f t="shared" si="66"/>
        <x:v>0</x:v>
      </x:c>
      <x:c r="EE27" s="1293" t="str">
        <x:f t="shared" si="67"/>
        <x:v/>
      </x:c>
      <x:c r="EF27" s="1293" t="str">
        <x:f t="shared" si="68"/>
        <x:v/>
      </x:c>
      <x:c r="EG27" s="1293" t="str">
        <x:f t="shared" si="69"/>
        <x:v/>
      </x:c>
      <x:c r="EH27" s="856" t="e">
        <x:f t="shared" si="70"/>
        <x:v>#N/A</x:v>
      </x:c>
      <x:c r="EI27" s="856" t="e">
        <x:f t="shared" si="71"/>
        <x:v>#N/A</x:v>
      </x:c>
      <x:c r="EJ27" s="822" t="str">
        <x:f t="shared" si="72"/>
        <x:v/>
      </x:c>
      <x:c r="EK27" s="822" t="str">
        <x:f t="shared" si="72"/>
        <x:v/>
      </x:c>
      <x:c r="EL27" s="1293" t="str">
        <x:f t="shared" si="73"/>
        <x:v/>
      </x:c>
      <x:c r="EM27" s="822" t="str">
        <x:f t="shared" si="74"/>
        <x:v/>
      </x:c>
      <x:c r="EN27" s="822" t="str">
        <x:f t="shared" si="75"/>
        <x:v/>
      </x:c>
      <x:c r="EO27" s="856" t="e">
        <x:f t="shared" si="76"/>
        <x:v>#N/A</x:v>
      </x:c>
      <x:c r="EP27" s="856" t="e">
        <x:f t="shared" si="77"/>
        <x:v>#N/A</x:v>
      </x:c>
      <x:c r="EQ27" s="1293" t="str">
        <x:f t="shared" si="78"/>
        <x:v/>
      </x:c>
      <x:c r="ER27" s="822" t="str">
        <x:f t="shared" si="78"/>
        <x:v/>
      </x:c>
      <x:c r="ES27" s="822" t="str">
        <x:f t="shared" si="79"/>
        <x:v/>
      </x:c>
      <x:c r="ET27" s="822" t="str">
        <x:f t="shared" si="80"/>
        <x:v/>
      </x:c>
      <x:c r="EU27" s="829" t="str">
        <x:f t="shared" si="81"/>
        <x:v/>
      </x:c>
      <x:c r="EV27" s="824" t="str">
        <x:f t="shared" si="82"/>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83"/>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84"/>
        <x:v/>
      </x:c>
      <x:c r="FD27" s="821">
        <x:f t="shared" si="107"/>
        <x:v>0</x:v>
      </x:c>
      <x:c r="FE27" s="821">
        <x:f t="shared" si="85"/>
        <x:v>0</x:v>
      </x:c>
      <x:c r="FF27" s="821">
        <x:f t="shared" si="86"/>
        <x:v>0</x:v>
      </x:c>
      <x:c r="FG27" s="821" t="str">
        <x:f t="shared" si="87"/>
        <x:v/>
      </x:c>
      <x:c r="FH27" s="822" t="str">
        <x:f t="shared" si="88"/>
        <x:v/>
      </x:c>
      <x:c r="FI27" s="821">
        <x:f t="shared" si="108"/>
        <x:v>0</x:v>
      </x:c>
      <x:c r="FJ27" s="821">
        <x:f t="shared" si="89"/>
        <x:v>0</x:v>
      </x:c>
      <x:c r="FK27" s="821">
        <x:f t="shared" si="90"/>
        <x:v>0</x:v>
      </x:c>
      <x:c r="FL27" s="821" t="str">
        <x:f t="shared" si="91"/>
        <x:v/>
      </x:c>
      <x:c r="FM27" s="822" t="str">
        <x:f t="shared" si="92"/>
        <x:v/>
      </x:c>
      <x:c r="FN27" s="822" t="e">
        <x:f t="shared" si="93"/>
        <x:v>#VALUE!</x:v>
      </x:c>
      <x:c r="FO27" s="940" t="e">
        <x:f t="shared" si="94"/>
        <x:v>#VALUE!</x:v>
      </x:c>
      <x:c r="FP27" s="940" t="e">
        <x:f t="shared" si="95"/>
        <x:v>#VALUE!</x:v>
      </x:c>
      <x:c r="FQ27" s="830" t="e">
        <x:f t="shared" si="96"/>
        <x:v>#VALUE!</x:v>
      </x:c>
      <x:c r="FR27" s="831" t="e">
        <x:f t="shared" si="97"/>
        <x:v>#VALUE!</x:v>
      </x:c>
      <x:c r="FS27" s="832" t="str">
        <x:f t="shared" si="98"/>
        <x:v/>
      </x:c>
      <x:c r="FT27" s="833" t="str">
        <x:f t="shared" si="99"/>
        <x:v/>
      </x:c>
      <x:c r="FU27" s="870">
        <x:f t="shared" si="100"/>
        <x:v>0</x:v>
      </x:c>
      <x:c r="FV27" s="871">
        <x:f t="shared" si="101"/>
        <x:v>0</x:v>
      </x:c>
      <x:c r="GA27" s="1791" t="str">
        <x:f t="shared" si="119"/>
        <x:v/>
      </x:c>
      <x:c r="GB27" s="1792" t="str">
        <x:f t="shared" si="120"/>
        <x:v/>
      </x:c>
      <x:c r="GC27" s="1793" t="str">
        <x:f t="shared" si="121"/>
        <x:v/>
      </x:c>
      <x:c r="GD27" s="1794" t="str">
        <x:f t="shared" si="122"/>
        <x:v/>
      </x:c>
      <x:c r="GE27" s="1795" t="str">
        <x:f t="shared" si="102"/>
        <x:v/>
      </x:c>
      <x:c r="GF27" s="600" t="str">
        <x:f t="shared" si="103"/>
        <x:v/>
      </x:c>
      <x:c r="GG27" s="1130"/>
      <x:c r="GH27" s="1131"/>
      <x:c r="GI27" s="1130"/>
      <x:c r="GJ27" s="1131"/>
      <x:c r="GK27" s="1638">
        <x:f t="shared" si="104"/>
        <x:v>0</x:v>
      </x:c>
      <x:c r="GL27" s="1636" t="e">
        <x:f t="shared" si="105"/>
        <x:v>#VALUE!</x:v>
      </x:c>
      <x:c r="GM27" s="1637" t="e">
        <x:f>IF(ABS(GK27-GL27)&gt;='Job Info.'!$L$22,ABS(GK27-GL27),0)</x:f>
        <x:v>#VALUE!</x:v>
      </x:c>
      <x:c r="HA27" s="1269"/>
      <x:c r="HB27" s="1270"/>
      <x:c r="HC27" s="1270"/>
      <x:c r="HD27" s="1271"/>
      <x:c r="HE27" s="1272"/>
      <x:c r="HF27" s="1270"/>
      <x:c r="HG27" s="1270"/>
      <x:c r="HH27" s="1270"/>
      <x:c r="HI27" s="1273"/>
      <x:c r="HJ27" s="1270"/>
      <x:c r="HK27" s="1270"/>
      <x:c r="HL27" s="1270"/>
      <x:c r="HM27" s="1270"/>
      <x:c r="HN27" s="1270"/>
      <x:c r="HO27" s="1270"/>
      <x:c r="HP27" s="1270"/>
      <x:c r="HQ27" s="1273"/>
      <x:c r="HR27" s="1270"/>
      <x:c r="HS27" s="1270"/>
      <x:c r="HT27" s="1270"/>
      <x:c r="HU27" s="1270"/>
      <x:c r="HV27" s="1270"/>
      <x:c r="HW27" s="1272"/>
      <x:c r="HX27" s="1272"/>
      <x:c r="HY27" s="1272"/>
      <x:c r="HZ27" s="1272"/>
      <x:c r="IA27" s="1272"/>
      <x:c r="IB27" s="1272"/>
      <x:c r="IC27" s="1272"/>
      <x:c r="ID27" s="1272"/>
      <x:c r="IE27" s="1272"/>
      <x:c r="IF27" s="1274"/>
    </x:row>
    <x:row r="28" spans="1:240" ht="12.6" customHeight="1" x14ac:dyDescent="0.25">
      <x:c r="A28" s="2764" t="str">
        <x:f t="shared" si="109"/>
        <x:v/>
      </x:c>
      <x:c r="B28" s="2765"/>
      <x:c r="C28" s="2766" t="str">
        <x:f t="shared" si="110"/>
        <x:v/>
      </x:c>
      <x:c r="D28" s="2767" t="str">
        <x:f t="shared" si="111"/>
        <x:v/>
      </x:c>
      <x:c r="E28" s="2768" t="str">
        <x:f t="shared" si="112"/>
        <x:v/>
      </x:c>
      <x:c r="F28" s="2776" t="str">
        <x:f t="shared" si="1"/>
        <x:v/>
      </x:c>
      <x:c r="G28" s="2771" t="str">
        <x:f t="shared" si="2"/>
        <x:v/>
      </x:c>
      <x:c r="H28" s="2842" t="str">
        <x:f t="shared" si="3"/>
        <x:v/>
      </x:c>
      <x:c r="I28" s="2767" t="str">
        <x:f t="shared" si="4"/>
        <x:v/>
      </x:c>
      <x:c r="J28" s="2771" t="str">
        <x:f t="shared" si="5"/>
        <x:v/>
      </x:c>
      <x:c r="K28" s="2855" t="str">
        <x:f t="shared" si="6"/>
        <x:v/>
      </x:c>
      <x:c r="L28" s="2774" t="str">
        <x:f t="shared" si="113"/>
        <x:v/>
      </x:c>
      <x:c r="M28" s="2775" t="str">
        <x:f t="shared" si="113"/>
        <x:v/>
      </x:c>
      <x:c r="N28" s="2770" t="str">
        <x:f t="shared" si="7"/>
        <x:v/>
      </x:c>
      <x:c r="O28" s="2771" t="str">
        <x:f t="shared" si="8"/>
        <x:v/>
      </x:c>
      <x:c r="P28" s="2772" t="str">
        <x:f t="shared" si="9"/>
        <x:v/>
      </x:c>
      <x:c r="Q28" s="2767" t="str">
        <x:f t="shared" si="10"/>
        <x:v/>
      </x:c>
      <x:c r="R28" s="2771" t="str">
        <x:f t="shared" si="11"/>
        <x:v/>
      </x:c>
      <x:c r="S28" s="2773" t="str">
        <x:f t="shared" si="12"/>
        <x:v/>
      </x:c>
      <x:c r="T28" s="2776" t="str">
        <x:f t="shared" si="114"/>
        <x:v/>
      </x:c>
      <x:c r="U28" s="2771" t="str">
        <x:f t="shared" si="115"/>
        <x:v/>
      </x:c>
      <x:c r="V28" s="2767" t="str">
        <x:f t="shared" si="116"/>
        <x:v/>
      </x:c>
      <x:c r="W28" s="2771" t="str">
        <x:f t="shared" si="117"/>
        <x:v/>
      </x:c>
      <x:c r="X28" s="2775">
        <x:f t="shared" si="118"/>
        <x:v>0</x:v>
      </x:c>
      <x:c r="Y28" s="2844" t="str">
        <x:f t="shared" si="13"/>
        <x:v/>
      </x:c>
      <x:c r="Z28" s="2845" t="str">
        <x:f t="shared" si="14"/>
        <x:v/>
      </x:c>
      <x:c r="AA28" s="2846" t="s">
        <x:v>116</x:v>
      </x:c>
      <x:c r="AB28" s="1413"/>
      <x:c r="AC28" s="964" t="b">
        <x:v>0</x:v>
      </x:c>
      <x:c r="AD28" s="441">
        <x:f t="shared" si="15"/>
        <x:v>0</x:v>
      </x:c>
      <x:c r="AE28" s="442">
        <x:f t="shared" si="16"/>
        <x:v>0</x:v>
      </x:c>
      <x:c r="AF28" s="442">
        <x:f t="shared" si="17"/>
        <x:v>0</x:v>
      </x:c>
      <x:c r="AG28" s="442">
        <x:f t="shared" si="18"/>
        <x:v>0</x:v>
      </x:c>
      <x:c r="AH28" s="443">
        <x:f t="shared" si="19"/>
        <x:v>0</x:v>
      </x:c>
      <x:c r="AI28" s="444" t="b">
        <x:v>0</x:v>
      </x:c>
      <x:c r="AJ28" s="238">
        <x:f t="shared" si="20"/>
        <x:v>0</x:v>
      </x:c>
      <x:c r="AK28" s="830" t="str">
        <x:f t="shared" si="21"/>
        <x:v/>
      </x:c>
      <x:c r="AL28" s="945" t="str">
        <x:f t="shared" si="22"/>
        <x:v/>
      </x:c>
      <x:c r="AM28" s="830" t="str">
        <x:f t="shared" si="23"/>
        <x:v/>
      </x:c>
      <x:c r="AN28" s="830" t="str">
        <x:f t="shared" si="24"/>
        <x:v/>
      </x:c>
      <x:c r="AO28" s="830" t="str">
        <x:f t="shared" si="25"/>
        <x:v/>
      </x:c>
      <x:c r="AP28" s="830" t="b">
        <x:f>IF(ISERROR(AJ28),FALSE,IF(OR(AJ28=0,ISERROR(AL28),ISERROR(AM28),ISERROR(AN28),ISERROR(AO28)),FALSE,IF(AL28&lt;&gt;"",IF(ISERROR(VLOOKUP(SUBSTITUTE(SUBSTITUTE(C28,"R",""),"A",""),TblJoistSize!$A:$A,1,FALSE)),FALSE,TRUE),TRUE)))</x:f>
        <x:v>0</x:v>
      </x:c>
      <x:c r="AQ28" s="1038" t="e">
        <x:f t="shared" si="26"/>
        <x:v>#N/A</x:v>
      </x:c>
      <x:c r="AR28" s="945" t="b">
        <x:f t="shared" si="27"/>
        <x:v>0</x:v>
      </x:c>
      <x:c r="AS28" s="1038" t="e">
        <x:f t="shared" si="28"/>
        <x:v>#N/A</x:v>
      </x:c>
      <x:c r="AT28" s="945" t="b">
        <x:f t="shared" si="29"/>
        <x:v>0</x:v>
      </x:c>
      <x:c r="AU28" s="946" t="str">
        <x:f t="shared" si="30"/>
        <x:v/>
      </x:c>
      <x:c r="AV28" s="830" t="str">
        <x:f t="shared" si="31"/>
        <x:v/>
      </x:c>
      <x:c r="AW28" s="830" t="str">
        <x:f t="shared" si="32"/>
        <x:v/>
      </x:c>
      <x:c r="AX28" s="830" t="str">
        <x:f t="shared" si="106"/>
        <x:v/>
      </x:c>
      <x:c r="AY28" s="1039" t="b">
        <x:f t="shared" si="33"/>
        <x:v>0</x:v>
      </x:c>
      <x:c r="AZ28" s="856" t="str">
        <x:f t="shared" si="34"/>
        <x:v/>
      </x:c>
      <x:c r="BA28" s="549"/>
      <x:c r="BB28" s="672"/>
      <x:c r="BC28" s="1684"/>
      <x:c r="BD28" s="733"/>
      <x:c r="BE28" s="734"/>
      <x:c r="BF28" s="735"/>
      <x:c r="BG28" s="672"/>
      <x:c r="BH28" s="982"/>
      <x:c r="BI28" s="983"/>
      <x:c r="BJ28" s="1625"/>
      <x:c r="BK28" s="713"/>
      <x:c r="BL28" s="714"/>
      <x:c r="BM28" s="715"/>
      <x:c r="BN28" s="716"/>
      <x:c r="BO28" s="672" t="str">
        <x:f>IF(ISERROR(CU28),"",IF(CU28="","",IF(VLOOKUP(BG28,SectInfo!$B:$N,10,FALSE)="","","X")))</x:f>
        <x:v/>
      </x:c>
      <x:c r="BP28" s="738"/>
      <x:c r="BQ28" s="1551" t="str">
        <x:f t="shared" si="35"/>
        <x:v/>
      </x:c>
      <x:c r="BR28" s="910"/>
      <x:c r="BS28" s="672"/>
      <x:c r="BT28" s="713"/>
      <x:c r="BU28" s="714"/>
      <x:c r="BV28" s="1625"/>
      <x:c r="BW28" s="713"/>
      <x:c r="BX28" s="714"/>
      <x:c r="BY28" s="715"/>
      <x:c r="BZ28" s="716"/>
      <x:c r="CA28" s="680" t="str">
        <x:f>IF(ISERROR(DE28),"",IF(DE28="","",IF(VLOOKUP(BS28,SectInfo!$B:$N,10,FALSE)="","","X")))</x:f>
        <x:v/>
      </x:c>
      <x:c r="CB28" s="738"/>
      <x:c r="CC28" s="1551" t="str">
        <x:f t="shared" si="36"/>
        <x:v/>
      </x:c>
      <x:c r="CD28" s="910"/>
      <x:c r="CE28" s="717"/>
      <x:c r="CF28" s="736"/>
      <x:c r="CG28" s="737"/>
      <x:c r="CH28" s="591" t="str">
        <x:f t="shared" si="37"/>
        <x:v/>
      </x:c>
      <x:c r="CI28" s="592" t="str">
        <x:f t="shared" si="38"/>
        <x:v/>
      </x:c>
      <x:c r="CJ28" s="593" t="str">
        <x:f t="shared" si="39"/>
        <x:v/>
      </x:c>
      <x:c r="CK28" s="594" t="str">
        <x:f t="shared" si="40"/>
        <x:v/>
      </x:c>
      <x:c r="CL28" s="595" t="str">
        <x:f t="shared" si="41"/>
        <x:v/>
      </x:c>
      <x:c r="CM28" s="596" t="str">
        <x:f t="shared" si="42"/>
        <x:v/>
      </x:c>
      <x:c r="CN28" s="597" t="str">
        <x:f t="shared" si="43"/>
        <x:v/>
      </x:c>
      <x:c r="CO28" s="598" t="str">
        <x:f t="shared" si="44"/>
        <x:v/>
      </x:c>
      <x:c r="CP28" s="615" t="str">
        <x:f t="shared" si="45"/>
        <x:v/>
      </x:c>
      <x:c r="CQ28" s="616" t="str">
        <x:f t="shared" si="46"/>
        <x:v/>
      </x:c>
      <x:c r="CR28" s="750" t="str">
        <x:f t="shared" si="47"/>
        <x:v/>
      </x:c>
      <x:c r="CS28" s="751" t="str">
        <x:f t="shared" si="48"/>
        <x:v/>
      </x:c>
      <x:c r="CU28" s="817" t="str">
        <x:f>IF(BG28="","",VLOOKUP(BG28,SectInfo!$B:$N,12,FALSE))</x:f>
        <x:v/>
      </x:c>
      <x:c r="CV28" s="815" t="str">
        <x:f>IF(BG28="","",IF(ISBLANK(BP28),VLOOKUP(BG28,SectInfo!$B:$N,13,FALSE),BP28))</x:f>
        <x:v/>
      </x:c>
      <x:c r="CW28" s="8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8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49"/>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50"/>
        <x:v>0</x:v>
      </x:c>
      <x:c r="DO28" s="818">
        <x:f t="shared" si="51"/>
        <x:v>0</x:v>
      </x:c>
      <x:c r="DP28" s="822" t="str">
        <x:f t="shared" si="52"/>
        <x:v/>
      </x:c>
      <x:c r="DQ28" s="822" t="str">
        <x:f t="shared" si="53"/>
        <x:v/>
      </x:c>
      <x:c r="DR28" s="822" t="str">
        <x:f t="shared" si="54"/>
        <x:v/>
      </x:c>
      <x:c r="DS28" s="821">
        <x:f t="shared" si="55"/>
        <x:v>0</x:v>
      </x:c>
      <x:c r="DT28" s="821">
        <x:f t="shared" si="56"/>
        <x:v>0</x:v>
      </x:c>
      <x:c r="DU28" s="821" t="str">
        <x:f t="shared" si="57"/>
        <x:v/>
      </x:c>
      <x:c r="DV28" s="822" t="str">
        <x:f t="shared" si="58"/>
        <x:v/>
      </x:c>
      <x:c r="DW28" s="856" t="str">
        <x:f t="shared" si="59"/>
        <x:v/>
      </x:c>
      <x:c r="DX28" s="1006">
        <x:f t="shared" si="60"/>
        <x:v>0</x:v>
      </x:c>
      <x:c r="DY28" s="822">
        <x:f t="shared" si="61"/>
        <x:v>0</x:v>
      </x:c>
      <x:c r="DZ28" s="821">
        <x:f t="shared" si="62"/>
        <x:v>0</x:v>
      </x:c>
      <x:c r="EA28" s="821" t="str">
        <x:f t="shared" si="63"/>
        <x:v/>
      </x:c>
      <x:c r="EB28" s="822" t="str">
        <x:f t="shared" si="64"/>
        <x:v/>
      </x:c>
      <x:c r="EC28" s="856" t="str">
        <x:f t="shared" si="65"/>
        <x:v/>
      </x:c>
      <x:c r="ED28" s="1006">
        <x:f t="shared" si="66"/>
        <x:v>0</x:v>
      </x:c>
      <x:c r="EE28" s="1293" t="str">
        <x:f t="shared" si="67"/>
        <x:v/>
      </x:c>
      <x:c r="EF28" s="1293" t="str">
        <x:f t="shared" si="68"/>
        <x:v/>
      </x:c>
      <x:c r="EG28" s="1293" t="str">
        <x:f t="shared" si="69"/>
        <x:v/>
      </x:c>
      <x:c r="EH28" s="856" t="e">
        <x:f t="shared" si="70"/>
        <x:v>#N/A</x:v>
      </x:c>
      <x:c r="EI28" s="856" t="e">
        <x:f t="shared" si="71"/>
        <x:v>#N/A</x:v>
      </x:c>
      <x:c r="EJ28" s="822" t="str">
        <x:f t="shared" si="72"/>
        <x:v/>
      </x:c>
      <x:c r="EK28" s="822" t="str">
        <x:f t="shared" si="72"/>
        <x:v/>
      </x:c>
      <x:c r="EL28" s="1293" t="str">
        <x:f t="shared" si="73"/>
        <x:v/>
      </x:c>
      <x:c r="EM28" s="822" t="str">
        <x:f t="shared" si="74"/>
        <x:v/>
      </x:c>
      <x:c r="EN28" s="822" t="str">
        <x:f t="shared" si="75"/>
        <x:v/>
      </x:c>
      <x:c r="EO28" s="856" t="e">
        <x:f t="shared" si="76"/>
        <x:v>#N/A</x:v>
      </x:c>
      <x:c r="EP28" s="856" t="e">
        <x:f t="shared" si="77"/>
        <x:v>#N/A</x:v>
      </x:c>
      <x:c r="EQ28" s="1293" t="str">
        <x:f t="shared" si="78"/>
        <x:v/>
      </x:c>
      <x:c r="ER28" s="822" t="str">
        <x:f t="shared" si="78"/>
        <x:v/>
      </x:c>
      <x:c r="ES28" s="822" t="str">
        <x:f t="shared" si="79"/>
        <x:v/>
      </x:c>
      <x:c r="ET28" s="822" t="str">
        <x:f t="shared" si="80"/>
        <x:v/>
      </x:c>
      <x:c r="EU28" s="829" t="str">
        <x:f t="shared" si="81"/>
        <x:v/>
      </x:c>
      <x:c r="EV28" s="824" t="str">
        <x:f t="shared" si="82"/>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83"/>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84"/>
        <x:v/>
      </x:c>
      <x:c r="FD28" s="821">
        <x:f t="shared" si="107"/>
        <x:v>0</x:v>
      </x:c>
      <x:c r="FE28" s="821">
        <x:f t="shared" si="85"/>
        <x:v>0</x:v>
      </x:c>
      <x:c r="FF28" s="821">
        <x:f t="shared" si="86"/>
        <x:v>0</x:v>
      </x:c>
      <x:c r="FG28" s="821" t="str">
        <x:f t="shared" si="87"/>
        <x:v/>
      </x:c>
      <x:c r="FH28" s="822" t="str">
        <x:f t="shared" si="88"/>
        <x:v/>
      </x:c>
      <x:c r="FI28" s="821">
        <x:f t="shared" si="108"/>
        <x:v>0</x:v>
      </x:c>
      <x:c r="FJ28" s="821">
        <x:f t="shared" si="89"/>
        <x:v>0</x:v>
      </x:c>
      <x:c r="FK28" s="821">
        <x:f t="shared" si="90"/>
        <x:v>0</x:v>
      </x:c>
      <x:c r="FL28" s="821" t="str">
        <x:f t="shared" si="91"/>
        <x:v/>
      </x:c>
      <x:c r="FM28" s="822" t="str">
        <x:f t="shared" si="92"/>
        <x:v/>
      </x:c>
      <x:c r="FN28" s="822" t="e">
        <x:f t="shared" si="93"/>
        <x:v>#VALUE!</x:v>
      </x:c>
      <x:c r="FO28" s="940" t="e">
        <x:f t="shared" si="94"/>
        <x:v>#VALUE!</x:v>
      </x:c>
      <x:c r="FP28" s="940" t="e">
        <x:f t="shared" si="95"/>
        <x:v>#VALUE!</x:v>
      </x:c>
      <x:c r="FQ28" s="830" t="e">
        <x:f t="shared" si="96"/>
        <x:v>#VALUE!</x:v>
      </x:c>
      <x:c r="FR28" s="831" t="e">
        <x:f t="shared" si="97"/>
        <x:v>#VALUE!</x:v>
      </x:c>
      <x:c r="FS28" s="832" t="str">
        <x:f t="shared" si="98"/>
        <x:v/>
      </x:c>
      <x:c r="FT28" s="833" t="str">
        <x:f t="shared" si="99"/>
        <x:v/>
      </x:c>
      <x:c r="FU28" s="870">
        <x:f t="shared" si="100"/>
        <x:v>0</x:v>
      </x:c>
      <x:c r="FV28" s="871">
        <x:f t="shared" si="101"/>
        <x:v>0</x:v>
      </x:c>
      <x:c r="GA28" s="1791" t="str">
        <x:f t="shared" si="119"/>
        <x:v/>
      </x:c>
      <x:c r="GB28" s="1792" t="str">
        <x:f t="shared" si="120"/>
        <x:v/>
      </x:c>
      <x:c r="GC28" s="1793" t="str">
        <x:f t="shared" si="121"/>
        <x:v/>
      </x:c>
      <x:c r="GD28" s="1794" t="str">
        <x:f t="shared" si="122"/>
        <x:v/>
      </x:c>
      <x:c r="GE28" s="1795" t="str">
        <x:f t="shared" si="102"/>
        <x:v/>
      </x:c>
      <x:c r="GF28" s="600" t="str">
        <x:f t="shared" si="103"/>
        <x:v/>
      </x:c>
      <x:c r="GG28" s="1130"/>
      <x:c r="GH28" s="1131"/>
      <x:c r="GI28" s="1130"/>
      <x:c r="GJ28" s="1131"/>
      <x:c r="GK28" s="1638">
        <x:f t="shared" si="104"/>
        <x:v>0</x:v>
      </x:c>
      <x:c r="GL28" s="1636" t="e">
        <x:f t="shared" si="105"/>
        <x:v>#VALUE!</x:v>
      </x:c>
      <x:c r="GM28" s="1637" t="e">
        <x:f>IF(ABS(GK28-GL28)&gt;='Job Info.'!$L$22,ABS(GK28-GL28),0)</x:f>
        <x:v>#VALUE!</x:v>
      </x:c>
      <x:c r="HA28" s="1269"/>
      <x:c r="HB28" s="1270"/>
      <x:c r="HC28" s="1270"/>
      <x:c r="HD28" s="1271"/>
      <x:c r="HE28" s="1272"/>
      <x:c r="HF28" s="1270"/>
      <x:c r="HG28" s="1270"/>
      <x:c r="HH28" s="1270"/>
      <x:c r="HI28" s="1273"/>
      <x:c r="HJ28" s="1270"/>
      <x:c r="HK28" s="1270"/>
      <x:c r="HL28" s="1270"/>
      <x:c r="HM28" s="1270"/>
      <x:c r="HN28" s="1270"/>
      <x:c r="HO28" s="1270"/>
      <x:c r="HP28" s="1270"/>
      <x:c r="HQ28" s="1273"/>
      <x:c r="HR28" s="1270"/>
      <x:c r="HS28" s="1270"/>
      <x:c r="HT28" s="1270"/>
      <x:c r="HU28" s="1270"/>
      <x:c r="HV28" s="1270"/>
      <x:c r="HW28" s="1272"/>
      <x:c r="HX28" s="1272"/>
      <x:c r="HY28" s="1272"/>
      <x:c r="HZ28" s="1272"/>
      <x:c r="IA28" s="1272"/>
      <x:c r="IB28" s="1272"/>
      <x:c r="IC28" s="1272"/>
      <x:c r="ID28" s="1272"/>
      <x:c r="IE28" s="1272"/>
      <x:c r="IF28" s="1274"/>
    </x:row>
    <x:row r="29" spans="1:240" ht="12.6" customHeight="1" x14ac:dyDescent="0.25">
      <x:c r="A29" s="2764" t="str">
        <x:f t="shared" si="109"/>
        <x:v/>
      </x:c>
      <x:c r="B29" s="2765"/>
      <x:c r="C29" s="2766" t="str">
        <x:f t="shared" si="110"/>
        <x:v/>
      </x:c>
      <x:c r="D29" s="2767" t="str">
        <x:f t="shared" si="111"/>
        <x:v/>
      </x:c>
      <x:c r="E29" s="2768" t="str">
        <x:f t="shared" si="112"/>
        <x:v/>
      </x:c>
      <x:c r="F29" s="2776" t="str">
        <x:f t="shared" si="1"/>
        <x:v/>
      </x:c>
      <x:c r="G29" s="2771" t="str">
        <x:f t="shared" si="2"/>
        <x:v/>
      </x:c>
      <x:c r="H29" s="2842" t="str">
        <x:f t="shared" si="3"/>
        <x:v/>
      </x:c>
      <x:c r="I29" s="2767" t="str">
        <x:f t="shared" si="4"/>
        <x:v/>
      </x:c>
      <x:c r="J29" s="2771" t="str">
        <x:f t="shared" si="5"/>
        <x:v/>
      </x:c>
      <x:c r="K29" s="2855" t="str">
        <x:f t="shared" si="6"/>
        <x:v/>
      </x:c>
      <x:c r="L29" s="2774" t="str">
        <x:f t="shared" si="113"/>
        <x:v/>
      </x:c>
      <x:c r="M29" s="2775" t="str">
        <x:f t="shared" si="113"/>
        <x:v/>
      </x:c>
      <x:c r="N29" s="2770" t="str">
        <x:f t="shared" si="7"/>
        <x:v/>
      </x:c>
      <x:c r="O29" s="2771" t="str">
        <x:f t="shared" si="8"/>
        <x:v/>
      </x:c>
      <x:c r="P29" s="2772" t="str">
        <x:f t="shared" si="9"/>
        <x:v/>
      </x:c>
      <x:c r="Q29" s="2767" t="str">
        <x:f t="shared" si="10"/>
        <x:v/>
      </x:c>
      <x:c r="R29" s="2771" t="str">
        <x:f t="shared" si="11"/>
        <x:v/>
      </x:c>
      <x:c r="S29" s="2773" t="str">
        <x:f t="shared" si="12"/>
        <x:v/>
      </x:c>
      <x:c r="T29" s="2776" t="str">
        <x:f t="shared" si="114"/>
        <x:v/>
      </x:c>
      <x:c r="U29" s="2771" t="str">
        <x:f t="shared" si="115"/>
        <x:v/>
      </x:c>
      <x:c r="V29" s="2767" t="str">
        <x:f t="shared" si="116"/>
        <x:v/>
      </x:c>
      <x:c r="W29" s="2771" t="str">
        <x:f t="shared" si="117"/>
        <x:v/>
      </x:c>
      <x:c r="X29" s="2775">
        <x:f t="shared" si="118"/>
        <x:v>0</x:v>
      </x:c>
      <x:c r="Y29" s="2844" t="str">
        <x:f t="shared" si="13"/>
        <x:v/>
      </x:c>
      <x:c r="Z29" s="2845" t="str">
        <x:f t="shared" si="14"/>
        <x:v/>
      </x:c>
      <x:c r="AA29" s="2846" t="s">
        <x:v>116</x:v>
      </x:c>
      <x:c r="AB29" s="1413"/>
      <x:c r="AC29" s="964" t="b">
        <x:v>0</x:v>
      </x:c>
      <x:c r="AD29" s="441">
        <x:f t="shared" si="15"/>
        <x:v>0</x:v>
      </x:c>
      <x:c r="AE29" s="442">
        <x:f t="shared" si="16"/>
        <x:v>0</x:v>
      </x:c>
      <x:c r="AF29" s="442">
        <x:f t="shared" si="17"/>
        <x:v>0</x:v>
      </x:c>
      <x:c r="AG29" s="442">
        <x:f t="shared" si="18"/>
        <x:v>0</x:v>
      </x:c>
      <x:c r="AH29" s="443">
        <x:f t="shared" si="19"/>
        <x:v>0</x:v>
      </x:c>
      <x:c r="AI29" s="444" t="b">
        <x:v>0</x:v>
      </x:c>
      <x:c r="AJ29" s="238">
        <x:f t="shared" si="20"/>
        <x:v>0</x:v>
      </x:c>
      <x:c r="AK29" s="830" t="str">
        <x:f t="shared" si="21"/>
        <x:v/>
      </x:c>
      <x:c r="AL29" s="945" t="str">
        <x:f t="shared" si="22"/>
        <x:v/>
      </x:c>
      <x:c r="AM29" s="830" t="str">
        <x:f t="shared" si="23"/>
        <x:v/>
      </x:c>
      <x:c r="AN29" s="830" t="str">
        <x:f t="shared" si="24"/>
        <x:v/>
      </x:c>
      <x:c r="AO29" s="830" t="str">
        <x:f t="shared" si="25"/>
        <x:v/>
      </x:c>
      <x:c r="AP29" s="830" t="b">
        <x:f>IF(ISERROR(AJ29),FALSE,IF(OR(AJ29=0,ISERROR(AL29),ISERROR(AM29),ISERROR(AN29),ISERROR(AO29)),FALSE,IF(AL29&lt;&gt;"",IF(ISERROR(VLOOKUP(SUBSTITUTE(SUBSTITUTE(C29,"R",""),"A",""),TblJoistSize!$A:$A,1,FALSE)),FALSE,TRUE),TRUE)))</x:f>
        <x:v>0</x:v>
      </x:c>
      <x:c r="AQ29" s="1038" t="e">
        <x:f t="shared" si="26"/>
        <x:v>#N/A</x:v>
      </x:c>
      <x:c r="AR29" s="945" t="b">
        <x:f t="shared" si="27"/>
        <x:v>0</x:v>
      </x:c>
      <x:c r="AS29" s="1038" t="e">
        <x:f t="shared" si="28"/>
        <x:v>#N/A</x:v>
      </x:c>
      <x:c r="AT29" s="945" t="b">
        <x:f t="shared" si="29"/>
        <x:v>0</x:v>
      </x:c>
      <x:c r="AU29" s="946" t="str">
        <x:f t="shared" si="30"/>
        <x:v/>
      </x:c>
      <x:c r="AV29" s="830" t="str">
        <x:f t="shared" si="31"/>
        <x:v/>
      </x:c>
      <x:c r="AW29" s="830" t="str">
        <x:f t="shared" si="32"/>
        <x:v/>
      </x:c>
      <x:c r="AX29" s="830" t="str">
        <x:f t="shared" si="106"/>
        <x:v/>
      </x:c>
      <x:c r="AY29" s="1039" t="b">
        <x:f t="shared" si="33"/>
        <x:v>0</x:v>
      </x:c>
      <x:c r="AZ29" s="856" t="str">
        <x:f t="shared" si="34"/>
        <x:v/>
      </x:c>
      <x:c r="BA29" s="549"/>
      <x:c r="BB29" s="672"/>
      <x:c r="BC29" s="1684"/>
      <x:c r="BD29" s="733"/>
      <x:c r="BE29" s="734"/>
      <x:c r="BF29" s="735"/>
      <x:c r="BG29" s="672"/>
      <x:c r="BH29" s="982"/>
      <x:c r="BI29" s="983"/>
      <x:c r="BJ29" s="1625"/>
      <x:c r="BK29" s="713"/>
      <x:c r="BL29" s="714"/>
      <x:c r="BM29" s="715"/>
      <x:c r="BN29" s="716"/>
      <x:c r="BO29" s="672" t="str">
        <x:f>IF(ISERROR(CU29),"",IF(CU29="","",IF(VLOOKUP(BG29,SectInfo!$B:$N,10,FALSE)="","","X")))</x:f>
        <x:v/>
      </x:c>
      <x:c r="BP29" s="738"/>
      <x:c r="BQ29" s="1551" t="str">
        <x:f t="shared" si="35"/>
        <x:v/>
      </x:c>
      <x:c r="BR29" s="910"/>
      <x:c r="BS29" s="672"/>
      <x:c r="BT29" s="713"/>
      <x:c r="BU29" s="714"/>
      <x:c r="BV29" s="1625"/>
      <x:c r="BW29" s="713"/>
      <x:c r="BX29" s="714"/>
      <x:c r="BY29" s="715"/>
      <x:c r="BZ29" s="716"/>
      <x:c r="CA29" s="680" t="str">
        <x:f>IF(ISERROR(DE29),"",IF(DE29="","",IF(VLOOKUP(BS29,SectInfo!$B:$N,10,FALSE)="","","X")))</x:f>
        <x:v/>
      </x:c>
      <x:c r="CB29" s="738"/>
      <x:c r="CC29" s="1551" t="str">
        <x:f t="shared" si="36"/>
        <x:v/>
      </x:c>
      <x:c r="CD29" s="910"/>
      <x:c r="CE29" s="717"/>
      <x:c r="CF29" s="736"/>
      <x:c r="CG29" s="737"/>
      <x:c r="CH29" s="591" t="str">
        <x:f t="shared" si="37"/>
        <x:v/>
      </x:c>
      <x:c r="CI29" s="592" t="str">
        <x:f t="shared" si="38"/>
        <x:v/>
      </x:c>
      <x:c r="CJ29" s="593" t="str">
        <x:f t="shared" si="39"/>
        <x:v/>
      </x:c>
      <x:c r="CK29" s="594" t="str">
        <x:f t="shared" si="40"/>
        <x:v/>
      </x:c>
      <x:c r="CL29" s="595" t="str">
        <x:f t="shared" si="41"/>
        <x:v/>
      </x:c>
      <x:c r="CM29" s="596" t="str">
        <x:f t="shared" si="42"/>
        <x:v/>
      </x:c>
      <x:c r="CN29" s="597" t="str">
        <x:f t="shared" si="43"/>
        <x:v/>
      </x:c>
      <x:c r="CO29" s="598" t="str">
        <x:f t="shared" si="44"/>
        <x:v/>
      </x:c>
      <x:c r="CP29" s="615" t="str">
        <x:f t="shared" si="45"/>
        <x:v/>
      </x:c>
      <x:c r="CQ29" s="616" t="str">
        <x:f t="shared" si="46"/>
        <x:v/>
      </x:c>
      <x:c r="CR29" s="750" t="str">
        <x:f t="shared" si="47"/>
        <x:v/>
      </x:c>
      <x:c r="CS29" s="751" t="str">
        <x:f t="shared" si="48"/>
        <x:v/>
      </x:c>
      <x:c r="CU29" s="817" t="str">
        <x:f>IF(BG29="","",VLOOKUP(BG29,SectInfo!$B:$N,12,FALSE))</x:f>
        <x:v/>
      </x:c>
      <x:c r="CV29" s="815" t="str">
        <x:f>IF(BG29="","",IF(ISBLANK(BP29),VLOOKUP(BG29,SectInfo!$B:$N,13,FALSE),BP29))</x:f>
        <x:v/>
      </x:c>
      <x:c r="CW29" s="8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8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49"/>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50"/>
        <x:v>0</x:v>
      </x:c>
      <x:c r="DO29" s="818">
        <x:f t="shared" si="51"/>
        <x:v>0</x:v>
      </x:c>
      <x:c r="DP29" s="822" t="str">
        <x:f t="shared" si="52"/>
        <x:v/>
      </x:c>
      <x:c r="DQ29" s="822" t="str">
        <x:f t="shared" si="53"/>
        <x:v/>
      </x:c>
      <x:c r="DR29" s="822" t="str">
        <x:f t="shared" si="54"/>
        <x:v/>
      </x:c>
      <x:c r="DS29" s="821">
        <x:f t="shared" si="55"/>
        <x:v>0</x:v>
      </x:c>
      <x:c r="DT29" s="821">
        <x:f t="shared" si="56"/>
        <x:v>0</x:v>
      </x:c>
      <x:c r="DU29" s="821" t="str">
        <x:f t="shared" si="57"/>
        <x:v/>
      </x:c>
      <x:c r="DV29" s="822" t="str">
        <x:f t="shared" si="58"/>
        <x:v/>
      </x:c>
      <x:c r="DW29" s="856" t="str">
        <x:f t="shared" si="59"/>
        <x:v/>
      </x:c>
      <x:c r="DX29" s="1006">
        <x:f t="shared" si="60"/>
        <x:v>0</x:v>
      </x:c>
      <x:c r="DY29" s="822">
        <x:f t="shared" si="61"/>
        <x:v>0</x:v>
      </x:c>
      <x:c r="DZ29" s="821">
        <x:f t="shared" si="62"/>
        <x:v>0</x:v>
      </x:c>
      <x:c r="EA29" s="821" t="str">
        <x:f t="shared" si="63"/>
        <x:v/>
      </x:c>
      <x:c r="EB29" s="822" t="str">
        <x:f t="shared" si="64"/>
        <x:v/>
      </x:c>
      <x:c r="EC29" s="856" t="str">
        <x:f t="shared" si="65"/>
        <x:v/>
      </x:c>
      <x:c r="ED29" s="1006">
        <x:f t="shared" si="66"/>
        <x:v>0</x:v>
      </x:c>
      <x:c r="EE29" s="1293" t="str">
        <x:f t="shared" si="67"/>
        <x:v/>
      </x:c>
      <x:c r="EF29" s="1293" t="str">
        <x:f t="shared" si="68"/>
        <x:v/>
      </x:c>
      <x:c r="EG29" s="1293" t="str">
        <x:f t="shared" si="69"/>
        <x:v/>
      </x:c>
      <x:c r="EH29" s="856" t="e">
        <x:f t="shared" si="70"/>
        <x:v>#N/A</x:v>
      </x:c>
      <x:c r="EI29" s="856" t="e">
        <x:f t="shared" si="71"/>
        <x:v>#N/A</x:v>
      </x:c>
      <x:c r="EJ29" s="822" t="str">
        <x:f t="shared" si="72"/>
        <x:v/>
      </x:c>
      <x:c r="EK29" s="822" t="str">
        <x:f t="shared" si="72"/>
        <x:v/>
      </x:c>
      <x:c r="EL29" s="1293" t="str">
        <x:f t="shared" si="73"/>
        <x:v/>
      </x:c>
      <x:c r="EM29" s="822" t="str">
        <x:f t="shared" si="74"/>
        <x:v/>
      </x:c>
      <x:c r="EN29" s="822" t="str">
        <x:f t="shared" si="75"/>
        <x:v/>
      </x:c>
      <x:c r="EO29" s="856" t="e">
        <x:f t="shared" si="76"/>
        <x:v>#N/A</x:v>
      </x:c>
      <x:c r="EP29" s="856" t="e">
        <x:f t="shared" si="77"/>
        <x:v>#N/A</x:v>
      </x:c>
      <x:c r="EQ29" s="1293" t="str">
        <x:f t="shared" si="78"/>
        <x:v/>
      </x:c>
      <x:c r="ER29" s="822" t="str">
        <x:f t="shared" si="78"/>
        <x:v/>
      </x:c>
      <x:c r="ES29" s="822" t="str">
        <x:f t="shared" si="79"/>
        <x:v/>
      </x:c>
      <x:c r="ET29" s="822" t="str">
        <x:f t="shared" si="80"/>
        <x:v/>
      </x:c>
      <x:c r="EU29" s="829" t="str">
        <x:f t="shared" si="81"/>
        <x:v/>
      </x:c>
      <x:c r="EV29" s="824" t="str">
        <x:f t="shared" si="82"/>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83"/>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84"/>
        <x:v/>
      </x:c>
      <x:c r="FD29" s="821">
        <x:f t="shared" si="107"/>
        <x:v>0</x:v>
      </x:c>
      <x:c r="FE29" s="821">
        <x:f t="shared" si="85"/>
        <x:v>0</x:v>
      </x:c>
      <x:c r="FF29" s="821">
        <x:f t="shared" si="86"/>
        <x:v>0</x:v>
      </x:c>
      <x:c r="FG29" s="821" t="str">
        <x:f t="shared" si="87"/>
        <x:v/>
      </x:c>
      <x:c r="FH29" s="822" t="str">
        <x:f t="shared" si="88"/>
        <x:v/>
      </x:c>
      <x:c r="FI29" s="821">
        <x:f t="shared" si="108"/>
        <x:v>0</x:v>
      </x:c>
      <x:c r="FJ29" s="821">
        <x:f t="shared" si="89"/>
        <x:v>0</x:v>
      </x:c>
      <x:c r="FK29" s="821">
        <x:f t="shared" si="90"/>
        <x:v>0</x:v>
      </x:c>
      <x:c r="FL29" s="821" t="str">
        <x:f t="shared" si="91"/>
        <x:v/>
      </x:c>
      <x:c r="FM29" s="822" t="str">
        <x:f t="shared" si="92"/>
        <x:v/>
      </x:c>
      <x:c r="FN29" s="822" t="e">
        <x:f t="shared" si="93"/>
        <x:v>#VALUE!</x:v>
      </x:c>
      <x:c r="FO29" s="940" t="e">
        <x:f t="shared" si="94"/>
        <x:v>#VALUE!</x:v>
      </x:c>
      <x:c r="FP29" s="940" t="e">
        <x:f t="shared" si="95"/>
        <x:v>#VALUE!</x:v>
      </x:c>
      <x:c r="FQ29" s="830" t="e">
        <x:f t="shared" si="96"/>
        <x:v>#VALUE!</x:v>
      </x:c>
      <x:c r="FR29" s="831" t="e">
        <x:f t="shared" si="97"/>
        <x:v>#VALUE!</x:v>
      </x:c>
      <x:c r="FS29" s="832" t="str">
        <x:f t="shared" si="98"/>
        <x:v/>
      </x:c>
      <x:c r="FT29" s="833" t="str">
        <x:f t="shared" si="99"/>
        <x:v/>
      </x:c>
      <x:c r="FU29" s="870">
        <x:f t="shared" si="100"/>
        <x:v>0</x:v>
      </x:c>
      <x:c r="FV29" s="871">
        <x:f t="shared" si="101"/>
        <x:v>0</x:v>
      </x:c>
      <x:c r="GA29" s="1791" t="str">
        <x:f t="shared" si="119"/>
        <x:v/>
      </x:c>
      <x:c r="GB29" s="1792" t="str">
        <x:f t="shared" si="120"/>
        <x:v/>
      </x:c>
      <x:c r="GC29" s="1793" t="str">
        <x:f t="shared" si="121"/>
        <x:v/>
      </x:c>
      <x:c r="GD29" s="1794" t="str">
        <x:f t="shared" si="122"/>
        <x:v/>
      </x:c>
      <x:c r="GE29" s="1795" t="str">
        <x:f t="shared" si="102"/>
        <x:v/>
      </x:c>
      <x:c r="GF29" s="600" t="str">
        <x:f t="shared" si="103"/>
        <x:v/>
      </x:c>
      <x:c r="GG29" s="1130"/>
      <x:c r="GH29" s="1131"/>
      <x:c r="GI29" s="1130"/>
      <x:c r="GJ29" s="1131"/>
      <x:c r="GK29" s="1638">
        <x:f t="shared" si="104"/>
        <x:v>0</x:v>
      </x:c>
      <x:c r="GL29" s="1636" t="e">
        <x:f t="shared" si="105"/>
        <x:v>#VALUE!</x:v>
      </x:c>
      <x:c r="GM29" s="1637" t="e">
        <x:f>IF(ABS(GK29-GL29)&gt;='Job Info.'!$L$22,ABS(GK29-GL29),0)</x:f>
        <x:v>#VALUE!</x:v>
      </x:c>
      <x:c r="HA29" s="1269"/>
      <x:c r="HB29" s="1270"/>
      <x:c r="HC29" s="1270"/>
      <x:c r="HD29" s="1271"/>
      <x:c r="HE29" s="1272"/>
      <x:c r="HF29" s="1270"/>
      <x:c r="HG29" s="1270"/>
      <x:c r="HH29" s="1270"/>
      <x:c r="HI29" s="1273"/>
      <x:c r="HJ29" s="1270"/>
      <x:c r="HK29" s="1270"/>
      <x:c r="HL29" s="1270"/>
      <x:c r="HM29" s="1270"/>
      <x:c r="HN29" s="1270"/>
      <x:c r="HO29" s="1270"/>
      <x:c r="HP29" s="1270"/>
      <x:c r="HQ29" s="1273"/>
      <x:c r="HR29" s="1270"/>
      <x:c r="HS29" s="1270"/>
      <x:c r="HT29" s="1270"/>
      <x:c r="HU29" s="1270"/>
      <x:c r="HV29" s="1270"/>
      <x:c r="HW29" s="1272"/>
      <x:c r="HX29" s="1272"/>
      <x:c r="HY29" s="1272"/>
      <x:c r="HZ29" s="1272"/>
      <x:c r="IA29" s="1272"/>
      <x:c r="IB29" s="1272"/>
      <x:c r="IC29" s="1272"/>
      <x:c r="ID29" s="1272"/>
      <x:c r="IE29" s="1272"/>
      <x:c r="IF29" s="1274"/>
    </x:row>
    <x:row r="30" spans="1:240" ht="12.6" customHeight="1" x14ac:dyDescent="0.25">
      <x:c r="A30" s="2764" t="str">
        <x:f t="shared" si="109"/>
        <x:v/>
      </x:c>
      <x:c r="B30" s="2765"/>
      <x:c r="C30" s="2766" t="str">
        <x:f t="shared" si="110"/>
        <x:v/>
      </x:c>
      <x:c r="D30" s="2767" t="str">
        <x:f t="shared" si="111"/>
        <x:v/>
      </x:c>
      <x:c r="E30" s="2768" t="str">
        <x:f t="shared" si="112"/>
        <x:v/>
      </x:c>
      <x:c r="F30" s="2776" t="str">
        <x:f t="shared" si="1"/>
        <x:v/>
      </x:c>
      <x:c r="G30" s="2771" t="str">
        <x:f t="shared" si="2"/>
        <x:v/>
      </x:c>
      <x:c r="H30" s="2842" t="str">
        <x:f t="shared" si="3"/>
        <x:v/>
      </x:c>
      <x:c r="I30" s="2767" t="str">
        <x:f t="shared" si="4"/>
        <x:v/>
      </x:c>
      <x:c r="J30" s="2771" t="str">
        <x:f t="shared" si="5"/>
        <x:v/>
      </x:c>
      <x:c r="K30" s="2855" t="str">
        <x:f t="shared" si="6"/>
        <x:v/>
      </x:c>
      <x:c r="L30" s="2774" t="str">
        <x:f t="shared" si="113"/>
        <x:v/>
      </x:c>
      <x:c r="M30" s="2775" t="str">
        <x:f t="shared" si="113"/>
        <x:v/>
      </x:c>
      <x:c r="N30" s="2770" t="str">
        <x:f t="shared" si="7"/>
        <x:v/>
      </x:c>
      <x:c r="O30" s="2771" t="str">
        <x:f t="shared" si="8"/>
        <x:v/>
      </x:c>
      <x:c r="P30" s="2772" t="str">
        <x:f t="shared" si="9"/>
        <x:v/>
      </x:c>
      <x:c r="Q30" s="2767" t="str">
        <x:f t="shared" si="10"/>
        <x:v/>
      </x:c>
      <x:c r="R30" s="2771" t="str">
        <x:f t="shared" si="11"/>
        <x:v/>
      </x:c>
      <x:c r="S30" s="2773" t="str">
        <x:f t="shared" si="12"/>
        <x:v/>
      </x:c>
      <x:c r="T30" s="2776" t="str">
        <x:f t="shared" si="114"/>
        <x:v/>
      </x:c>
      <x:c r="U30" s="2771" t="str">
        <x:f t="shared" si="115"/>
        <x:v/>
      </x:c>
      <x:c r="V30" s="2767" t="str">
        <x:f t="shared" si="116"/>
        <x:v/>
      </x:c>
      <x:c r="W30" s="2771" t="str">
        <x:f t="shared" si="117"/>
        <x:v/>
      </x:c>
      <x:c r="X30" s="2775">
        <x:f t="shared" si="118"/>
        <x:v>0</x:v>
      </x:c>
      <x:c r="Y30" s="2844" t="str">
        <x:f t="shared" si="13"/>
        <x:v/>
      </x:c>
      <x:c r="Z30" s="2845" t="str">
        <x:f t="shared" si="14"/>
        <x:v/>
      </x:c>
      <x:c r="AA30" s="2846" t="s">
        <x:v>116</x:v>
      </x:c>
      <x:c r="AB30" s="1413"/>
      <x:c r="AC30" s="964" t="b">
        <x:v>0</x:v>
      </x:c>
      <x:c r="AD30" s="441">
        <x:f t="shared" si="15"/>
        <x:v>0</x:v>
      </x:c>
      <x:c r="AE30" s="442">
        <x:f t="shared" si="16"/>
        <x:v>0</x:v>
      </x:c>
      <x:c r="AF30" s="442">
        <x:f t="shared" si="17"/>
        <x:v>0</x:v>
      </x:c>
      <x:c r="AG30" s="442">
        <x:f t="shared" si="18"/>
        <x:v>0</x:v>
      </x:c>
      <x:c r="AH30" s="443">
        <x:f t="shared" si="19"/>
        <x:v>0</x:v>
      </x:c>
      <x:c r="AI30" s="444" t="b">
        <x:v>0</x:v>
      </x:c>
      <x:c r="AJ30" s="238">
        <x:f t="shared" si="20"/>
        <x:v>0</x:v>
      </x:c>
      <x:c r="AK30" s="830" t="str">
        <x:f t="shared" si="21"/>
        <x:v/>
      </x:c>
      <x:c r="AL30" s="945" t="str">
        <x:f t="shared" si="22"/>
        <x:v/>
      </x:c>
      <x:c r="AM30" s="830" t="str">
        <x:f t="shared" si="23"/>
        <x:v/>
      </x:c>
      <x:c r="AN30" s="830" t="str">
        <x:f t="shared" si="24"/>
        <x:v/>
      </x:c>
      <x:c r="AO30" s="830" t="str">
        <x:f t="shared" si="25"/>
        <x:v/>
      </x:c>
      <x:c r="AP30" s="830" t="b">
        <x:f>IF(ISERROR(AJ30),FALSE,IF(OR(AJ30=0,ISERROR(AL30),ISERROR(AM30),ISERROR(AN30),ISERROR(AO30)),FALSE,IF(AL30&lt;&gt;"",IF(ISERROR(VLOOKUP(SUBSTITUTE(SUBSTITUTE(C30,"R",""),"A",""),TblJoistSize!$A:$A,1,FALSE)),FALSE,TRUE),TRUE)))</x:f>
        <x:v>0</x:v>
      </x:c>
      <x:c r="AQ30" s="1038" t="e">
        <x:f t="shared" si="26"/>
        <x:v>#N/A</x:v>
      </x:c>
      <x:c r="AR30" s="945" t="b">
        <x:f t="shared" si="27"/>
        <x:v>0</x:v>
      </x:c>
      <x:c r="AS30" s="1038" t="e">
        <x:f t="shared" si="28"/>
        <x:v>#N/A</x:v>
      </x:c>
      <x:c r="AT30" s="945" t="b">
        <x:f t="shared" si="29"/>
        <x:v>0</x:v>
      </x:c>
      <x:c r="AU30" s="946" t="str">
        <x:f t="shared" si="30"/>
        <x:v/>
      </x:c>
      <x:c r="AV30" s="830" t="str">
        <x:f t="shared" si="31"/>
        <x:v/>
      </x:c>
      <x:c r="AW30" s="830" t="str">
        <x:f t="shared" si="32"/>
        <x:v/>
      </x:c>
      <x:c r="AX30" s="830" t="str">
        <x:f t="shared" si="106"/>
        <x:v/>
      </x:c>
      <x:c r="AY30" s="1039" t="b">
        <x:f t="shared" si="33"/>
        <x:v>0</x:v>
      </x:c>
      <x:c r="AZ30" s="856" t="str">
        <x:f t="shared" si="34"/>
        <x:v/>
      </x:c>
      <x:c r="BA30" s="549"/>
      <x:c r="BB30" s="672"/>
      <x:c r="BC30" s="1684"/>
      <x:c r="BD30" s="733"/>
      <x:c r="BE30" s="734"/>
      <x:c r="BF30" s="735"/>
      <x:c r="BG30" s="672"/>
      <x:c r="BH30" s="982"/>
      <x:c r="BI30" s="983"/>
      <x:c r="BJ30" s="1625"/>
      <x:c r="BK30" s="713"/>
      <x:c r="BL30" s="714"/>
      <x:c r="BM30" s="715"/>
      <x:c r="BN30" s="716"/>
      <x:c r="BO30" s="672" t="str">
        <x:f>IF(ISERROR(CU30),"",IF(CU30="","",IF(VLOOKUP(BG30,SectInfo!$B:$N,10,FALSE)="","","X")))</x:f>
        <x:v/>
      </x:c>
      <x:c r="BP30" s="738"/>
      <x:c r="BQ30" s="1551" t="str">
        <x:f t="shared" si="35"/>
        <x:v/>
      </x:c>
      <x:c r="BR30" s="910"/>
      <x:c r="BS30" s="672"/>
      <x:c r="BT30" s="713"/>
      <x:c r="BU30" s="714"/>
      <x:c r="BV30" s="1625"/>
      <x:c r="BW30" s="713"/>
      <x:c r="BX30" s="714"/>
      <x:c r="BY30" s="715"/>
      <x:c r="BZ30" s="716"/>
      <x:c r="CA30" s="680" t="str">
        <x:f>IF(ISERROR(DE30),"",IF(DE30="","",IF(VLOOKUP(BS30,SectInfo!$B:$N,10,FALSE)="","","X")))</x:f>
        <x:v/>
      </x:c>
      <x:c r="CB30" s="738"/>
      <x:c r="CC30" s="1551" t="str">
        <x:f t="shared" si="36"/>
        <x:v/>
      </x:c>
      <x:c r="CD30" s="910"/>
      <x:c r="CE30" s="717"/>
      <x:c r="CF30" s="736"/>
      <x:c r="CG30" s="737"/>
      <x:c r="CH30" s="591" t="str">
        <x:f t="shared" si="37"/>
        <x:v/>
      </x:c>
      <x:c r="CI30" s="592" t="str">
        <x:f t="shared" si="38"/>
        <x:v/>
      </x:c>
      <x:c r="CJ30" s="593" t="str">
        <x:f t="shared" si="39"/>
        <x:v/>
      </x:c>
      <x:c r="CK30" s="594" t="str">
        <x:f t="shared" si="40"/>
        <x:v/>
      </x:c>
      <x:c r="CL30" s="595" t="str">
        <x:f t="shared" si="41"/>
        <x:v/>
      </x:c>
      <x:c r="CM30" s="596" t="str">
        <x:f t="shared" si="42"/>
        <x:v/>
      </x:c>
      <x:c r="CN30" s="597" t="str">
        <x:f t="shared" si="43"/>
        <x:v/>
      </x:c>
      <x:c r="CO30" s="598" t="str">
        <x:f t="shared" si="44"/>
        <x:v/>
      </x:c>
      <x:c r="CP30" s="615" t="str">
        <x:f t="shared" si="45"/>
        <x:v/>
      </x:c>
      <x:c r="CQ30" s="616" t="str">
        <x:f t="shared" si="46"/>
        <x:v/>
      </x:c>
      <x:c r="CR30" s="750" t="str">
        <x:f t="shared" si="47"/>
        <x:v/>
      </x:c>
      <x:c r="CS30" s="751" t="str">
        <x:f t="shared" si="48"/>
        <x:v/>
      </x:c>
      <x:c r="CU30" s="817" t="str">
        <x:f>IF(BG30="","",VLOOKUP(BG30,SectInfo!$B:$N,12,FALSE))</x:f>
        <x:v/>
      </x:c>
      <x:c r="CV30" s="815" t="str">
        <x:f>IF(BG30="","",IF(ISBLANK(BP30),VLOOKUP(BG30,SectInfo!$B:$N,13,FALSE),BP30))</x:f>
        <x:v/>
      </x:c>
      <x:c r="CW30" s="8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8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49"/>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50"/>
        <x:v>0</x:v>
      </x:c>
      <x:c r="DO30" s="818">
        <x:f t="shared" si="51"/>
        <x:v>0</x:v>
      </x:c>
      <x:c r="DP30" s="822" t="str">
        <x:f t="shared" si="52"/>
        <x:v/>
      </x:c>
      <x:c r="DQ30" s="822" t="str">
        <x:f t="shared" si="53"/>
        <x:v/>
      </x:c>
      <x:c r="DR30" s="822" t="str">
        <x:f t="shared" si="54"/>
        <x:v/>
      </x:c>
      <x:c r="DS30" s="821">
        <x:f t="shared" si="55"/>
        <x:v>0</x:v>
      </x:c>
      <x:c r="DT30" s="821">
        <x:f t="shared" si="56"/>
        <x:v>0</x:v>
      </x:c>
      <x:c r="DU30" s="821" t="str">
        <x:f t="shared" si="57"/>
        <x:v/>
      </x:c>
      <x:c r="DV30" s="822" t="str">
        <x:f t="shared" si="58"/>
        <x:v/>
      </x:c>
      <x:c r="DW30" s="856" t="str">
        <x:f t="shared" si="59"/>
        <x:v/>
      </x:c>
      <x:c r="DX30" s="1006">
        <x:f t="shared" si="60"/>
        <x:v>0</x:v>
      </x:c>
      <x:c r="DY30" s="822">
        <x:f t="shared" si="61"/>
        <x:v>0</x:v>
      </x:c>
      <x:c r="DZ30" s="821">
        <x:f t="shared" si="62"/>
        <x:v>0</x:v>
      </x:c>
      <x:c r="EA30" s="821" t="str">
        <x:f t="shared" si="63"/>
        <x:v/>
      </x:c>
      <x:c r="EB30" s="822" t="str">
        <x:f t="shared" si="64"/>
        <x:v/>
      </x:c>
      <x:c r="EC30" s="856" t="str">
        <x:f t="shared" si="65"/>
        <x:v/>
      </x:c>
      <x:c r="ED30" s="1006">
        <x:f t="shared" si="66"/>
        <x:v>0</x:v>
      </x:c>
      <x:c r="EE30" s="1293" t="str">
        <x:f t="shared" si="67"/>
        <x:v/>
      </x:c>
      <x:c r="EF30" s="1293" t="str">
        <x:f t="shared" si="68"/>
        <x:v/>
      </x:c>
      <x:c r="EG30" s="1293" t="str">
        <x:f t="shared" si="69"/>
        <x:v/>
      </x:c>
      <x:c r="EH30" s="856" t="e">
        <x:f t="shared" si="70"/>
        <x:v>#N/A</x:v>
      </x:c>
      <x:c r="EI30" s="856" t="e">
        <x:f t="shared" si="71"/>
        <x:v>#N/A</x:v>
      </x:c>
      <x:c r="EJ30" s="822" t="str">
        <x:f t="shared" si="72"/>
        <x:v/>
      </x:c>
      <x:c r="EK30" s="822" t="str">
        <x:f t="shared" si="72"/>
        <x:v/>
      </x:c>
      <x:c r="EL30" s="1293" t="str">
        <x:f t="shared" si="73"/>
        <x:v/>
      </x:c>
      <x:c r="EM30" s="822" t="str">
        <x:f t="shared" si="74"/>
        <x:v/>
      </x:c>
      <x:c r="EN30" s="822" t="str">
        <x:f t="shared" si="75"/>
        <x:v/>
      </x:c>
      <x:c r="EO30" s="856" t="e">
        <x:f t="shared" si="76"/>
        <x:v>#N/A</x:v>
      </x:c>
      <x:c r="EP30" s="856" t="e">
        <x:f t="shared" si="77"/>
        <x:v>#N/A</x:v>
      </x:c>
      <x:c r="EQ30" s="1293" t="str">
        <x:f t="shared" si="78"/>
        <x:v/>
      </x:c>
      <x:c r="ER30" s="822" t="str">
        <x:f t="shared" si="78"/>
        <x:v/>
      </x:c>
      <x:c r="ES30" s="822" t="str">
        <x:f t="shared" si="79"/>
        <x:v/>
      </x:c>
      <x:c r="ET30" s="822" t="str">
        <x:f t="shared" si="80"/>
        <x:v/>
      </x:c>
      <x:c r="EU30" s="829" t="str">
        <x:f t="shared" si="81"/>
        <x:v/>
      </x:c>
      <x:c r="EV30" s="824" t="str">
        <x:f t="shared" si="82"/>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83"/>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84"/>
        <x:v/>
      </x:c>
      <x:c r="FD30" s="821">
        <x:f t="shared" si="107"/>
        <x:v>0</x:v>
      </x:c>
      <x:c r="FE30" s="821">
        <x:f t="shared" si="85"/>
        <x:v>0</x:v>
      </x:c>
      <x:c r="FF30" s="821">
        <x:f t="shared" si="86"/>
        <x:v>0</x:v>
      </x:c>
      <x:c r="FG30" s="821" t="str">
        <x:f t="shared" si="87"/>
        <x:v/>
      </x:c>
      <x:c r="FH30" s="822" t="str">
        <x:f t="shared" si="88"/>
        <x:v/>
      </x:c>
      <x:c r="FI30" s="821">
        <x:f t="shared" si="108"/>
        <x:v>0</x:v>
      </x:c>
      <x:c r="FJ30" s="821">
        <x:f t="shared" si="89"/>
        <x:v>0</x:v>
      </x:c>
      <x:c r="FK30" s="821">
        <x:f t="shared" si="90"/>
        <x:v>0</x:v>
      </x:c>
      <x:c r="FL30" s="821" t="str">
        <x:f t="shared" si="91"/>
        <x:v/>
      </x:c>
      <x:c r="FM30" s="822" t="str">
        <x:f t="shared" si="92"/>
        <x:v/>
      </x:c>
      <x:c r="FN30" s="822" t="e">
        <x:f t="shared" si="93"/>
        <x:v>#VALUE!</x:v>
      </x:c>
      <x:c r="FO30" s="940" t="e">
        <x:f t="shared" si="94"/>
        <x:v>#VALUE!</x:v>
      </x:c>
      <x:c r="FP30" s="940" t="e">
        <x:f t="shared" si="95"/>
        <x:v>#VALUE!</x:v>
      </x:c>
      <x:c r="FQ30" s="830" t="e">
        <x:f t="shared" si="96"/>
        <x:v>#VALUE!</x:v>
      </x:c>
      <x:c r="FR30" s="831" t="e">
        <x:f t="shared" si="97"/>
        <x:v>#VALUE!</x:v>
      </x:c>
      <x:c r="FS30" s="832" t="str">
        <x:f t="shared" si="98"/>
        <x:v/>
      </x:c>
      <x:c r="FT30" s="833" t="str">
        <x:f t="shared" si="99"/>
        <x:v/>
      </x:c>
      <x:c r="FU30" s="870">
        <x:f t="shared" si="100"/>
        <x:v>0</x:v>
      </x:c>
      <x:c r="FV30" s="871">
        <x:f t="shared" si="101"/>
        <x:v>0</x:v>
      </x:c>
      <x:c r="GA30" s="1791" t="str">
        <x:f t="shared" si="119"/>
        <x:v/>
      </x:c>
      <x:c r="GB30" s="1792" t="str">
        <x:f t="shared" si="120"/>
        <x:v/>
      </x:c>
      <x:c r="GC30" s="1793" t="str">
        <x:f t="shared" si="121"/>
        <x:v/>
      </x:c>
      <x:c r="GD30" s="1794" t="str">
        <x:f t="shared" si="122"/>
        <x:v/>
      </x:c>
      <x:c r="GE30" s="1795" t="str">
        <x:f t="shared" si="102"/>
        <x:v/>
      </x:c>
      <x:c r="GF30" s="600" t="str">
        <x:f t="shared" si="103"/>
        <x:v/>
      </x:c>
      <x:c r="GG30" s="1130"/>
      <x:c r="GH30" s="1131"/>
      <x:c r="GI30" s="1130"/>
      <x:c r="GJ30" s="1131"/>
      <x:c r="GK30" s="1638">
        <x:f t="shared" si="104"/>
        <x:v>0</x:v>
      </x:c>
      <x:c r="GL30" s="1636" t="e">
        <x:f t="shared" si="105"/>
        <x:v>#VALUE!</x:v>
      </x:c>
      <x:c r="GM30" s="1637" t="e">
        <x:f>IF(ABS(GK30-GL30)&gt;='Job Info.'!$L$22,ABS(GK30-GL30),0)</x:f>
        <x:v>#VALUE!</x:v>
      </x:c>
      <x:c r="HA30" s="1269"/>
      <x:c r="HB30" s="1270"/>
      <x:c r="HC30" s="1270"/>
      <x:c r="HD30" s="1271"/>
      <x:c r="HE30" s="1272"/>
      <x:c r="HF30" s="1270"/>
      <x:c r="HG30" s="1270"/>
      <x:c r="HH30" s="1270"/>
      <x:c r="HI30" s="1273"/>
      <x:c r="HJ30" s="1270"/>
      <x:c r="HK30" s="1270"/>
      <x:c r="HL30" s="1270"/>
      <x:c r="HM30" s="1270"/>
      <x:c r="HN30" s="1270"/>
      <x:c r="HO30" s="1270"/>
      <x:c r="HP30" s="1270"/>
      <x:c r="HQ30" s="1273"/>
      <x:c r="HR30" s="1270"/>
      <x:c r="HS30" s="1270"/>
      <x:c r="HT30" s="1270"/>
      <x:c r="HU30" s="1270"/>
      <x:c r="HV30" s="1270"/>
      <x:c r="HW30" s="1272"/>
      <x:c r="HX30" s="1272"/>
      <x:c r="HY30" s="1272"/>
      <x:c r="HZ30" s="1272"/>
      <x:c r="IA30" s="1272"/>
      <x:c r="IB30" s="1272"/>
      <x:c r="IC30" s="1272"/>
      <x:c r="ID30" s="1272"/>
      <x:c r="IE30" s="1272"/>
      <x:c r="IF30" s="1274"/>
    </x:row>
    <x:row r="31" spans="1:240" ht="12.6" customHeight="1" x14ac:dyDescent="0.25">
      <x:c r="A31" s="2764" t="str">
        <x:f t="shared" si="109"/>
        <x:v/>
      </x:c>
      <x:c r="B31" s="2765"/>
      <x:c r="C31" s="2766" t="str">
        <x:f t="shared" si="110"/>
        <x:v/>
      </x:c>
      <x:c r="D31" s="2767" t="str">
        <x:f t="shared" si="111"/>
        <x:v/>
      </x:c>
      <x:c r="E31" s="2768" t="str">
        <x:f t="shared" si="112"/>
        <x:v/>
      </x:c>
      <x:c r="F31" s="2776" t="str">
        <x:f t="shared" si="1"/>
        <x:v/>
      </x:c>
      <x:c r="G31" s="2771" t="str">
        <x:f t="shared" si="2"/>
        <x:v/>
      </x:c>
      <x:c r="H31" s="2842" t="str">
        <x:f t="shared" si="3"/>
        <x:v/>
      </x:c>
      <x:c r="I31" s="2767" t="str">
        <x:f t="shared" si="4"/>
        <x:v/>
      </x:c>
      <x:c r="J31" s="2771" t="str">
        <x:f t="shared" si="5"/>
        <x:v/>
      </x:c>
      <x:c r="K31" s="2855" t="str">
        <x:f t="shared" si="6"/>
        <x:v/>
      </x:c>
      <x:c r="L31" s="2774" t="str">
        <x:f t="shared" si="113"/>
        <x:v/>
      </x:c>
      <x:c r="M31" s="2775" t="str">
        <x:f t="shared" si="113"/>
        <x:v/>
      </x:c>
      <x:c r="N31" s="2770" t="str">
        <x:f t="shared" si="7"/>
        <x:v/>
      </x:c>
      <x:c r="O31" s="2771" t="str">
        <x:f t="shared" si="8"/>
        <x:v/>
      </x:c>
      <x:c r="P31" s="2772" t="str">
        <x:f t="shared" si="9"/>
        <x:v/>
      </x:c>
      <x:c r="Q31" s="2767" t="str">
        <x:f t="shared" si="10"/>
        <x:v/>
      </x:c>
      <x:c r="R31" s="2771" t="str">
        <x:f t="shared" si="11"/>
        <x:v/>
      </x:c>
      <x:c r="S31" s="2773" t="str">
        <x:f t="shared" si="12"/>
        <x:v/>
      </x:c>
      <x:c r="T31" s="2776" t="str">
        <x:f t="shared" si="114"/>
        <x:v/>
      </x:c>
      <x:c r="U31" s="2771" t="str">
        <x:f t="shared" si="115"/>
        <x:v/>
      </x:c>
      <x:c r="V31" s="2767" t="str">
        <x:f t="shared" si="116"/>
        <x:v/>
      </x:c>
      <x:c r="W31" s="2771" t="str">
        <x:f t="shared" si="117"/>
        <x:v/>
      </x:c>
      <x:c r="X31" s="2775">
        <x:f t="shared" si="118"/>
        <x:v>0</x:v>
      </x:c>
      <x:c r="Y31" s="2844" t="str">
        <x:f t="shared" si="13"/>
        <x:v/>
      </x:c>
      <x:c r="Z31" s="2845" t="str">
        <x:f t="shared" si="14"/>
        <x:v/>
      </x:c>
      <x:c r="AA31" s="2846" t="s">
        <x:v>116</x:v>
      </x:c>
      <x:c r="AB31" s="1413"/>
      <x:c r="AC31" s="964" t="b">
        <x:v>0</x:v>
      </x:c>
      <x:c r="AD31" s="441">
        <x:f t="shared" si="15"/>
        <x:v>0</x:v>
      </x:c>
      <x:c r="AE31" s="442">
        <x:f t="shared" si="16"/>
        <x:v>0</x:v>
      </x:c>
      <x:c r="AF31" s="442">
        <x:f t="shared" si="17"/>
        <x:v>0</x:v>
      </x:c>
      <x:c r="AG31" s="442">
        <x:f t="shared" si="18"/>
        <x:v>0</x:v>
      </x:c>
      <x:c r="AH31" s="443">
        <x:f t="shared" si="19"/>
        <x:v>0</x:v>
      </x:c>
      <x:c r="AI31" s="444" t="b">
        <x:v>0</x:v>
      </x:c>
      <x:c r="AJ31" s="238">
        <x:f t="shared" si="20"/>
        <x:v>0</x:v>
      </x:c>
      <x:c r="AK31" s="830" t="str">
        <x:f t="shared" si="21"/>
        <x:v/>
      </x:c>
      <x:c r="AL31" s="945" t="str">
        <x:f t="shared" si="22"/>
        <x:v/>
      </x:c>
      <x:c r="AM31" s="830" t="str">
        <x:f t="shared" si="23"/>
        <x:v/>
      </x:c>
      <x:c r="AN31" s="830" t="str">
        <x:f t="shared" si="24"/>
        <x:v/>
      </x:c>
      <x:c r="AO31" s="830" t="str">
        <x:f t="shared" si="25"/>
        <x:v/>
      </x:c>
      <x:c r="AP31" s="830" t="b">
        <x:f>IF(ISERROR(AJ31),FALSE,IF(OR(AJ31=0,ISERROR(AL31),ISERROR(AM31),ISERROR(AN31),ISERROR(AO31)),FALSE,IF(AL31&lt;&gt;"",IF(ISERROR(VLOOKUP(SUBSTITUTE(SUBSTITUTE(C31,"R",""),"A",""),TblJoistSize!$A:$A,1,FALSE)),FALSE,TRUE),TRUE)))</x:f>
        <x:v>0</x:v>
      </x:c>
      <x:c r="AQ31" s="1038" t="e">
        <x:f t="shared" si="26"/>
        <x:v>#N/A</x:v>
      </x:c>
      <x:c r="AR31" s="945" t="b">
        <x:f t="shared" si="27"/>
        <x:v>0</x:v>
      </x:c>
      <x:c r="AS31" s="1038" t="e">
        <x:f t="shared" si="28"/>
        <x:v>#N/A</x:v>
      </x:c>
      <x:c r="AT31" s="945" t="b">
        <x:f t="shared" si="29"/>
        <x:v>0</x:v>
      </x:c>
      <x:c r="AU31" s="946" t="str">
        <x:f t="shared" si="30"/>
        <x:v/>
      </x:c>
      <x:c r="AV31" s="830" t="str">
        <x:f t="shared" si="31"/>
        <x:v/>
      </x:c>
      <x:c r="AW31" s="830" t="str">
        <x:f t="shared" si="32"/>
        <x:v/>
      </x:c>
      <x:c r="AX31" s="830" t="str">
        <x:f t="shared" si="106"/>
        <x:v/>
      </x:c>
      <x:c r="AY31" s="1039" t="b">
        <x:f t="shared" si="33"/>
        <x:v>0</x:v>
      </x:c>
      <x:c r="AZ31" s="856" t="str">
        <x:f t="shared" si="34"/>
        <x:v/>
      </x:c>
      <x:c r="BA31" s="549"/>
      <x:c r="BB31" s="672"/>
      <x:c r="BC31" s="1684"/>
      <x:c r="BD31" s="733"/>
      <x:c r="BE31" s="734"/>
      <x:c r="BF31" s="735"/>
      <x:c r="BG31" s="672"/>
      <x:c r="BH31" s="982"/>
      <x:c r="BI31" s="983"/>
      <x:c r="BJ31" s="1625"/>
      <x:c r="BK31" s="713"/>
      <x:c r="BL31" s="714"/>
      <x:c r="BM31" s="715"/>
      <x:c r="BN31" s="716"/>
      <x:c r="BO31" s="672" t="str">
        <x:f>IF(ISERROR(CU31),"",IF(CU31="","",IF(VLOOKUP(BG31,SectInfo!$B:$N,10,FALSE)="","","X")))</x:f>
        <x:v/>
      </x:c>
      <x:c r="BP31" s="738"/>
      <x:c r="BQ31" s="1551" t="str">
        <x:f t="shared" si="35"/>
        <x:v/>
      </x:c>
      <x:c r="BR31" s="910"/>
      <x:c r="BS31" s="672"/>
      <x:c r="BT31" s="713"/>
      <x:c r="BU31" s="714"/>
      <x:c r="BV31" s="1625"/>
      <x:c r="BW31" s="713"/>
      <x:c r="BX31" s="714"/>
      <x:c r="BY31" s="715"/>
      <x:c r="BZ31" s="716"/>
      <x:c r="CA31" s="680" t="str">
        <x:f>IF(ISERROR(DE31),"",IF(DE31="","",IF(VLOOKUP(BS31,SectInfo!$B:$N,10,FALSE)="","","X")))</x:f>
        <x:v/>
      </x:c>
      <x:c r="CB31" s="738"/>
      <x:c r="CC31" s="1551" t="str">
        <x:f t="shared" si="36"/>
        <x:v/>
      </x:c>
      <x:c r="CD31" s="910"/>
      <x:c r="CE31" s="717"/>
      <x:c r="CF31" s="736"/>
      <x:c r="CG31" s="737"/>
      <x:c r="CH31" s="591" t="str">
        <x:f t="shared" si="37"/>
        <x:v/>
      </x:c>
      <x:c r="CI31" s="592" t="str">
        <x:f t="shared" si="38"/>
        <x:v/>
      </x:c>
      <x:c r="CJ31" s="593" t="str">
        <x:f t="shared" si="39"/>
        <x:v/>
      </x:c>
      <x:c r="CK31" s="594" t="str">
        <x:f t="shared" si="40"/>
        <x:v/>
      </x:c>
      <x:c r="CL31" s="595" t="str">
        <x:f t="shared" si="41"/>
        <x:v/>
      </x:c>
      <x:c r="CM31" s="596" t="str">
        <x:f t="shared" si="42"/>
        <x:v/>
      </x:c>
      <x:c r="CN31" s="597" t="str">
        <x:f t="shared" si="43"/>
        <x:v/>
      </x:c>
      <x:c r="CO31" s="598" t="str">
        <x:f t="shared" si="44"/>
        <x:v/>
      </x:c>
      <x:c r="CP31" s="615" t="str">
        <x:f t="shared" si="45"/>
        <x:v/>
      </x:c>
      <x:c r="CQ31" s="616" t="str">
        <x:f t="shared" si="46"/>
        <x:v/>
      </x:c>
      <x:c r="CR31" s="750" t="str">
        <x:f t="shared" si="47"/>
        <x:v/>
      </x:c>
      <x:c r="CS31" s="751" t="str">
        <x:f t="shared" si="48"/>
        <x:v/>
      </x:c>
      <x:c r="CU31" s="817" t="str">
        <x:f>IF(BG31="","",VLOOKUP(BG31,SectInfo!$B:$N,12,FALSE))</x:f>
        <x:v/>
      </x:c>
      <x:c r="CV31" s="815" t="str">
        <x:f>IF(BG31="","",IF(ISBLANK(BP31),VLOOKUP(BG31,SectInfo!$B:$N,13,FALSE),BP31))</x:f>
        <x:v/>
      </x:c>
      <x:c r="CW31" s="8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8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49"/>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50"/>
        <x:v>0</x:v>
      </x:c>
      <x:c r="DO31" s="818">
        <x:f t="shared" si="51"/>
        <x:v>0</x:v>
      </x:c>
      <x:c r="DP31" s="822" t="str">
        <x:f t="shared" si="52"/>
        <x:v/>
      </x:c>
      <x:c r="DQ31" s="822" t="str">
        <x:f t="shared" si="53"/>
        <x:v/>
      </x:c>
      <x:c r="DR31" s="822" t="str">
        <x:f t="shared" si="54"/>
        <x:v/>
      </x:c>
      <x:c r="DS31" s="821">
        <x:f t="shared" si="55"/>
        <x:v>0</x:v>
      </x:c>
      <x:c r="DT31" s="821">
        <x:f t="shared" si="56"/>
        <x:v>0</x:v>
      </x:c>
      <x:c r="DU31" s="821" t="str">
        <x:f t="shared" si="57"/>
        <x:v/>
      </x:c>
      <x:c r="DV31" s="822" t="str">
        <x:f t="shared" si="58"/>
        <x:v/>
      </x:c>
      <x:c r="DW31" s="856" t="str">
        <x:f t="shared" si="59"/>
        <x:v/>
      </x:c>
      <x:c r="DX31" s="1006">
        <x:f t="shared" si="60"/>
        <x:v>0</x:v>
      </x:c>
      <x:c r="DY31" s="822">
        <x:f t="shared" si="61"/>
        <x:v>0</x:v>
      </x:c>
      <x:c r="DZ31" s="821">
        <x:f t="shared" si="62"/>
        <x:v>0</x:v>
      </x:c>
      <x:c r="EA31" s="821" t="str">
        <x:f t="shared" si="63"/>
        <x:v/>
      </x:c>
      <x:c r="EB31" s="822" t="str">
        <x:f t="shared" si="64"/>
        <x:v/>
      </x:c>
      <x:c r="EC31" s="856" t="str">
        <x:f t="shared" si="65"/>
        <x:v/>
      </x:c>
      <x:c r="ED31" s="1006">
        <x:f t="shared" si="66"/>
        <x:v>0</x:v>
      </x:c>
      <x:c r="EE31" s="1293" t="str">
        <x:f t="shared" si="67"/>
        <x:v/>
      </x:c>
      <x:c r="EF31" s="1293" t="str">
        <x:f t="shared" si="68"/>
        <x:v/>
      </x:c>
      <x:c r="EG31" s="1293" t="str">
        <x:f t="shared" si="69"/>
        <x:v/>
      </x:c>
      <x:c r="EH31" s="856" t="e">
        <x:f t="shared" si="70"/>
        <x:v>#N/A</x:v>
      </x:c>
      <x:c r="EI31" s="856" t="e">
        <x:f t="shared" si="71"/>
        <x:v>#N/A</x:v>
      </x:c>
      <x:c r="EJ31" s="822" t="str">
        <x:f t="shared" si="72"/>
        <x:v/>
      </x:c>
      <x:c r="EK31" s="822" t="str">
        <x:f t="shared" si="72"/>
        <x:v/>
      </x:c>
      <x:c r="EL31" s="1293" t="str">
        <x:f t="shared" si="73"/>
        <x:v/>
      </x:c>
      <x:c r="EM31" s="822" t="str">
        <x:f t="shared" si="74"/>
        <x:v/>
      </x:c>
      <x:c r="EN31" s="822" t="str">
        <x:f t="shared" si="75"/>
        <x:v/>
      </x:c>
      <x:c r="EO31" s="856" t="e">
        <x:f t="shared" si="76"/>
        <x:v>#N/A</x:v>
      </x:c>
      <x:c r="EP31" s="856" t="e">
        <x:f t="shared" si="77"/>
        <x:v>#N/A</x:v>
      </x:c>
      <x:c r="EQ31" s="1293" t="str">
        <x:f t="shared" si="78"/>
        <x:v/>
      </x:c>
      <x:c r="ER31" s="822" t="str">
        <x:f t="shared" si="78"/>
        <x:v/>
      </x:c>
      <x:c r="ES31" s="822" t="str">
        <x:f t="shared" si="79"/>
        <x:v/>
      </x:c>
      <x:c r="ET31" s="822" t="str">
        <x:f t="shared" si="80"/>
        <x:v/>
      </x:c>
      <x:c r="EU31" s="829" t="str">
        <x:f t="shared" si="81"/>
        <x:v/>
      </x:c>
      <x:c r="EV31" s="824" t="str">
        <x:f t="shared" si="82"/>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83"/>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84"/>
        <x:v/>
      </x:c>
      <x:c r="FD31" s="821">
        <x:f t="shared" si="107"/>
        <x:v>0</x:v>
      </x:c>
      <x:c r="FE31" s="821">
        <x:f t="shared" si="85"/>
        <x:v>0</x:v>
      </x:c>
      <x:c r="FF31" s="821">
        <x:f t="shared" si="86"/>
        <x:v>0</x:v>
      </x:c>
      <x:c r="FG31" s="821" t="str">
        <x:f t="shared" si="87"/>
        <x:v/>
      </x:c>
      <x:c r="FH31" s="822" t="str">
        <x:f t="shared" si="88"/>
        <x:v/>
      </x:c>
      <x:c r="FI31" s="821">
        <x:f t="shared" si="108"/>
        <x:v>0</x:v>
      </x:c>
      <x:c r="FJ31" s="821">
        <x:f t="shared" si="89"/>
        <x:v>0</x:v>
      </x:c>
      <x:c r="FK31" s="821">
        <x:f t="shared" si="90"/>
        <x:v>0</x:v>
      </x:c>
      <x:c r="FL31" s="821" t="str">
        <x:f t="shared" si="91"/>
        <x:v/>
      </x:c>
      <x:c r="FM31" s="822" t="str">
        <x:f t="shared" si="92"/>
        <x:v/>
      </x:c>
      <x:c r="FN31" s="822" t="e">
        <x:f t="shared" si="93"/>
        <x:v>#VALUE!</x:v>
      </x:c>
      <x:c r="FO31" s="940" t="e">
        <x:f t="shared" si="94"/>
        <x:v>#VALUE!</x:v>
      </x:c>
      <x:c r="FP31" s="940" t="e">
        <x:f t="shared" si="95"/>
        <x:v>#VALUE!</x:v>
      </x:c>
      <x:c r="FQ31" s="830" t="e">
        <x:f t="shared" si="96"/>
        <x:v>#VALUE!</x:v>
      </x:c>
      <x:c r="FR31" s="831" t="e">
        <x:f t="shared" si="97"/>
        <x:v>#VALUE!</x:v>
      </x:c>
      <x:c r="FS31" s="832" t="str">
        <x:f t="shared" si="98"/>
        <x:v/>
      </x:c>
      <x:c r="FT31" s="833" t="str">
        <x:f t="shared" si="99"/>
        <x:v/>
      </x:c>
      <x:c r="FU31" s="870">
        <x:f t="shared" si="100"/>
        <x:v>0</x:v>
      </x:c>
      <x:c r="FV31" s="871">
        <x:f t="shared" si="101"/>
        <x:v>0</x:v>
      </x:c>
      <x:c r="GA31" s="1791" t="str">
        <x:f t="shared" si="119"/>
        <x:v/>
      </x:c>
      <x:c r="GB31" s="1792" t="str">
        <x:f t="shared" si="120"/>
        <x:v/>
      </x:c>
      <x:c r="GC31" s="1793" t="str">
        <x:f t="shared" si="121"/>
        <x:v/>
      </x:c>
      <x:c r="GD31" s="1794" t="str">
        <x:f t="shared" si="122"/>
        <x:v/>
      </x:c>
      <x:c r="GE31" s="1795" t="str">
        <x:f t="shared" si="102"/>
        <x:v/>
      </x:c>
      <x:c r="GF31" s="600" t="str">
        <x:f t="shared" si="103"/>
        <x:v/>
      </x:c>
      <x:c r="GG31" s="1130"/>
      <x:c r="GH31" s="1131"/>
      <x:c r="GI31" s="1130"/>
      <x:c r="GJ31" s="1131"/>
      <x:c r="GK31" s="1638">
        <x:f t="shared" si="104"/>
        <x:v>0</x:v>
      </x:c>
      <x:c r="GL31" s="1636" t="e">
        <x:f t="shared" si="105"/>
        <x:v>#VALUE!</x:v>
      </x:c>
      <x:c r="GM31" s="1637" t="e">
        <x:f>IF(ABS(GK31-GL31)&gt;='Job Info.'!$L$22,ABS(GK31-GL31),0)</x:f>
        <x:v>#VALUE!</x:v>
      </x:c>
      <x:c r="HA31" s="1269"/>
      <x:c r="HB31" s="1270"/>
      <x:c r="HC31" s="1270"/>
      <x:c r="HD31" s="1271"/>
      <x:c r="HE31" s="1272"/>
      <x:c r="HF31" s="1270"/>
      <x:c r="HG31" s="1270"/>
      <x:c r="HH31" s="1270"/>
      <x:c r="HI31" s="1273"/>
      <x:c r="HJ31" s="1270"/>
      <x:c r="HK31" s="1270"/>
      <x:c r="HL31" s="1270"/>
      <x:c r="HM31" s="1270"/>
      <x:c r="HN31" s="1270"/>
      <x:c r="HO31" s="1270"/>
      <x:c r="HP31" s="1270"/>
      <x:c r="HQ31" s="1273"/>
      <x:c r="HR31" s="1270"/>
      <x:c r="HS31" s="1270"/>
      <x:c r="HT31" s="1270"/>
      <x:c r="HU31" s="1270"/>
      <x:c r="HV31" s="1270"/>
      <x:c r="HW31" s="1272"/>
      <x:c r="HX31" s="1272"/>
      <x:c r="HY31" s="1272"/>
      <x:c r="HZ31" s="1272"/>
      <x:c r="IA31" s="1272"/>
      <x:c r="IB31" s="1272"/>
      <x:c r="IC31" s="1272"/>
      <x:c r="ID31" s="1272"/>
      <x:c r="IE31" s="1272"/>
      <x:c r="IF31" s="1274"/>
    </x:row>
    <x:row r="32" spans="1:240" ht="12.6" customHeight="1" x14ac:dyDescent="0.25">
      <x:c r="A32" s="2764" t="str">
        <x:f t="shared" si="109"/>
        <x:v/>
      </x:c>
      <x:c r="B32" s="2765"/>
      <x:c r="C32" s="2766" t="str">
        <x:f t="shared" si="110"/>
        <x:v/>
      </x:c>
      <x:c r="D32" s="2767" t="str">
        <x:f t="shared" si="111"/>
        <x:v/>
      </x:c>
      <x:c r="E32" s="2768" t="str">
        <x:f t="shared" si="112"/>
        <x:v/>
      </x:c>
      <x:c r="F32" s="2776" t="str">
        <x:f t="shared" si="1"/>
        <x:v/>
      </x:c>
      <x:c r="G32" s="2771" t="str">
        <x:f t="shared" si="2"/>
        <x:v/>
      </x:c>
      <x:c r="H32" s="2842" t="str">
        <x:f t="shared" si="3"/>
        <x:v/>
      </x:c>
      <x:c r="I32" s="2767" t="str">
        <x:f t="shared" si="4"/>
        <x:v/>
      </x:c>
      <x:c r="J32" s="2771" t="str">
        <x:f t="shared" si="5"/>
        <x:v/>
      </x:c>
      <x:c r="K32" s="2855" t="str">
        <x:f t="shared" si="6"/>
        <x:v/>
      </x:c>
      <x:c r="L32" s="2774" t="str">
        <x:f t="shared" si="113"/>
        <x:v/>
      </x:c>
      <x:c r="M32" s="2775" t="str">
        <x:f t="shared" si="113"/>
        <x:v/>
      </x:c>
      <x:c r="N32" s="2770" t="str">
        <x:f t="shared" si="7"/>
        <x:v/>
      </x:c>
      <x:c r="O32" s="2771" t="str">
        <x:f t="shared" si="8"/>
        <x:v/>
      </x:c>
      <x:c r="P32" s="2772" t="str">
        <x:f t="shared" si="9"/>
        <x:v/>
      </x:c>
      <x:c r="Q32" s="2767" t="str">
        <x:f t="shared" si="10"/>
        <x:v/>
      </x:c>
      <x:c r="R32" s="2771" t="str">
        <x:f t="shared" si="11"/>
        <x:v/>
      </x:c>
      <x:c r="S32" s="2773" t="str">
        <x:f t="shared" si="12"/>
        <x:v/>
      </x:c>
      <x:c r="T32" s="2776" t="str">
        <x:f t="shared" si="114"/>
        <x:v/>
      </x:c>
      <x:c r="U32" s="2771" t="str">
        <x:f t="shared" si="115"/>
        <x:v/>
      </x:c>
      <x:c r="V32" s="2767" t="str">
        <x:f t="shared" si="116"/>
        <x:v/>
      </x:c>
      <x:c r="W32" s="2771" t="str">
        <x:f t="shared" si="117"/>
        <x:v/>
      </x:c>
      <x:c r="X32" s="2775">
        <x:f t="shared" si="118"/>
        <x:v>0</x:v>
      </x:c>
      <x:c r="Y32" s="2844" t="str">
        <x:f t="shared" si="13"/>
        <x:v/>
      </x:c>
      <x:c r="Z32" s="2845" t="str">
        <x:f t="shared" si="14"/>
        <x:v/>
      </x:c>
      <x:c r="AA32" s="2846" t="s">
        <x:v>116</x:v>
      </x:c>
      <x:c r="AB32" s="1413"/>
      <x:c r="AC32" s="964" t="b">
        <x:v>0</x:v>
      </x:c>
      <x:c r="AD32" s="441">
        <x:f t="shared" si="15"/>
        <x:v>0</x:v>
      </x:c>
      <x:c r="AE32" s="442">
        <x:f t="shared" si="16"/>
        <x:v>0</x:v>
      </x:c>
      <x:c r="AF32" s="442">
        <x:f t="shared" si="17"/>
        <x:v>0</x:v>
      </x:c>
      <x:c r="AG32" s="442">
        <x:f t="shared" si="18"/>
        <x:v>0</x:v>
      </x:c>
      <x:c r="AH32" s="443">
        <x:f t="shared" si="19"/>
        <x:v>0</x:v>
      </x:c>
      <x:c r="AI32" s="444" t="b">
        <x:v>0</x:v>
      </x:c>
      <x:c r="AJ32" s="238">
        <x:f t="shared" si="20"/>
        <x:v>0</x:v>
      </x:c>
      <x:c r="AK32" s="830" t="str">
        <x:f t="shared" si="21"/>
        <x:v/>
      </x:c>
      <x:c r="AL32" s="945" t="str">
        <x:f t="shared" si="22"/>
        <x:v/>
      </x:c>
      <x:c r="AM32" s="830" t="str">
        <x:f t="shared" si="23"/>
        <x:v/>
      </x:c>
      <x:c r="AN32" s="830" t="str">
        <x:f t="shared" si="24"/>
        <x:v/>
      </x:c>
      <x:c r="AO32" s="830" t="str">
        <x:f t="shared" si="25"/>
        <x:v/>
      </x:c>
      <x:c r="AP32" s="830" t="b">
        <x:f>IF(ISERROR(AJ32),FALSE,IF(OR(AJ32=0,ISERROR(AL32),ISERROR(AM32),ISERROR(AN32),ISERROR(AO32)),FALSE,IF(AL32&lt;&gt;"",IF(ISERROR(VLOOKUP(SUBSTITUTE(SUBSTITUTE(C32,"R",""),"A",""),TblJoistSize!$A:$A,1,FALSE)),FALSE,TRUE),TRUE)))</x:f>
        <x:v>0</x:v>
      </x:c>
      <x:c r="AQ32" s="1038" t="e">
        <x:f t="shared" si="26"/>
        <x:v>#N/A</x:v>
      </x:c>
      <x:c r="AR32" s="945" t="b">
        <x:f t="shared" si="27"/>
        <x:v>0</x:v>
      </x:c>
      <x:c r="AS32" s="1038" t="e">
        <x:f t="shared" si="28"/>
        <x:v>#N/A</x:v>
      </x:c>
      <x:c r="AT32" s="945" t="b">
        <x:f t="shared" si="29"/>
        <x:v>0</x:v>
      </x:c>
      <x:c r="AU32" s="946" t="str">
        <x:f t="shared" si="30"/>
        <x:v/>
      </x:c>
      <x:c r="AV32" s="830" t="str">
        <x:f t="shared" si="31"/>
        <x:v/>
      </x:c>
      <x:c r="AW32" s="830" t="str">
        <x:f t="shared" si="32"/>
        <x:v/>
      </x:c>
      <x:c r="AX32" s="830" t="str">
        <x:f t="shared" si="106"/>
        <x:v/>
      </x:c>
      <x:c r="AY32" s="1039" t="b">
        <x:f t="shared" si="33"/>
        <x:v>0</x:v>
      </x:c>
      <x:c r="AZ32" s="856" t="str">
        <x:f t="shared" si="34"/>
        <x:v/>
      </x:c>
      <x:c r="BA32" s="549"/>
      <x:c r="BB32" s="672"/>
      <x:c r="BC32" s="1684"/>
      <x:c r="BD32" s="733"/>
      <x:c r="BE32" s="734"/>
      <x:c r="BF32" s="735"/>
      <x:c r="BG32" s="672"/>
      <x:c r="BH32" s="982"/>
      <x:c r="BI32" s="983"/>
      <x:c r="BJ32" s="1625"/>
      <x:c r="BK32" s="713"/>
      <x:c r="BL32" s="714"/>
      <x:c r="BM32" s="715"/>
      <x:c r="BN32" s="716"/>
      <x:c r="BO32" s="672" t="str">
        <x:f>IF(ISERROR(CU32),"",IF(CU32="","",IF(VLOOKUP(BG32,SectInfo!$B:$N,10,FALSE)="","","X")))</x:f>
        <x:v/>
      </x:c>
      <x:c r="BP32" s="738"/>
      <x:c r="BQ32" s="1551" t="str">
        <x:f t="shared" si="35"/>
        <x:v/>
      </x:c>
      <x:c r="BR32" s="910"/>
      <x:c r="BS32" s="672"/>
      <x:c r="BT32" s="713"/>
      <x:c r="BU32" s="714"/>
      <x:c r="BV32" s="1625"/>
      <x:c r="BW32" s="713"/>
      <x:c r="BX32" s="714"/>
      <x:c r="BY32" s="715"/>
      <x:c r="BZ32" s="716"/>
      <x:c r="CA32" s="680" t="str">
        <x:f>IF(ISERROR(DE32),"",IF(DE32="","",IF(VLOOKUP(BS32,SectInfo!$B:$N,10,FALSE)="","","X")))</x:f>
        <x:v/>
      </x:c>
      <x:c r="CB32" s="738"/>
      <x:c r="CC32" s="1551" t="str">
        <x:f t="shared" si="36"/>
        <x:v/>
      </x:c>
      <x:c r="CD32" s="910"/>
      <x:c r="CE32" s="717"/>
      <x:c r="CF32" s="736"/>
      <x:c r="CG32" s="737"/>
      <x:c r="CH32" s="591" t="str">
        <x:f t="shared" si="37"/>
        <x:v/>
      </x:c>
      <x:c r="CI32" s="592" t="str">
        <x:f t="shared" si="38"/>
        <x:v/>
      </x:c>
      <x:c r="CJ32" s="593" t="str">
        <x:f t="shared" si="39"/>
        <x:v/>
      </x:c>
      <x:c r="CK32" s="594" t="str">
        <x:f t="shared" si="40"/>
        <x:v/>
      </x:c>
      <x:c r="CL32" s="595" t="str">
        <x:f t="shared" si="41"/>
        <x:v/>
      </x:c>
      <x:c r="CM32" s="596" t="str">
        <x:f t="shared" si="42"/>
        <x:v/>
      </x:c>
      <x:c r="CN32" s="597" t="str">
        <x:f t="shared" si="43"/>
        <x:v/>
      </x:c>
      <x:c r="CO32" s="598" t="str">
        <x:f t="shared" si="44"/>
        <x:v/>
      </x:c>
      <x:c r="CP32" s="615" t="str">
        <x:f t="shared" si="45"/>
        <x:v/>
      </x:c>
      <x:c r="CQ32" s="616" t="str">
        <x:f t="shared" si="46"/>
        <x:v/>
      </x:c>
      <x:c r="CR32" s="750" t="str">
        <x:f t="shared" si="47"/>
        <x:v/>
      </x:c>
      <x:c r="CS32" s="751" t="str">
        <x:f t="shared" si="48"/>
        <x:v/>
      </x:c>
      <x:c r="CU32" s="817" t="str">
        <x:f>IF(BG32="","",VLOOKUP(BG32,SectInfo!$B:$N,12,FALSE))</x:f>
        <x:v/>
      </x:c>
      <x:c r="CV32" s="815" t="str">
        <x:f>IF(BG32="","",IF(ISBLANK(BP32),VLOOKUP(BG32,SectInfo!$B:$N,13,FALSE),BP32))</x:f>
        <x:v/>
      </x:c>
      <x:c r="CW32" s="8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8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49"/>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50"/>
        <x:v>0</x:v>
      </x:c>
      <x:c r="DO32" s="818">
        <x:f t="shared" si="51"/>
        <x:v>0</x:v>
      </x:c>
      <x:c r="DP32" s="822" t="str">
        <x:f t="shared" si="52"/>
        <x:v/>
      </x:c>
      <x:c r="DQ32" s="822" t="str">
        <x:f t="shared" si="53"/>
        <x:v/>
      </x:c>
      <x:c r="DR32" s="822" t="str">
        <x:f t="shared" si="54"/>
        <x:v/>
      </x:c>
      <x:c r="DS32" s="821">
        <x:f t="shared" si="55"/>
        <x:v>0</x:v>
      </x:c>
      <x:c r="DT32" s="821">
        <x:f t="shared" si="56"/>
        <x:v>0</x:v>
      </x:c>
      <x:c r="DU32" s="821" t="str">
        <x:f t="shared" si="57"/>
        <x:v/>
      </x:c>
      <x:c r="DV32" s="822" t="str">
        <x:f t="shared" si="58"/>
        <x:v/>
      </x:c>
      <x:c r="DW32" s="856" t="str">
        <x:f t="shared" si="59"/>
        <x:v/>
      </x:c>
      <x:c r="DX32" s="1006">
        <x:f t="shared" si="60"/>
        <x:v>0</x:v>
      </x:c>
      <x:c r="DY32" s="822">
        <x:f t="shared" si="61"/>
        <x:v>0</x:v>
      </x:c>
      <x:c r="DZ32" s="821">
        <x:f t="shared" si="62"/>
        <x:v>0</x:v>
      </x:c>
      <x:c r="EA32" s="821" t="str">
        <x:f t="shared" si="63"/>
        <x:v/>
      </x:c>
      <x:c r="EB32" s="822" t="str">
        <x:f t="shared" si="64"/>
        <x:v/>
      </x:c>
      <x:c r="EC32" s="856" t="str">
        <x:f t="shared" si="65"/>
        <x:v/>
      </x:c>
      <x:c r="ED32" s="1006">
        <x:f t="shared" si="66"/>
        <x:v>0</x:v>
      </x:c>
      <x:c r="EE32" s="1293" t="str">
        <x:f t="shared" si="67"/>
        <x:v/>
      </x:c>
      <x:c r="EF32" s="1293" t="str">
        <x:f t="shared" si="68"/>
        <x:v/>
      </x:c>
      <x:c r="EG32" s="1293" t="str">
        <x:f t="shared" si="69"/>
        <x:v/>
      </x:c>
      <x:c r="EH32" s="856" t="e">
        <x:f t="shared" si="70"/>
        <x:v>#N/A</x:v>
      </x:c>
      <x:c r="EI32" s="856" t="e">
        <x:f t="shared" si="71"/>
        <x:v>#N/A</x:v>
      </x:c>
      <x:c r="EJ32" s="822" t="str">
        <x:f t="shared" si="72"/>
        <x:v/>
      </x:c>
      <x:c r="EK32" s="822" t="str">
        <x:f t="shared" si="72"/>
        <x:v/>
      </x:c>
      <x:c r="EL32" s="1293" t="str">
        <x:f t="shared" si="73"/>
        <x:v/>
      </x:c>
      <x:c r="EM32" s="822" t="str">
        <x:f t="shared" si="74"/>
        <x:v/>
      </x:c>
      <x:c r="EN32" s="822" t="str">
        <x:f t="shared" si="75"/>
        <x:v/>
      </x:c>
      <x:c r="EO32" s="856" t="e">
        <x:f t="shared" si="76"/>
        <x:v>#N/A</x:v>
      </x:c>
      <x:c r="EP32" s="856" t="e">
        <x:f t="shared" si="77"/>
        <x:v>#N/A</x:v>
      </x:c>
      <x:c r="EQ32" s="1293" t="str">
        <x:f t="shared" si="78"/>
        <x:v/>
      </x:c>
      <x:c r="ER32" s="822" t="str">
        <x:f t="shared" si="78"/>
        <x:v/>
      </x:c>
      <x:c r="ES32" s="822" t="str">
        <x:f t="shared" si="79"/>
        <x:v/>
      </x:c>
      <x:c r="ET32" s="822" t="str">
        <x:f t="shared" si="80"/>
        <x:v/>
      </x:c>
      <x:c r="EU32" s="829" t="str">
        <x:f t="shared" si="81"/>
        <x:v/>
      </x:c>
      <x:c r="EV32" s="824" t="str">
        <x:f t="shared" si="82"/>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83"/>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84"/>
        <x:v/>
      </x:c>
      <x:c r="FD32" s="821">
        <x:f t="shared" si="107"/>
        <x:v>0</x:v>
      </x:c>
      <x:c r="FE32" s="821">
        <x:f t="shared" si="85"/>
        <x:v>0</x:v>
      </x:c>
      <x:c r="FF32" s="821">
        <x:f t="shared" si="86"/>
        <x:v>0</x:v>
      </x:c>
      <x:c r="FG32" s="821" t="str">
        <x:f t="shared" si="87"/>
        <x:v/>
      </x:c>
      <x:c r="FH32" s="822" t="str">
        <x:f t="shared" si="88"/>
        <x:v/>
      </x:c>
      <x:c r="FI32" s="821">
        <x:f t="shared" si="108"/>
        <x:v>0</x:v>
      </x:c>
      <x:c r="FJ32" s="821">
        <x:f t="shared" si="89"/>
        <x:v>0</x:v>
      </x:c>
      <x:c r="FK32" s="821">
        <x:f t="shared" si="90"/>
        <x:v>0</x:v>
      </x:c>
      <x:c r="FL32" s="821" t="str">
        <x:f t="shared" si="91"/>
        <x:v/>
      </x:c>
      <x:c r="FM32" s="822" t="str">
        <x:f t="shared" si="92"/>
        <x:v/>
      </x:c>
      <x:c r="FN32" s="822" t="e">
        <x:f t="shared" si="93"/>
        <x:v>#VALUE!</x:v>
      </x:c>
      <x:c r="FO32" s="940" t="e">
        <x:f t="shared" si="94"/>
        <x:v>#VALUE!</x:v>
      </x:c>
      <x:c r="FP32" s="940" t="e">
        <x:f t="shared" si="95"/>
        <x:v>#VALUE!</x:v>
      </x:c>
      <x:c r="FQ32" s="830" t="e">
        <x:f t="shared" si="96"/>
        <x:v>#VALUE!</x:v>
      </x:c>
      <x:c r="FR32" s="831" t="e">
        <x:f t="shared" si="97"/>
        <x:v>#VALUE!</x:v>
      </x:c>
      <x:c r="FS32" s="832" t="str">
        <x:f t="shared" si="98"/>
        <x:v/>
      </x:c>
      <x:c r="FT32" s="833" t="str">
        <x:f t="shared" si="99"/>
        <x:v/>
      </x:c>
      <x:c r="FU32" s="870">
        <x:f t="shared" si="100"/>
        <x:v>0</x:v>
      </x:c>
      <x:c r="FV32" s="871">
        <x:f t="shared" si="101"/>
        <x:v>0</x:v>
      </x:c>
      <x:c r="GA32" s="1791" t="str">
        <x:f t="shared" si="119"/>
        <x:v/>
      </x:c>
      <x:c r="GB32" s="1792" t="str">
        <x:f t="shared" si="120"/>
        <x:v/>
      </x:c>
      <x:c r="GC32" s="1793" t="str">
        <x:f t="shared" si="121"/>
        <x:v/>
      </x:c>
      <x:c r="GD32" s="1794" t="str">
        <x:f t="shared" si="122"/>
        <x:v/>
      </x:c>
      <x:c r="GE32" s="1795" t="str">
        <x:f t="shared" si="102"/>
        <x:v/>
      </x:c>
      <x:c r="GF32" s="600" t="str">
        <x:f t="shared" si="103"/>
        <x:v/>
      </x:c>
      <x:c r="GG32" s="1130"/>
      <x:c r="GH32" s="1131"/>
      <x:c r="GI32" s="1130"/>
      <x:c r="GJ32" s="1131"/>
      <x:c r="GK32" s="1638">
        <x:f t="shared" si="104"/>
        <x:v>0</x:v>
      </x:c>
      <x:c r="GL32" s="1636" t="e">
        <x:f t="shared" si="105"/>
        <x:v>#VALUE!</x:v>
      </x:c>
      <x:c r="GM32" s="1637" t="e">
        <x:f>IF(ABS(GK32-GL32)&gt;='Job Info.'!$L$22,ABS(GK32-GL32),0)</x:f>
        <x:v>#VALUE!</x:v>
      </x:c>
      <x:c r="HA32" s="1269"/>
      <x:c r="HB32" s="1270"/>
      <x:c r="HC32" s="1270"/>
      <x:c r="HD32" s="1271"/>
      <x:c r="HE32" s="1272"/>
      <x:c r="HF32" s="1270"/>
      <x:c r="HG32" s="1270"/>
      <x:c r="HH32" s="1270"/>
      <x:c r="HI32" s="1273"/>
      <x:c r="HJ32" s="1270"/>
      <x:c r="HK32" s="1270"/>
      <x:c r="HL32" s="1270"/>
      <x:c r="HM32" s="1270"/>
      <x:c r="HN32" s="1270"/>
      <x:c r="HO32" s="1270"/>
      <x:c r="HP32" s="1270"/>
      <x:c r="HQ32" s="1273"/>
      <x:c r="HR32" s="1270"/>
      <x:c r="HS32" s="1270"/>
      <x:c r="HT32" s="1270"/>
      <x:c r="HU32" s="1270"/>
      <x:c r="HV32" s="1270"/>
      <x:c r="HW32" s="1272"/>
      <x:c r="HX32" s="1272"/>
      <x:c r="HY32" s="1272"/>
      <x:c r="HZ32" s="1272"/>
      <x:c r="IA32" s="1272"/>
      <x:c r="IB32" s="1272"/>
      <x:c r="IC32" s="1272"/>
      <x:c r="ID32" s="1272"/>
      <x:c r="IE32" s="1272"/>
      <x:c r="IF32" s="1274"/>
    </x:row>
    <x:row r="33" spans="1:240" ht="12.6" customHeight="1" x14ac:dyDescent="0.25">
      <x:c r="A33" s="2764" t="str">
        <x:f t="shared" si="109"/>
        <x:v/>
      </x:c>
      <x:c r="B33" s="2765"/>
      <x:c r="C33" s="2766" t="str">
        <x:f t="shared" si="110"/>
        <x:v/>
      </x:c>
      <x:c r="D33" s="2767" t="str">
        <x:f t="shared" si="111"/>
        <x:v/>
      </x:c>
      <x:c r="E33" s="2768" t="str">
        <x:f t="shared" si="112"/>
        <x:v/>
      </x:c>
      <x:c r="F33" s="2776" t="str">
        <x:f t="shared" si="1"/>
        <x:v/>
      </x:c>
      <x:c r="G33" s="2771" t="str">
        <x:f t="shared" si="2"/>
        <x:v/>
      </x:c>
      <x:c r="H33" s="2842" t="str">
        <x:f t="shared" si="3"/>
        <x:v/>
      </x:c>
      <x:c r="I33" s="2767" t="str">
        <x:f t="shared" si="4"/>
        <x:v/>
      </x:c>
      <x:c r="J33" s="2771" t="str">
        <x:f t="shared" si="5"/>
        <x:v/>
      </x:c>
      <x:c r="K33" s="2855" t="str">
        <x:f t="shared" si="6"/>
        <x:v/>
      </x:c>
      <x:c r="L33" s="2774" t="str">
        <x:f t="shared" si="113"/>
        <x:v/>
      </x:c>
      <x:c r="M33" s="2775" t="str">
        <x:f t="shared" si="113"/>
        <x:v/>
      </x:c>
      <x:c r="N33" s="2770" t="str">
        <x:f t="shared" si="7"/>
        <x:v/>
      </x:c>
      <x:c r="O33" s="2771" t="str">
        <x:f t="shared" si="8"/>
        <x:v/>
      </x:c>
      <x:c r="P33" s="2772" t="str">
        <x:f t="shared" si="9"/>
        <x:v/>
      </x:c>
      <x:c r="Q33" s="2767" t="str">
        <x:f t="shared" si="10"/>
        <x:v/>
      </x:c>
      <x:c r="R33" s="2771" t="str">
        <x:f t="shared" si="11"/>
        <x:v/>
      </x:c>
      <x:c r="S33" s="2773" t="str">
        <x:f t="shared" si="12"/>
        <x:v/>
      </x:c>
      <x:c r="T33" s="2776" t="str">
        <x:f t="shared" si="114"/>
        <x:v/>
      </x:c>
      <x:c r="U33" s="2771" t="str">
        <x:f t="shared" si="115"/>
        <x:v/>
      </x:c>
      <x:c r="V33" s="2767" t="str">
        <x:f t="shared" si="116"/>
        <x:v/>
      </x:c>
      <x:c r="W33" s="2771" t="str">
        <x:f t="shared" si="117"/>
        <x:v/>
      </x:c>
      <x:c r="X33" s="2775">
        <x:f t="shared" si="118"/>
        <x:v>0</x:v>
      </x:c>
      <x:c r="Y33" s="2844" t="str">
        <x:f t="shared" si="13"/>
        <x:v/>
      </x:c>
      <x:c r="Z33" s="2845" t="str">
        <x:f t="shared" si="14"/>
        <x:v/>
      </x:c>
      <x:c r="AA33" s="2846" t="s">
        <x:v>116</x:v>
      </x:c>
      <x:c r="AB33" s="1413"/>
      <x:c r="AC33" s="964" t="b">
        <x:v>0</x:v>
      </x:c>
      <x:c r="AD33" s="441">
        <x:f t="shared" si="15"/>
        <x:v>0</x:v>
      </x:c>
      <x:c r="AE33" s="442">
        <x:f t="shared" si="16"/>
        <x:v>0</x:v>
      </x:c>
      <x:c r="AF33" s="442">
        <x:f t="shared" si="17"/>
        <x:v>0</x:v>
      </x:c>
      <x:c r="AG33" s="442">
        <x:f t="shared" si="18"/>
        <x:v>0</x:v>
      </x:c>
      <x:c r="AH33" s="443">
        <x:f t="shared" si="19"/>
        <x:v>0</x:v>
      </x:c>
      <x:c r="AI33" s="444" t="b">
        <x:v>0</x:v>
      </x:c>
      <x:c r="AJ33" s="238">
        <x:f t="shared" si="20"/>
        <x:v>0</x:v>
      </x:c>
      <x:c r="AK33" s="830" t="str">
        <x:f t="shared" si="21"/>
        <x:v/>
      </x:c>
      <x:c r="AL33" s="945" t="str">
        <x:f t="shared" si="22"/>
        <x:v/>
      </x:c>
      <x:c r="AM33" s="830" t="str">
        <x:f t="shared" si="23"/>
        <x:v/>
      </x:c>
      <x:c r="AN33" s="830" t="str">
        <x:f t="shared" si="24"/>
        <x:v/>
      </x:c>
      <x:c r="AO33" s="830" t="str">
        <x:f t="shared" si="25"/>
        <x:v/>
      </x:c>
      <x:c r="AP33" s="830" t="b">
        <x:f>IF(ISERROR(AJ33),FALSE,IF(OR(AJ33=0,ISERROR(AL33),ISERROR(AM33),ISERROR(AN33),ISERROR(AO33)),FALSE,IF(AL33&lt;&gt;"",IF(ISERROR(VLOOKUP(SUBSTITUTE(SUBSTITUTE(C33,"R",""),"A",""),TblJoistSize!$A:$A,1,FALSE)),FALSE,TRUE),TRUE)))</x:f>
        <x:v>0</x:v>
      </x:c>
      <x:c r="AQ33" s="1038" t="e">
        <x:f t="shared" si="26"/>
        <x:v>#N/A</x:v>
      </x:c>
      <x:c r="AR33" s="945" t="b">
        <x:f t="shared" si="27"/>
        <x:v>0</x:v>
      </x:c>
      <x:c r="AS33" s="1038" t="e">
        <x:f t="shared" si="28"/>
        <x:v>#N/A</x:v>
      </x:c>
      <x:c r="AT33" s="945" t="b">
        <x:f t="shared" si="29"/>
        <x:v>0</x:v>
      </x:c>
      <x:c r="AU33" s="946" t="str">
        <x:f t="shared" si="30"/>
        <x:v/>
      </x:c>
      <x:c r="AV33" s="830" t="str">
        <x:f t="shared" si="31"/>
        <x:v/>
      </x:c>
      <x:c r="AW33" s="830" t="str">
        <x:f t="shared" si="32"/>
        <x:v/>
      </x:c>
      <x:c r="AX33" s="830" t="str">
        <x:f t="shared" si="106"/>
        <x:v/>
      </x:c>
      <x:c r="AY33" s="1039" t="b">
        <x:f t="shared" si="33"/>
        <x:v>0</x:v>
      </x:c>
      <x:c r="AZ33" s="856" t="str">
        <x:f t="shared" si="34"/>
        <x:v/>
      </x:c>
      <x:c r="BA33" s="549"/>
      <x:c r="BB33" s="672"/>
      <x:c r="BC33" s="1684"/>
      <x:c r="BD33" s="733"/>
      <x:c r="BE33" s="734"/>
      <x:c r="BF33" s="735"/>
      <x:c r="BG33" s="672"/>
      <x:c r="BH33" s="982"/>
      <x:c r="BI33" s="983"/>
      <x:c r="BJ33" s="1625"/>
      <x:c r="BK33" s="713"/>
      <x:c r="BL33" s="714"/>
      <x:c r="BM33" s="715"/>
      <x:c r="BN33" s="716"/>
      <x:c r="BO33" s="672" t="str">
        <x:f>IF(ISERROR(CU33),"",IF(CU33="","",IF(VLOOKUP(BG33,SectInfo!$B:$N,10,FALSE)="","","X")))</x:f>
        <x:v/>
      </x:c>
      <x:c r="BP33" s="738"/>
      <x:c r="BQ33" s="1551" t="str">
        <x:f t="shared" si="35"/>
        <x:v/>
      </x:c>
      <x:c r="BR33" s="910"/>
      <x:c r="BS33" s="672"/>
      <x:c r="BT33" s="713"/>
      <x:c r="BU33" s="714"/>
      <x:c r="BV33" s="1625"/>
      <x:c r="BW33" s="713"/>
      <x:c r="BX33" s="714"/>
      <x:c r="BY33" s="715"/>
      <x:c r="BZ33" s="716"/>
      <x:c r="CA33" s="680" t="str">
        <x:f>IF(ISERROR(DE33),"",IF(DE33="","",IF(VLOOKUP(BS33,SectInfo!$B:$N,10,FALSE)="","","X")))</x:f>
        <x:v/>
      </x:c>
      <x:c r="CB33" s="738"/>
      <x:c r="CC33" s="1551" t="str">
        <x:f t="shared" si="36"/>
        <x:v/>
      </x:c>
      <x:c r="CD33" s="910"/>
      <x:c r="CE33" s="717"/>
      <x:c r="CF33" s="736"/>
      <x:c r="CG33" s="737"/>
      <x:c r="CH33" s="591" t="str">
        <x:f t="shared" si="37"/>
        <x:v/>
      </x:c>
      <x:c r="CI33" s="592" t="str">
        <x:f t="shared" si="38"/>
        <x:v/>
      </x:c>
      <x:c r="CJ33" s="593" t="str">
        <x:f t="shared" si="39"/>
        <x:v/>
      </x:c>
      <x:c r="CK33" s="594" t="str">
        <x:f t="shared" si="40"/>
        <x:v/>
      </x:c>
      <x:c r="CL33" s="595" t="str">
        <x:f t="shared" si="41"/>
        <x:v/>
      </x:c>
      <x:c r="CM33" s="596" t="str">
        <x:f t="shared" si="42"/>
        <x:v/>
      </x:c>
      <x:c r="CN33" s="597" t="str">
        <x:f t="shared" si="43"/>
        <x:v/>
      </x:c>
      <x:c r="CO33" s="598" t="str">
        <x:f t="shared" si="44"/>
        <x:v/>
      </x:c>
      <x:c r="CP33" s="615" t="str">
        <x:f t="shared" si="45"/>
        <x:v/>
      </x:c>
      <x:c r="CQ33" s="616" t="str">
        <x:f t="shared" si="46"/>
        <x:v/>
      </x:c>
      <x:c r="CR33" s="750" t="str">
        <x:f t="shared" si="47"/>
        <x:v/>
      </x:c>
      <x:c r="CS33" s="751" t="str">
        <x:f t="shared" si="48"/>
        <x:v/>
      </x:c>
      <x:c r="CU33" s="817" t="str">
        <x:f>IF(BG33="","",VLOOKUP(BG33,SectInfo!$B:$N,12,FALSE))</x:f>
        <x:v/>
      </x:c>
      <x:c r="CV33" s="815" t="str">
        <x:f>IF(BG33="","",IF(ISBLANK(BP33),VLOOKUP(BG33,SectInfo!$B:$N,13,FALSE),BP33))</x:f>
        <x:v/>
      </x:c>
      <x:c r="CW33" s="8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8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49"/>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50"/>
        <x:v>0</x:v>
      </x:c>
      <x:c r="DO33" s="818">
        <x:f t="shared" si="51"/>
        <x:v>0</x:v>
      </x:c>
      <x:c r="DP33" s="822" t="str">
        <x:f t="shared" si="52"/>
        <x:v/>
      </x:c>
      <x:c r="DQ33" s="822" t="str">
        <x:f t="shared" si="53"/>
        <x:v/>
      </x:c>
      <x:c r="DR33" s="822" t="str">
        <x:f t="shared" si="54"/>
        <x:v/>
      </x:c>
      <x:c r="DS33" s="821">
        <x:f t="shared" si="55"/>
        <x:v>0</x:v>
      </x:c>
      <x:c r="DT33" s="821">
        <x:f t="shared" si="56"/>
        <x:v>0</x:v>
      </x:c>
      <x:c r="DU33" s="821" t="str">
        <x:f t="shared" si="57"/>
        <x:v/>
      </x:c>
      <x:c r="DV33" s="822" t="str">
        <x:f t="shared" si="58"/>
        <x:v/>
      </x:c>
      <x:c r="DW33" s="856" t="str">
        <x:f t="shared" si="59"/>
        <x:v/>
      </x:c>
      <x:c r="DX33" s="1006">
        <x:f t="shared" si="60"/>
        <x:v>0</x:v>
      </x:c>
      <x:c r="DY33" s="822">
        <x:f t="shared" si="61"/>
        <x:v>0</x:v>
      </x:c>
      <x:c r="DZ33" s="821">
        <x:f t="shared" si="62"/>
        <x:v>0</x:v>
      </x:c>
      <x:c r="EA33" s="821" t="str">
        <x:f t="shared" si="63"/>
        <x:v/>
      </x:c>
      <x:c r="EB33" s="822" t="str">
        <x:f t="shared" si="64"/>
        <x:v/>
      </x:c>
      <x:c r="EC33" s="856" t="str">
        <x:f t="shared" si="65"/>
        <x:v/>
      </x:c>
      <x:c r="ED33" s="1006">
        <x:f t="shared" si="66"/>
        <x:v>0</x:v>
      </x:c>
      <x:c r="EE33" s="1293" t="str">
        <x:f t="shared" si="67"/>
        <x:v/>
      </x:c>
      <x:c r="EF33" s="1293" t="str">
        <x:f t="shared" si="68"/>
        <x:v/>
      </x:c>
      <x:c r="EG33" s="1293" t="str">
        <x:f t="shared" si="69"/>
        <x:v/>
      </x:c>
      <x:c r="EH33" s="856" t="e">
        <x:f t="shared" si="70"/>
        <x:v>#N/A</x:v>
      </x:c>
      <x:c r="EI33" s="856" t="e">
        <x:f t="shared" si="71"/>
        <x:v>#N/A</x:v>
      </x:c>
      <x:c r="EJ33" s="822" t="str">
        <x:f t="shared" si="72"/>
        <x:v/>
      </x:c>
      <x:c r="EK33" s="822" t="str">
        <x:f t="shared" si="72"/>
        <x:v/>
      </x:c>
      <x:c r="EL33" s="1293" t="str">
        <x:f t="shared" si="73"/>
        <x:v/>
      </x:c>
      <x:c r="EM33" s="822" t="str">
        <x:f t="shared" si="74"/>
        <x:v/>
      </x:c>
      <x:c r="EN33" s="822" t="str">
        <x:f t="shared" si="75"/>
        <x:v/>
      </x:c>
      <x:c r="EO33" s="856" t="e">
        <x:f t="shared" si="76"/>
        <x:v>#N/A</x:v>
      </x:c>
      <x:c r="EP33" s="856" t="e">
        <x:f t="shared" si="77"/>
        <x:v>#N/A</x:v>
      </x:c>
      <x:c r="EQ33" s="1293" t="str">
        <x:f t="shared" si="78"/>
        <x:v/>
      </x:c>
      <x:c r="ER33" s="822" t="str">
        <x:f t="shared" si="78"/>
        <x:v/>
      </x:c>
      <x:c r="ES33" s="822" t="str">
        <x:f t="shared" si="79"/>
        <x:v/>
      </x:c>
      <x:c r="ET33" s="822" t="str">
        <x:f t="shared" si="80"/>
        <x:v/>
      </x:c>
      <x:c r="EU33" s="829" t="str">
        <x:f t="shared" si="81"/>
        <x:v/>
      </x:c>
      <x:c r="EV33" s="824" t="str">
        <x:f t="shared" si="82"/>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83"/>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84"/>
        <x:v/>
      </x:c>
      <x:c r="FD33" s="821">
        <x:f t="shared" si="107"/>
        <x:v>0</x:v>
      </x:c>
      <x:c r="FE33" s="821">
        <x:f t="shared" si="85"/>
        <x:v>0</x:v>
      </x:c>
      <x:c r="FF33" s="821">
        <x:f t="shared" si="86"/>
        <x:v>0</x:v>
      </x:c>
      <x:c r="FG33" s="821" t="str">
        <x:f t="shared" si="87"/>
        <x:v/>
      </x:c>
      <x:c r="FH33" s="822" t="str">
        <x:f t="shared" si="88"/>
        <x:v/>
      </x:c>
      <x:c r="FI33" s="821">
        <x:f t="shared" si="108"/>
        <x:v>0</x:v>
      </x:c>
      <x:c r="FJ33" s="821">
        <x:f t="shared" si="89"/>
        <x:v>0</x:v>
      </x:c>
      <x:c r="FK33" s="821">
        <x:f t="shared" si="90"/>
        <x:v>0</x:v>
      </x:c>
      <x:c r="FL33" s="821" t="str">
        <x:f t="shared" si="91"/>
        <x:v/>
      </x:c>
      <x:c r="FM33" s="822" t="str">
        <x:f t="shared" si="92"/>
        <x:v/>
      </x:c>
      <x:c r="FN33" s="822" t="e">
        <x:f t="shared" si="93"/>
        <x:v>#VALUE!</x:v>
      </x:c>
      <x:c r="FO33" s="940" t="e">
        <x:f t="shared" si="94"/>
        <x:v>#VALUE!</x:v>
      </x:c>
      <x:c r="FP33" s="940" t="e">
        <x:f t="shared" si="95"/>
        <x:v>#VALUE!</x:v>
      </x:c>
      <x:c r="FQ33" s="830" t="e">
        <x:f t="shared" si="96"/>
        <x:v>#VALUE!</x:v>
      </x:c>
      <x:c r="FR33" s="831" t="e">
        <x:f t="shared" si="97"/>
        <x:v>#VALUE!</x:v>
      </x:c>
      <x:c r="FS33" s="832" t="str">
        <x:f t="shared" si="98"/>
        <x:v/>
      </x:c>
      <x:c r="FT33" s="833" t="str">
        <x:f t="shared" si="99"/>
        <x:v/>
      </x:c>
      <x:c r="FU33" s="870">
        <x:f t="shared" si="100"/>
        <x:v>0</x:v>
      </x:c>
      <x:c r="FV33" s="871">
        <x:f t="shared" si="101"/>
        <x:v>0</x:v>
      </x:c>
      <x:c r="GA33" s="1791" t="str">
        <x:f t="shared" si="119"/>
        <x:v/>
      </x:c>
      <x:c r="GB33" s="1792" t="str">
        <x:f t="shared" si="120"/>
        <x:v/>
      </x:c>
      <x:c r="GC33" s="1793" t="str">
        <x:f t="shared" si="121"/>
        <x:v/>
      </x:c>
      <x:c r="GD33" s="1794" t="str">
        <x:f t="shared" si="122"/>
        <x:v/>
      </x:c>
      <x:c r="GE33" s="1795" t="str">
        <x:f t="shared" si="102"/>
        <x:v/>
      </x:c>
      <x:c r="GF33" s="600" t="str">
        <x:f t="shared" si="103"/>
        <x:v/>
      </x:c>
      <x:c r="GG33" s="1130"/>
      <x:c r="GH33" s="1131"/>
      <x:c r="GI33" s="1130"/>
      <x:c r="GJ33" s="1131"/>
      <x:c r="GK33" s="1638">
        <x:f t="shared" si="104"/>
        <x:v>0</x:v>
      </x:c>
      <x:c r="GL33" s="1636" t="e">
        <x:f t="shared" si="105"/>
        <x:v>#VALUE!</x:v>
      </x:c>
      <x:c r="GM33" s="1637" t="e">
        <x:f>IF(ABS(GK33-GL33)&gt;='Job Info.'!$L$22,ABS(GK33-GL33),0)</x:f>
        <x:v>#VALUE!</x:v>
      </x:c>
      <x:c r="HA33" s="1269"/>
      <x:c r="HB33" s="1270"/>
      <x:c r="HC33" s="1270"/>
      <x:c r="HD33" s="1271"/>
      <x:c r="HE33" s="1272"/>
      <x:c r="HF33" s="1270"/>
      <x:c r="HG33" s="1270"/>
      <x:c r="HH33" s="1270"/>
      <x:c r="HI33" s="1273"/>
      <x:c r="HJ33" s="1270"/>
      <x:c r="HK33" s="1270"/>
      <x:c r="HL33" s="1270"/>
      <x:c r="HM33" s="1270"/>
      <x:c r="HN33" s="1270"/>
      <x:c r="HO33" s="1270"/>
      <x:c r="HP33" s="1270"/>
      <x:c r="HQ33" s="1273"/>
      <x:c r="HR33" s="1270"/>
      <x:c r="HS33" s="1270"/>
      <x:c r="HT33" s="1270"/>
      <x:c r="HU33" s="1270"/>
      <x:c r="HV33" s="1270"/>
      <x:c r="HW33" s="1272"/>
      <x:c r="HX33" s="1272"/>
      <x:c r="HY33" s="1272"/>
      <x:c r="HZ33" s="1272"/>
      <x:c r="IA33" s="1272"/>
      <x:c r="IB33" s="1272"/>
      <x:c r="IC33" s="1272"/>
      <x:c r="ID33" s="1272"/>
      <x:c r="IE33" s="1272"/>
      <x:c r="IF33" s="1274"/>
    </x:row>
    <x:row r="34" spans="1:240" ht="12.6" customHeight="1" x14ac:dyDescent="0.25">
      <x:c r="A34" s="2764" t="str">
        <x:f t="shared" si="109"/>
        <x:v/>
      </x:c>
      <x:c r="B34" s="2765"/>
      <x:c r="C34" s="2766" t="str">
        <x:f t="shared" si="110"/>
        <x:v/>
      </x:c>
      <x:c r="D34" s="2767" t="str">
        <x:f t="shared" si="111"/>
        <x:v/>
      </x:c>
      <x:c r="E34" s="2768" t="str">
        <x:f t="shared" si="112"/>
        <x:v/>
      </x:c>
      <x:c r="F34" s="2776" t="str">
        <x:f t="shared" si="1"/>
        <x:v/>
      </x:c>
      <x:c r="G34" s="2771" t="str">
        <x:f t="shared" si="2"/>
        <x:v/>
      </x:c>
      <x:c r="H34" s="2842" t="str">
        <x:f t="shared" si="3"/>
        <x:v/>
      </x:c>
      <x:c r="I34" s="2767" t="str">
        <x:f t="shared" si="4"/>
        <x:v/>
      </x:c>
      <x:c r="J34" s="2771" t="str">
        <x:f t="shared" si="5"/>
        <x:v/>
      </x:c>
      <x:c r="K34" s="2855" t="str">
        <x:f t="shared" si="6"/>
        <x:v/>
      </x:c>
      <x:c r="L34" s="2774" t="str">
        <x:f t="shared" si="113"/>
        <x:v/>
      </x:c>
      <x:c r="M34" s="2775" t="str">
        <x:f t="shared" si="113"/>
        <x:v/>
      </x:c>
      <x:c r="N34" s="2770" t="str">
        <x:f t="shared" si="7"/>
        <x:v/>
      </x:c>
      <x:c r="O34" s="2771" t="str">
        <x:f t="shared" si="8"/>
        <x:v/>
      </x:c>
      <x:c r="P34" s="2772" t="str">
        <x:f t="shared" si="9"/>
        <x:v/>
      </x:c>
      <x:c r="Q34" s="2767" t="str">
        <x:f t="shared" si="10"/>
        <x:v/>
      </x:c>
      <x:c r="R34" s="2771" t="str">
        <x:f t="shared" si="11"/>
        <x:v/>
      </x:c>
      <x:c r="S34" s="2773" t="str">
        <x:f t="shared" si="12"/>
        <x:v/>
      </x:c>
      <x:c r="T34" s="2776" t="str">
        <x:f t="shared" si="114"/>
        <x:v/>
      </x:c>
      <x:c r="U34" s="2771" t="str">
        <x:f t="shared" si="115"/>
        <x:v/>
      </x:c>
      <x:c r="V34" s="2767" t="str">
        <x:f t="shared" si="116"/>
        <x:v/>
      </x:c>
      <x:c r="W34" s="2771" t="str">
        <x:f t="shared" si="117"/>
        <x:v/>
      </x:c>
      <x:c r="X34" s="2775">
        <x:f t="shared" si="118"/>
        <x:v>0</x:v>
      </x:c>
      <x:c r="Y34" s="2844" t="str">
        <x:f t="shared" si="13"/>
        <x:v/>
      </x:c>
      <x:c r="Z34" s="2845" t="str">
        <x:f t="shared" si="14"/>
        <x:v/>
      </x:c>
      <x:c r="AA34" s="2846" t="s">
        <x:v>116</x:v>
      </x:c>
      <x:c r="AB34" s="1413"/>
      <x:c r="AC34" s="964" t="b">
        <x:v>0</x:v>
      </x:c>
      <x:c r="AD34" s="441">
        <x:f t="shared" si="15"/>
        <x:v>0</x:v>
      </x:c>
      <x:c r="AE34" s="442">
        <x:f t="shared" si="16"/>
        <x:v>0</x:v>
      </x:c>
      <x:c r="AF34" s="442">
        <x:f t="shared" si="17"/>
        <x:v>0</x:v>
      </x:c>
      <x:c r="AG34" s="442">
        <x:f t="shared" si="18"/>
        <x:v>0</x:v>
      </x:c>
      <x:c r="AH34" s="443">
        <x:f t="shared" si="19"/>
        <x:v>0</x:v>
      </x:c>
      <x:c r="AI34" s="444" t="b">
        <x:v>0</x:v>
      </x:c>
      <x:c r="AJ34" s="238">
        <x:f t="shared" si="20"/>
        <x:v>0</x:v>
      </x:c>
      <x:c r="AK34" s="830" t="str">
        <x:f t="shared" si="21"/>
        <x:v/>
      </x:c>
      <x:c r="AL34" s="945" t="str">
        <x:f t="shared" si="22"/>
        <x:v/>
      </x:c>
      <x:c r="AM34" s="830" t="str">
        <x:f t="shared" si="23"/>
        <x:v/>
      </x:c>
      <x:c r="AN34" s="830" t="str">
        <x:f t="shared" si="24"/>
        <x:v/>
      </x:c>
      <x:c r="AO34" s="830" t="str">
        <x:f t="shared" si="25"/>
        <x:v/>
      </x:c>
      <x:c r="AP34" s="830" t="b">
        <x:f>IF(ISERROR(AJ34),FALSE,IF(OR(AJ34=0,ISERROR(AL34),ISERROR(AM34),ISERROR(AN34),ISERROR(AO34)),FALSE,IF(AL34&lt;&gt;"",IF(ISERROR(VLOOKUP(SUBSTITUTE(SUBSTITUTE(C34,"R",""),"A",""),TblJoistSize!$A:$A,1,FALSE)),FALSE,TRUE),TRUE)))</x:f>
        <x:v>0</x:v>
      </x:c>
      <x:c r="AQ34" s="1038" t="e">
        <x:f t="shared" si="26"/>
        <x:v>#N/A</x:v>
      </x:c>
      <x:c r="AR34" s="945" t="b">
        <x:f t="shared" si="27"/>
        <x:v>0</x:v>
      </x:c>
      <x:c r="AS34" s="1038" t="e">
        <x:f t="shared" si="28"/>
        <x:v>#N/A</x:v>
      </x:c>
      <x:c r="AT34" s="945" t="b">
        <x:f t="shared" si="29"/>
        <x:v>0</x:v>
      </x:c>
      <x:c r="AU34" s="946" t="str">
        <x:f t="shared" si="30"/>
        <x:v/>
      </x:c>
      <x:c r="AV34" s="830" t="str">
        <x:f t="shared" si="31"/>
        <x:v/>
      </x:c>
      <x:c r="AW34" s="830" t="str">
        <x:f t="shared" si="32"/>
        <x:v/>
      </x:c>
      <x:c r="AX34" s="830" t="str">
        <x:f t="shared" si="106"/>
        <x:v/>
      </x:c>
      <x:c r="AY34" s="1039" t="b">
        <x:f t="shared" si="33"/>
        <x:v>0</x:v>
      </x:c>
      <x:c r="AZ34" s="856" t="str">
        <x:f t="shared" si="34"/>
        <x:v/>
      </x:c>
      <x:c r="BA34" s="549"/>
      <x:c r="BB34" s="672"/>
      <x:c r="BC34" s="1684"/>
      <x:c r="BD34" s="733"/>
      <x:c r="BE34" s="734"/>
      <x:c r="BF34" s="735"/>
      <x:c r="BG34" s="672"/>
      <x:c r="BH34" s="982"/>
      <x:c r="BI34" s="983"/>
      <x:c r="BJ34" s="1625"/>
      <x:c r="BK34" s="713"/>
      <x:c r="BL34" s="714"/>
      <x:c r="BM34" s="715"/>
      <x:c r="BN34" s="716"/>
      <x:c r="BO34" s="672" t="str">
        <x:f>IF(ISERROR(CU34),"",IF(CU34="","",IF(VLOOKUP(BG34,SectInfo!$B:$N,10,FALSE)="","","X")))</x:f>
        <x:v/>
      </x:c>
      <x:c r="BP34" s="738"/>
      <x:c r="BQ34" s="1551" t="str">
        <x:f t="shared" si="35"/>
        <x:v/>
      </x:c>
      <x:c r="BR34" s="910"/>
      <x:c r="BS34" s="672"/>
      <x:c r="BT34" s="713"/>
      <x:c r="BU34" s="714"/>
      <x:c r="BV34" s="1625"/>
      <x:c r="BW34" s="713"/>
      <x:c r="BX34" s="714"/>
      <x:c r="BY34" s="715"/>
      <x:c r="BZ34" s="716"/>
      <x:c r="CA34" s="680" t="str">
        <x:f>IF(ISERROR(DE34),"",IF(DE34="","",IF(VLOOKUP(BS34,SectInfo!$B:$N,10,FALSE)="","","X")))</x:f>
        <x:v/>
      </x:c>
      <x:c r="CB34" s="738"/>
      <x:c r="CC34" s="1551" t="str">
        <x:f t="shared" si="36"/>
        <x:v/>
      </x:c>
      <x:c r="CD34" s="910"/>
      <x:c r="CE34" s="717"/>
      <x:c r="CF34" s="736"/>
      <x:c r="CG34" s="737"/>
      <x:c r="CH34" s="591" t="str">
        <x:f t="shared" si="37"/>
        <x:v/>
      </x:c>
      <x:c r="CI34" s="592" t="str">
        <x:f t="shared" si="38"/>
        <x:v/>
      </x:c>
      <x:c r="CJ34" s="593" t="str">
        <x:f t="shared" si="39"/>
        <x:v/>
      </x:c>
      <x:c r="CK34" s="594" t="str">
        <x:f t="shared" si="40"/>
        <x:v/>
      </x:c>
      <x:c r="CL34" s="595" t="str">
        <x:f t="shared" si="41"/>
        <x:v/>
      </x:c>
      <x:c r="CM34" s="596" t="str">
        <x:f t="shared" si="42"/>
        <x:v/>
      </x:c>
      <x:c r="CN34" s="597" t="str">
        <x:f t="shared" si="43"/>
        <x:v/>
      </x:c>
      <x:c r="CO34" s="598" t="str">
        <x:f t="shared" si="44"/>
        <x:v/>
      </x:c>
      <x:c r="CP34" s="615" t="str">
        <x:f t="shared" si="45"/>
        <x:v/>
      </x:c>
      <x:c r="CQ34" s="616" t="str">
        <x:f t="shared" si="46"/>
        <x:v/>
      </x:c>
      <x:c r="CR34" s="750" t="str">
        <x:f t="shared" si="47"/>
        <x:v/>
      </x:c>
      <x:c r="CS34" s="751" t="str">
        <x:f t="shared" si="48"/>
        <x:v/>
      </x:c>
      <x:c r="CU34" s="817" t="str">
        <x:f>IF(BG34="","",VLOOKUP(BG34,SectInfo!$B:$N,12,FALSE))</x:f>
        <x:v/>
      </x:c>
      <x:c r="CV34" s="815" t="str">
        <x:f>IF(BG34="","",IF(ISBLANK(BP34),VLOOKUP(BG34,SectInfo!$B:$N,13,FALSE),BP34))</x:f>
        <x:v/>
      </x:c>
      <x:c r="CW34" s="8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8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49"/>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50"/>
        <x:v>0</x:v>
      </x:c>
      <x:c r="DO34" s="818">
        <x:f t="shared" si="51"/>
        <x:v>0</x:v>
      </x:c>
      <x:c r="DP34" s="822" t="str">
        <x:f t="shared" si="52"/>
        <x:v/>
      </x:c>
      <x:c r="DQ34" s="822" t="str">
        <x:f t="shared" si="53"/>
        <x:v/>
      </x:c>
      <x:c r="DR34" s="822" t="str">
        <x:f t="shared" si="54"/>
        <x:v/>
      </x:c>
      <x:c r="DS34" s="821">
        <x:f t="shared" si="55"/>
        <x:v>0</x:v>
      </x:c>
      <x:c r="DT34" s="821">
        <x:f t="shared" si="56"/>
        <x:v>0</x:v>
      </x:c>
      <x:c r="DU34" s="821" t="str">
        <x:f t="shared" si="57"/>
        <x:v/>
      </x:c>
      <x:c r="DV34" s="822" t="str">
        <x:f t="shared" si="58"/>
        <x:v/>
      </x:c>
      <x:c r="DW34" s="856" t="str">
        <x:f t="shared" si="59"/>
        <x:v/>
      </x:c>
      <x:c r="DX34" s="1006">
        <x:f t="shared" si="60"/>
        <x:v>0</x:v>
      </x:c>
      <x:c r="DY34" s="822">
        <x:f t="shared" si="61"/>
        <x:v>0</x:v>
      </x:c>
      <x:c r="DZ34" s="821">
        <x:f t="shared" si="62"/>
        <x:v>0</x:v>
      </x:c>
      <x:c r="EA34" s="821" t="str">
        <x:f t="shared" si="63"/>
        <x:v/>
      </x:c>
      <x:c r="EB34" s="822" t="str">
        <x:f t="shared" si="64"/>
        <x:v/>
      </x:c>
      <x:c r="EC34" s="856" t="str">
        <x:f t="shared" si="65"/>
        <x:v/>
      </x:c>
      <x:c r="ED34" s="1006">
        <x:f t="shared" si="66"/>
        <x:v>0</x:v>
      </x:c>
      <x:c r="EE34" s="1293" t="str">
        <x:f t="shared" si="67"/>
        <x:v/>
      </x:c>
      <x:c r="EF34" s="1293" t="str">
        <x:f t="shared" si="68"/>
        <x:v/>
      </x:c>
      <x:c r="EG34" s="1293" t="str">
        <x:f t="shared" si="69"/>
        <x:v/>
      </x:c>
      <x:c r="EH34" s="856" t="e">
        <x:f t="shared" si="70"/>
        <x:v>#N/A</x:v>
      </x:c>
      <x:c r="EI34" s="856" t="e">
        <x:f t="shared" si="71"/>
        <x:v>#N/A</x:v>
      </x:c>
      <x:c r="EJ34" s="822" t="str">
        <x:f t="shared" si="72"/>
        <x:v/>
      </x:c>
      <x:c r="EK34" s="822" t="str">
        <x:f t="shared" si="72"/>
        <x:v/>
      </x:c>
      <x:c r="EL34" s="1293" t="str">
        <x:f t="shared" si="73"/>
        <x:v/>
      </x:c>
      <x:c r="EM34" s="822" t="str">
        <x:f t="shared" si="74"/>
        <x:v/>
      </x:c>
      <x:c r="EN34" s="822" t="str">
        <x:f t="shared" si="75"/>
        <x:v/>
      </x:c>
      <x:c r="EO34" s="856" t="e">
        <x:f t="shared" si="76"/>
        <x:v>#N/A</x:v>
      </x:c>
      <x:c r="EP34" s="856" t="e">
        <x:f t="shared" si="77"/>
        <x:v>#N/A</x:v>
      </x:c>
      <x:c r="EQ34" s="1293" t="str">
        <x:f t="shared" si="78"/>
        <x:v/>
      </x:c>
      <x:c r="ER34" s="822" t="str">
        <x:f t="shared" si="78"/>
        <x:v/>
      </x:c>
      <x:c r="ES34" s="822" t="str">
        <x:f t="shared" si="79"/>
        <x:v/>
      </x:c>
      <x:c r="ET34" s="822" t="str">
        <x:f t="shared" si="80"/>
        <x:v/>
      </x:c>
      <x:c r="EU34" s="829" t="str">
        <x:f t="shared" si="81"/>
        <x:v/>
      </x:c>
      <x:c r="EV34" s="824" t="str">
        <x:f t="shared" si="82"/>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83"/>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84"/>
        <x:v/>
      </x:c>
      <x:c r="FD34" s="821">
        <x:f t="shared" si="107"/>
        <x:v>0</x:v>
      </x:c>
      <x:c r="FE34" s="821">
        <x:f t="shared" si="85"/>
        <x:v>0</x:v>
      </x:c>
      <x:c r="FF34" s="821">
        <x:f t="shared" si="86"/>
        <x:v>0</x:v>
      </x:c>
      <x:c r="FG34" s="821" t="str">
        <x:f t="shared" si="87"/>
        <x:v/>
      </x:c>
      <x:c r="FH34" s="822" t="str">
        <x:f t="shared" si="88"/>
        <x:v/>
      </x:c>
      <x:c r="FI34" s="821">
        <x:f t="shared" si="108"/>
        <x:v>0</x:v>
      </x:c>
      <x:c r="FJ34" s="821">
        <x:f t="shared" si="89"/>
        <x:v>0</x:v>
      </x:c>
      <x:c r="FK34" s="821">
        <x:f t="shared" si="90"/>
        <x:v>0</x:v>
      </x:c>
      <x:c r="FL34" s="821" t="str">
        <x:f t="shared" si="91"/>
        <x:v/>
      </x:c>
      <x:c r="FM34" s="822" t="str">
        <x:f t="shared" si="92"/>
        <x:v/>
      </x:c>
      <x:c r="FN34" s="822" t="e">
        <x:f t="shared" si="93"/>
        <x:v>#VALUE!</x:v>
      </x:c>
      <x:c r="FO34" s="940" t="e">
        <x:f t="shared" si="94"/>
        <x:v>#VALUE!</x:v>
      </x:c>
      <x:c r="FP34" s="940" t="e">
        <x:f t="shared" si="95"/>
        <x:v>#VALUE!</x:v>
      </x:c>
      <x:c r="FQ34" s="830" t="e">
        <x:f t="shared" si="96"/>
        <x:v>#VALUE!</x:v>
      </x:c>
      <x:c r="FR34" s="831" t="e">
        <x:f t="shared" si="97"/>
        <x:v>#VALUE!</x:v>
      </x:c>
      <x:c r="FS34" s="832" t="str">
        <x:f t="shared" si="98"/>
        <x:v/>
      </x:c>
      <x:c r="FT34" s="833" t="str">
        <x:f t="shared" si="99"/>
        <x:v/>
      </x:c>
      <x:c r="FU34" s="870">
        <x:f t="shared" si="100"/>
        <x:v>0</x:v>
      </x:c>
      <x:c r="FV34" s="871">
        <x:f t="shared" si="101"/>
        <x:v>0</x:v>
      </x:c>
      <x:c r="GA34" s="1791" t="str">
        <x:f t="shared" si="119"/>
        <x:v/>
      </x:c>
      <x:c r="GB34" s="1792" t="str">
        <x:f t="shared" si="120"/>
        <x:v/>
      </x:c>
      <x:c r="GC34" s="1793" t="str">
        <x:f t="shared" si="121"/>
        <x:v/>
      </x:c>
      <x:c r="GD34" s="1794" t="str">
        <x:f t="shared" si="122"/>
        <x:v/>
      </x:c>
      <x:c r="GE34" s="1795" t="str">
        <x:f t="shared" si="102"/>
        <x:v/>
      </x:c>
      <x:c r="GF34" s="600" t="str">
        <x:f t="shared" si="103"/>
        <x:v/>
      </x:c>
      <x:c r="GG34" s="1130"/>
      <x:c r="GH34" s="1131"/>
      <x:c r="GI34" s="1130"/>
      <x:c r="GJ34" s="1131"/>
      <x:c r="GK34" s="1638">
        <x:f t="shared" si="104"/>
        <x:v>0</x:v>
      </x:c>
      <x:c r="GL34" s="1636" t="e">
        <x:f t="shared" si="105"/>
        <x:v>#VALUE!</x:v>
      </x:c>
      <x:c r="GM34" s="1637" t="e">
        <x:f>IF(ABS(GK34-GL34)&gt;='Job Info.'!$L$22,ABS(GK34-GL34),0)</x:f>
        <x:v>#VALUE!</x:v>
      </x:c>
      <x:c r="HA34" s="1269"/>
      <x:c r="HB34" s="1270"/>
      <x:c r="HC34" s="1270"/>
      <x:c r="HD34" s="1271"/>
      <x:c r="HE34" s="1272"/>
      <x:c r="HF34" s="1270"/>
      <x:c r="HG34" s="1270"/>
      <x:c r="HH34" s="1270"/>
      <x:c r="HI34" s="1273"/>
      <x:c r="HJ34" s="1270"/>
      <x:c r="HK34" s="1270"/>
      <x:c r="HL34" s="1270"/>
      <x:c r="HM34" s="1270"/>
      <x:c r="HN34" s="1270"/>
      <x:c r="HO34" s="1270"/>
      <x:c r="HP34" s="1270"/>
      <x:c r="HQ34" s="1273"/>
      <x:c r="HR34" s="1270"/>
      <x:c r="HS34" s="1270"/>
      <x:c r="HT34" s="1270"/>
      <x:c r="HU34" s="1270"/>
      <x:c r="HV34" s="1270"/>
      <x:c r="HW34" s="1272"/>
      <x:c r="HX34" s="1272"/>
      <x:c r="HY34" s="1272"/>
      <x:c r="HZ34" s="1272"/>
      <x:c r="IA34" s="1272"/>
      <x:c r="IB34" s="1272"/>
      <x:c r="IC34" s="1272"/>
      <x:c r="ID34" s="1272"/>
      <x:c r="IE34" s="1272"/>
      <x:c r="IF34" s="1274"/>
    </x:row>
    <x:row r="35" spans="1:240" ht="12.6" customHeight="1" x14ac:dyDescent="0.25">
      <x:c r="A35" s="2764" t="str">
        <x:f t="shared" si="109"/>
        <x:v/>
      </x:c>
      <x:c r="B35" s="2765"/>
      <x:c r="C35" s="2766" t="str">
        <x:f t="shared" si="110"/>
        <x:v/>
      </x:c>
      <x:c r="D35" s="2767" t="str">
        <x:f t="shared" si="111"/>
        <x:v/>
      </x:c>
      <x:c r="E35" s="2768" t="str">
        <x:f t="shared" si="112"/>
        <x:v/>
      </x:c>
      <x:c r="F35" s="2776" t="str">
        <x:f t="shared" si="1"/>
        <x:v/>
      </x:c>
      <x:c r="G35" s="2771" t="str">
        <x:f t="shared" si="2"/>
        <x:v/>
      </x:c>
      <x:c r="H35" s="2842" t="str">
        <x:f t="shared" si="3"/>
        <x:v/>
      </x:c>
      <x:c r="I35" s="2767" t="str">
        <x:f t="shared" si="4"/>
        <x:v/>
      </x:c>
      <x:c r="J35" s="2771" t="str">
        <x:f t="shared" si="5"/>
        <x:v/>
      </x:c>
      <x:c r="K35" s="2855" t="str">
        <x:f t="shared" si="6"/>
        <x:v/>
      </x:c>
      <x:c r="L35" s="2774" t="str">
        <x:f t="shared" si="113"/>
        <x:v/>
      </x:c>
      <x:c r="M35" s="2775" t="str">
        <x:f t="shared" si="113"/>
        <x:v/>
      </x:c>
      <x:c r="N35" s="2770" t="str">
        <x:f t="shared" si="7"/>
        <x:v/>
      </x:c>
      <x:c r="O35" s="2771" t="str">
        <x:f t="shared" si="8"/>
        <x:v/>
      </x:c>
      <x:c r="P35" s="2772" t="str">
        <x:f t="shared" si="9"/>
        <x:v/>
      </x:c>
      <x:c r="Q35" s="2767" t="str">
        <x:f t="shared" si="10"/>
        <x:v/>
      </x:c>
      <x:c r="R35" s="2771" t="str">
        <x:f t="shared" si="11"/>
        <x:v/>
      </x:c>
      <x:c r="S35" s="2773" t="str">
        <x:f t="shared" si="12"/>
        <x:v/>
      </x:c>
      <x:c r="T35" s="2776" t="str">
        <x:f t="shared" si="114"/>
        <x:v/>
      </x:c>
      <x:c r="U35" s="2771" t="str">
        <x:f t="shared" si="115"/>
        <x:v/>
      </x:c>
      <x:c r="V35" s="2767" t="str">
        <x:f t="shared" si="116"/>
        <x:v/>
      </x:c>
      <x:c r="W35" s="2771" t="str">
        <x:f t="shared" si="117"/>
        <x:v/>
      </x:c>
      <x:c r="X35" s="2775">
        <x:f t="shared" si="118"/>
        <x:v>0</x:v>
      </x:c>
      <x:c r="Y35" s="2844" t="str">
        <x:f t="shared" si="13"/>
        <x:v/>
      </x:c>
      <x:c r="Z35" s="2845" t="str">
        <x:f t="shared" si="14"/>
        <x:v/>
      </x:c>
      <x:c r="AA35" s="2846" t="s">
        <x:v>116</x:v>
      </x:c>
      <x:c r="AB35" s="1413"/>
      <x:c r="AC35" s="964" t="b">
        <x:v>0</x:v>
      </x:c>
      <x:c r="AD35" s="441">
        <x:f t="shared" si="15"/>
        <x:v>0</x:v>
      </x:c>
      <x:c r="AE35" s="442">
        <x:f t="shared" si="16"/>
        <x:v>0</x:v>
      </x:c>
      <x:c r="AF35" s="442">
        <x:f t="shared" si="17"/>
        <x:v>0</x:v>
      </x:c>
      <x:c r="AG35" s="442">
        <x:f t="shared" si="18"/>
        <x:v>0</x:v>
      </x:c>
      <x:c r="AH35" s="443">
        <x:f t="shared" si="19"/>
        <x:v>0</x:v>
      </x:c>
      <x:c r="AI35" s="444" t="b">
        <x:v>0</x:v>
      </x:c>
      <x:c r="AJ35" s="238">
        <x:f t="shared" si="20"/>
        <x:v>0</x:v>
      </x:c>
      <x:c r="AK35" s="830" t="str">
        <x:f t="shared" si="21"/>
        <x:v/>
      </x:c>
      <x:c r="AL35" s="945" t="str">
        <x:f t="shared" si="22"/>
        <x:v/>
      </x:c>
      <x:c r="AM35" s="830" t="str">
        <x:f t="shared" si="23"/>
        <x:v/>
      </x:c>
      <x:c r="AN35" s="830" t="str">
        <x:f t="shared" si="24"/>
        <x:v/>
      </x:c>
      <x:c r="AO35" s="830" t="str">
        <x:f t="shared" si="25"/>
        <x:v/>
      </x:c>
      <x:c r="AP35" s="830" t="b">
        <x:f>IF(ISERROR(AJ35),FALSE,IF(OR(AJ35=0,ISERROR(AL35),ISERROR(AM35),ISERROR(AN35),ISERROR(AO35)),FALSE,IF(AL35&lt;&gt;"",IF(ISERROR(VLOOKUP(SUBSTITUTE(SUBSTITUTE(C35,"R",""),"A",""),TblJoistSize!$A:$A,1,FALSE)),FALSE,TRUE),TRUE)))</x:f>
        <x:v>0</x:v>
      </x:c>
      <x:c r="AQ35" s="1038" t="e">
        <x:f t="shared" si="26"/>
        <x:v>#N/A</x:v>
      </x:c>
      <x:c r="AR35" s="945" t="b">
        <x:f t="shared" si="27"/>
        <x:v>0</x:v>
      </x:c>
      <x:c r="AS35" s="1038" t="e">
        <x:f t="shared" si="28"/>
        <x:v>#N/A</x:v>
      </x:c>
      <x:c r="AT35" s="945" t="b">
        <x:f t="shared" si="29"/>
        <x:v>0</x:v>
      </x:c>
      <x:c r="AU35" s="946" t="str">
        <x:f t="shared" si="30"/>
        <x:v/>
      </x:c>
      <x:c r="AV35" s="830" t="str">
        <x:f t="shared" si="31"/>
        <x:v/>
      </x:c>
      <x:c r="AW35" s="830" t="str">
        <x:f t="shared" si="32"/>
        <x:v/>
      </x:c>
      <x:c r="AX35" s="830" t="str">
        <x:f t="shared" si="106"/>
        <x:v/>
      </x:c>
      <x:c r="AY35" s="1039" t="b">
        <x:f t="shared" si="33"/>
        <x:v>0</x:v>
      </x:c>
      <x:c r="AZ35" s="856" t="str">
        <x:f t="shared" si="34"/>
        <x:v/>
      </x:c>
      <x:c r="BA35" s="549"/>
      <x:c r="BB35" s="672"/>
      <x:c r="BC35" s="1684"/>
      <x:c r="BD35" s="733"/>
      <x:c r="BE35" s="734"/>
      <x:c r="BF35" s="735"/>
      <x:c r="BG35" s="672"/>
      <x:c r="BH35" s="982"/>
      <x:c r="BI35" s="983"/>
      <x:c r="BJ35" s="1625"/>
      <x:c r="BK35" s="713"/>
      <x:c r="BL35" s="714"/>
      <x:c r="BM35" s="715"/>
      <x:c r="BN35" s="716"/>
      <x:c r="BO35" s="672" t="str">
        <x:f>IF(ISERROR(CU35),"",IF(CU35="","",IF(VLOOKUP(BG35,SectInfo!$B:$N,10,FALSE)="","","X")))</x:f>
        <x:v/>
      </x:c>
      <x:c r="BP35" s="738"/>
      <x:c r="BQ35" s="1551" t="str">
        <x:f t="shared" si="35"/>
        <x:v/>
      </x:c>
      <x:c r="BR35" s="910"/>
      <x:c r="BS35" s="672"/>
      <x:c r="BT35" s="713"/>
      <x:c r="BU35" s="714"/>
      <x:c r="BV35" s="1625"/>
      <x:c r="BW35" s="713"/>
      <x:c r="BX35" s="714"/>
      <x:c r="BY35" s="715"/>
      <x:c r="BZ35" s="716"/>
      <x:c r="CA35" s="680" t="str">
        <x:f>IF(ISERROR(DE35),"",IF(DE35="","",IF(VLOOKUP(BS35,SectInfo!$B:$N,10,FALSE)="","","X")))</x:f>
        <x:v/>
      </x:c>
      <x:c r="CB35" s="738"/>
      <x:c r="CC35" s="1551" t="str">
        <x:f t="shared" si="36"/>
        <x:v/>
      </x:c>
      <x:c r="CD35" s="910"/>
      <x:c r="CE35" s="717"/>
      <x:c r="CF35" s="736"/>
      <x:c r="CG35" s="737"/>
      <x:c r="CH35" s="591" t="str">
        <x:f t="shared" si="37"/>
        <x:v/>
      </x:c>
      <x:c r="CI35" s="592" t="str">
        <x:f t="shared" si="38"/>
        <x:v/>
      </x:c>
      <x:c r="CJ35" s="593" t="str">
        <x:f t="shared" si="39"/>
        <x:v/>
      </x:c>
      <x:c r="CK35" s="594" t="str">
        <x:f t="shared" si="40"/>
        <x:v/>
      </x:c>
      <x:c r="CL35" s="595" t="str">
        <x:f t="shared" si="41"/>
        <x:v/>
      </x:c>
      <x:c r="CM35" s="596" t="str">
        <x:f t="shared" si="42"/>
        <x:v/>
      </x:c>
      <x:c r="CN35" s="597" t="str">
        <x:f t="shared" si="43"/>
        <x:v/>
      </x:c>
      <x:c r="CO35" s="598" t="str">
        <x:f t="shared" si="44"/>
        <x:v/>
      </x:c>
      <x:c r="CP35" s="615" t="str">
        <x:f t="shared" si="45"/>
        <x:v/>
      </x:c>
      <x:c r="CQ35" s="616" t="str">
        <x:f t="shared" si="46"/>
        <x:v/>
      </x:c>
      <x:c r="CR35" s="750" t="str">
        <x:f t="shared" si="47"/>
        <x:v/>
      </x:c>
      <x:c r="CS35" s="751" t="str">
        <x:f t="shared" si="48"/>
        <x:v/>
      </x:c>
      <x:c r="CU35" s="817" t="str">
        <x:f>IF(BG35="","",VLOOKUP(BG35,SectInfo!$B:$N,12,FALSE))</x:f>
        <x:v/>
      </x:c>
      <x:c r="CV35" s="815" t="str">
        <x:f>IF(BG35="","",IF(ISBLANK(BP35),VLOOKUP(BG35,SectInfo!$B:$N,13,FALSE),BP35))</x:f>
        <x:v/>
      </x:c>
      <x:c r="CW35" s="8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8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49"/>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50"/>
        <x:v>0</x:v>
      </x:c>
      <x:c r="DO35" s="818">
        <x:f t="shared" si="51"/>
        <x:v>0</x:v>
      </x:c>
      <x:c r="DP35" s="822" t="str">
        <x:f t="shared" si="52"/>
        <x:v/>
      </x:c>
      <x:c r="DQ35" s="822" t="str">
        <x:f t="shared" si="53"/>
        <x:v/>
      </x:c>
      <x:c r="DR35" s="822" t="str">
        <x:f t="shared" si="54"/>
        <x:v/>
      </x:c>
      <x:c r="DS35" s="821">
        <x:f t="shared" si="55"/>
        <x:v>0</x:v>
      </x:c>
      <x:c r="DT35" s="821">
        <x:f t="shared" si="56"/>
        <x:v>0</x:v>
      </x:c>
      <x:c r="DU35" s="821" t="str">
        <x:f t="shared" si="57"/>
        <x:v/>
      </x:c>
      <x:c r="DV35" s="822" t="str">
        <x:f t="shared" si="58"/>
        <x:v/>
      </x:c>
      <x:c r="DW35" s="856" t="str">
        <x:f t="shared" si="59"/>
        <x:v/>
      </x:c>
      <x:c r="DX35" s="1006">
        <x:f t="shared" si="60"/>
        <x:v>0</x:v>
      </x:c>
      <x:c r="DY35" s="822">
        <x:f t="shared" si="61"/>
        <x:v>0</x:v>
      </x:c>
      <x:c r="DZ35" s="821">
        <x:f t="shared" si="62"/>
        <x:v>0</x:v>
      </x:c>
      <x:c r="EA35" s="821" t="str">
        <x:f t="shared" si="63"/>
        <x:v/>
      </x:c>
      <x:c r="EB35" s="822" t="str">
        <x:f t="shared" si="64"/>
        <x:v/>
      </x:c>
      <x:c r="EC35" s="856" t="str">
        <x:f t="shared" si="65"/>
        <x:v/>
      </x:c>
      <x:c r="ED35" s="1006">
        <x:f t="shared" si="66"/>
        <x:v>0</x:v>
      </x:c>
      <x:c r="EE35" s="1293" t="str">
        <x:f t="shared" si="67"/>
        <x:v/>
      </x:c>
      <x:c r="EF35" s="1293" t="str">
        <x:f t="shared" si="68"/>
        <x:v/>
      </x:c>
      <x:c r="EG35" s="1293" t="str">
        <x:f t="shared" si="69"/>
        <x:v/>
      </x:c>
      <x:c r="EH35" s="856" t="e">
        <x:f t="shared" si="70"/>
        <x:v>#N/A</x:v>
      </x:c>
      <x:c r="EI35" s="856" t="e">
        <x:f t="shared" si="71"/>
        <x:v>#N/A</x:v>
      </x:c>
      <x:c r="EJ35" s="822" t="str">
        <x:f t="shared" si="72"/>
        <x:v/>
      </x:c>
      <x:c r="EK35" s="822" t="str">
        <x:f t="shared" si="72"/>
        <x:v/>
      </x:c>
      <x:c r="EL35" s="1293" t="str">
        <x:f t="shared" si="73"/>
        <x:v/>
      </x:c>
      <x:c r="EM35" s="822" t="str">
        <x:f t="shared" si="74"/>
        <x:v/>
      </x:c>
      <x:c r="EN35" s="822" t="str">
        <x:f t="shared" si="75"/>
        <x:v/>
      </x:c>
      <x:c r="EO35" s="856" t="e">
        <x:f t="shared" si="76"/>
        <x:v>#N/A</x:v>
      </x:c>
      <x:c r="EP35" s="856" t="e">
        <x:f t="shared" si="77"/>
        <x:v>#N/A</x:v>
      </x:c>
      <x:c r="EQ35" s="1293" t="str">
        <x:f t="shared" si="78"/>
        <x:v/>
      </x:c>
      <x:c r="ER35" s="822" t="str">
        <x:f t="shared" si="78"/>
        <x:v/>
      </x:c>
      <x:c r="ES35" s="822" t="str">
        <x:f t="shared" si="79"/>
        <x:v/>
      </x:c>
      <x:c r="ET35" s="822" t="str">
        <x:f t="shared" si="80"/>
        <x:v/>
      </x:c>
      <x:c r="EU35" s="829" t="str">
        <x:f t="shared" si="81"/>
        <x:v/>
      </x:c>
      <x:c r="EV35" s="824" t="str">
        <x:f t="shared" si="82"/>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83"/>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84"/>
        <x:v/>
      </x:c>
      <x:c r="FD35" s="821">
        <x:f t="shared" si="107"/>
        <x:v>0</x:v>
      </x:c>
      <x:c r="FE35" s="821">
        <x:f t="shared" si="85"/>
        <x:v>0</x:v>
      </x:c>
      <x:c r="FF35" s="821">
        <x:f t="shared" si="86"/>
        <x:v>0</x:v>
      </x:c>
      <x:c r="FG35" s="821" t="str">
        <x:f t="shared" si="87"/>
        <x:v/>
      </x:c>
      <x:c r="FH35" s="822" t="str">
        <x:f t="shared" si="88"/>
        <x:v/>
      </x:c>
      <x:c r="FI35" s="821">
        <x:f t="shared" si="108"/>
        <x:v>0</x:v>
      </x:c>
      <x:c r="FJ35" s="821">
        <x:f t="shared" si="89"/>
        <x:v>0</x:v>
      </x:c>
      <x:c r="FK35" s="821">
        <x:f t="shared" si="90"/>
        <x:v>0</x:v>
      </x:c>
      <x:c r="FL35" s="821" t="str">
        <x:f t="shared" si="91"/>
        <x:v/>
      </x:c>
      <x:c r="FM35" s="822" t="str">
        <x:f t="shared" si="92"/>
        <x:v/>
      </x:c>
      <x:c r="FN35" s="822" t="e">
        <x:f t="shared" si="93"/>
        <x:v>#VALUE!</x:v>
      </x:c>
      <x:c r="FO35" s="940" t="e">
        <x:f t="shared" si="94"/>
        <x:v>#VALUE!</x:v>
      </x:c>
      <x:c r="FP35" s="940" t="e">
        <x:f t="shared" si="95"/>
        <x:v>#VALUE!</x:v>
      </x:c>
      <x:c r="FQ35" s="830" t="e">
        <x:f t="shared" si="96"/>
        <x:v>#VALUE!</x:v>
      </x:c>
      <x:c r="FR35" s="831" t="e">
        <x:f t="shared" si="97"/>
        <x:v>#VALUE!</x:v>
      </x:c>
      <x:c r="FS35" s="832" t="str">
        <x:f t="shared" si="98"/>
        <x:v/>
      </x:c>
      <x:c r="FT35" s="833" t="str">
        <x:f t="shared" si="99"/>
        <x:v/>
      </x:c>
      <x:c r="FU35" s="870">
        <x:f t="shared" si="100"/>
        <x:v>0</x:v>
      </x:c>
      <x:c r="FV35" s="871">
        <x:f t="shared" si="101"/>
        <x:v>0</x:v>
      </x:c>
      <x:c r="GA35" s="1791" t="str">
        <x:f t="shared" si="119"/>
        <x:v/>
      </x:c>
      <x:c r="GB35" s="1792" t="str">
        <x:f t="shared" si="120"/>
        <x:v/>
      </x:c>
      <x:c r="GC35" s="1793" t="str">
        <x:f t="shared" si="121"/>
        <x:v/>
      </x:c>
      <x:c r="GD35" s="1794" t="str">
        <x:f t="shared" si="122"/>
        <x:v/>
      </x:c>
      <x:c r="GE35" s="1795" t="str">
        <x:f t="shared" si="102"/>
        <x:v/>
      </x:c>
      <x:c r="GF35" s="600" t="str">
        <x:f t="shared" si="103"/>
        <x:v/>
      </x:c>
      <x:c r="GG35" s="1130"/>
      <x:c r="GH35" s="1131"/>
      <x:c r="GI35" s="1130"/>
      <x:c r="GJ35" s="1131"/>
      <x:c r="GK35" s="1638">
        <x:f t="shared" si="104"/>
        <x:v>0</x:v>
      </x:c>
      <x:c r="GL35" s="1636" t="e">
        <x:f t="shared" si="105"/>
        <x:v>#VALUE!</x:v>
      </x:c>
      <x:c r="GM35" s="1637" t="e">
        <x:f>IF(ABS(GK35-GL35)&gt;='Job Info.'!$L$22,ABS(GK35-GL35),0)</x:f>
        <x:v>#VALUE!</x:v>
      </x:c>
      <x:c r="HA35" s="1269"/>
      <x:c r="HB35" s="1270"/>
      <x:c r="HC35" s="1270"/>
      <x:c r="HD35" s="1271"/>
      <x:c r="HE35" s="1272"/>
      <x:c r="HF35" s="1270"/>
      <x:c r="HG35" s="1270"/>
      <x:c r="HH35" s="1270"/>
      <x:c r="HI35" s="1273"/>
      <x:c r="HJ35" s="1270"/>
      <x:c r="HK35" s="1270"/>
      <x:c r="HL35" s="1270"/>
      <x:c r="HM35" s="1270"/>
      <x:c r="HN35" s="1270"/>
      <x:c r="HO35" s="1270"/>
      <x:c r="HP35" s="1270"/>
      <x:c r="HQ35" s="1273"/>
      <x:c r="HR35" s="1270"/>
      <x:c r="HS35" s="1270"/>
      <x:c r="HT35" s="1270"/>
      <x:c r="HU35" s="1270"/>
      <x:c r="HV35" s="1270"/>
      <x:c r="HW35" s="1272"/>
      <x:c r="HX35" s="1272"/>
      <x:c r="HY35" s="1272"/>
      <x:c r="HZ35" s="1272"/>
      <x:c r="IA35" s="1272"/>
      <x:c r="IB35" s="1272"/>
      <x:c r="IC35" s="1272"/>
      <x:c r="ID35" s="1272"/>
      <x:c r="IE35" s="1272"/>
      <x:c r="IF35" s="1274"/>
    </x:row>
    <x:row r="36" spans="1:240" ht="12.6" customHeight="1" x14ac:dyDescent="0.25">
      <x:c r="A36" s="2764" t="str">
        <x:f t="shared" si="109"/>
        <x:v/>
      </x:c>
      <x:c r="B36" s="2765"/>
      <x:c r="C36" s="2766" t="str">
        <x:f t="shared" si="110"/>
        <x:v/>
      </x:c>
      <x:c r="D36" s="2767" t="str">
        <x:f t="shared" si="111"/>
        <x:v/>
      </x:c>
      <x:c r="E36" s="2768" t="str">
        <x:f t="shared" si="112"/>
        <x:v/>
      </x:c>
      <x:c r="F36" s="2776" t="str">
        <x:f t="shared" si="1"/>
        <x:v/>
      </x:c>
      <x:c r="G36" s="2771" t="str">
        <x:f t="shared" si="2"/>
        <x:v/>
      </x:c>
      <x:c r="H36" s="2842" t="str">
        <x:f t="shared" si="3"/>
        <x:v/>
      </x:c>
      <x:c r="I36" s="2767" t="str">
        <x:f t="shared" si="4"/>
        <x:v/>
      </x:c>
      <x:c r="J36" s="2771" t="str">
        <x:f t="shared" si="5"/>
        <x:v/>
      </x:c>
      <x:c r="K36" s="2855" t="str">
        <x:f t="shared" si="6"/>
        <x:v/>
      </x:c>
      <x:c r="L36" s="2774" t="str">
        <x:f t="shared" si="113"/>
        <x:v/>
      </x:c>
      <x:c r="M36" s="2775" t="str">
        <x:f t="shared" si="113"/>
        <x:v/>
      </x:c>
      <x:c r="N36" s="2770" t="str">
        <x:f t="shared" si="7"/>
        <x:v/>
      </x:c>
      <x:c r="O36" s="2771" t="str">
        <x:f t="shared" si="8"/>
        <x:v/>
      </x:c>
      <x:c r="P36" s="2772" t="str">
        <x:f t="shared" si="9"/>
        <x:v/>
      </x:c>
      <x:c r="Q36" s="2767" t="str">
        <x:f t="shared" si="10"/>
        <x:v/>
      </x:c>
      <x:c r="R36" s="2771" t="str">
        <x:f t="shared" si="11"/>
        <x:v/>
      </x:c>
      <x:c r="S36" s="2773" t="str">
        <x:f t="shared" si="12"/>
        <x:v/>
      </x:c>
      <x:c r="T36" s="2776" t="str">
        <x:f t="shared" si="114"/>
        <x:v/>
      </x:c>
      <x:c r="U36" s="2771" t="str">
        <x:f t="shared" si="115"/>
        <x:v/>
      </x:c>
      <x:c r="V36" s="2767" t="str">
        <x:f t="shared" si="116"/>
        <x:v/>
      </x:c>
      <x:c r="W36" s="2771" t="str">
        <x:f t="shared" si="117"/>
        <x:v/>
      </x:c>
      <x:c r="X36" s="2775">
        <x:f t="shared" si="118"/>
        <x:v>0</x:v>
      </x:c>
      <x:c r="Y36" s="2844" t="str">
        <x:f t="shared" si="13"/>
        <x:v/>
      </x:c>
      <x:c r="Z36" s="2845" t="str">
        <x:f t="shared" si="14"/>
        <x:v/>
      </x:c>
      <x:c r="AA36" s="2846" t="s">
        <x:v>116</x:v>
      </x:c>
      <x:c r="AB36" s="1413"/>
      <x:c r="AC36" s="964" t="b">
        <x:v>0</x:v>
      </x:c>
      <x:c r="AD36" s="441">
        <x:f t="shared" si="15"/>
        <x:v>0</x:v>
      </x:c>
      <x:c r="AE36" s="442">
        <x:f t="shared" si="16"/>
        <x:v>0</x:v>
      </x:c>
      <x:c r="AF36" s="442">
        <x:f t="shared" si="17"/>
        <x:v>0</x:v>
      </x:c>
      <x:c r="AG36" s="442">
        <x:f t="shared" si="18"/>
        <x:v>0</x:v>
      </x:c>
      <x:c r="AH36" s="443">
        <x:f t="shared" si="19"/>
        <x:v>0</x:v>
      </x:c>
      <x:c r="AI36" s="444" t="b">
        <x:v>0</x:v>
      </x:c>
      <x:c r="AJ36" s="238">
        <x:f t="shared" si="20"/>
        <x:v>0</x:v>
      </x:c>
      <x:c r="AK36" s="830" t="str">
        <x:f t="shared" si="21"/>
        <x:v/>
      </x:c>
      <x:c r="AL36" s="945" t="str">
        <x:f t="shared" si="22"/>
        <x:v/>
      </x:c>
      <x:c r="AM36" s="830" t="str">
        <x:f t="shared" si="23"/>
        <x:v/>
      </x:c>
      <x:c r="AN36" s="830" t="str">
        <x:f t="shared" si="24"/>
        <x:v/>
      </x:c>
      <x:c r="AO36" s="830" t="str">
        <x:f t="shared" si="25"/>
        <x:v/>
      </x:c>
      <x:c r="AP36" s="830" t="b">
        <x:f>IF(ISERROR(AJ36),FALSE,IF(OR(AJ36=0,ISERROR(AL36),ISERROR(AM36),ISERROR(AN36),ISERROR(AO36)),FALSE,IF(AL36&lt;&gt;"",IF(ISERROR(VLOOKUP(SUBSTITUTE(SUBSTITUTE(C36,"R",""),"A",""),TblJoistSize!$A:$A,1,FALSE)),FALSE,TRUE),TRUE)))</x:f>
        <x:v>0</x:v>
      </x:c>
      <x:c r="AQ36" s="1038" t="e">
        <x:f t="shared" si="26"/>
        <x:v>#N/A</x:v>
      </x:c>
      <x:c r="AR36" s="945" t="b">
        <x:f t="shared" si="27"/>
        <x:v>0</x:v>
      </x:c>
      <x:c r="AS36" s="1038" t="e">
        <x:f t="shared" si="28"/>
        <x:v>#N/A</x:v>
      </x:c>
      <x:c r="AT36" s="945" t="b">
        <x:f t="shared" si="29"/>
        <x:v>0</x:v>
      </x:c>
      <x:c r="AU36" s="946" t="str">
        <x:f t="shared" si="30"/>
        <x:v/>
      </x:c>
      <x:c r="AV36" s="830" t="str">
        <x:f t="shared" si="31"/>
        <x:v/>
      </x:c>
      <x:c r="AW36" s="830" t="str">
        <x:f t="shared" si="32"/>
        <x:v/>
      </x:c>
      <x:c r="AX36" s="830" t="str">
        <x:f t="shared" si="106"/>
        <x:v/>
      </x:c>
      <x:c r="AY36" s="1039" t="b">
        <x:f t="shared" si="33"/>
        <x:v>0</x:v>
      </x:c>
      <x:c r="AZ36" s="856" t="str">
        <x:f t="shared" si="34"/>
        <x:v/>
      </x:c>
      <x:c r="BA36" s="549"/>
      <x:c r="BB36" s="672"/>
      <x:c r="BC36" s="1684"/>
      <x:c r="BD36" s="733"/>
      <x:c r="BE36" s="734"/>
      <x:c r="BF36" s="735"/>
      <x:c r="BG36" s="672"/>
      <x:c r="BH36" s="982"/>
      <x:c r="BI36" s="983"/>
      <x:c r="BJ36" s="1625"/>
      <x:c r="BK36" s="713"/>
      <x:c r="BL36" s="714"/>
      <x:c r="BM36" s="715"/>
      <x:c r="BN36" s="716"/>
      <x:c r="BO36" s="672" t="str">
        <x:f>IF(ISERROR(CU36),"",IF(CU36="","",IF(VLOOKUP(BG36,SectInfo!$B:$N,10,FALSE)="","","X")))</x:f>
        <x:v/>
      </x:c>
      <x:c r="BP36" s="738"/>
      <x:c r="BQ36" s="1551" t="str">
        <x:f t="shared" si="35"/>
        <x:v/>
      </x:c>
      <x:c r="BR36" s="910"/>
      <x:c r="BS36" s="672"/>
      <x:c r="BT36" s="713"/>
      <x:c r="BU36" s="714"/>
      <x:c r="BV36" s="1625"/>
      <x:c r="BW36" s="713"/>
      <x:c r="BX36" s="714"/>
      <x:c r="BY36" s="715"/>
      <x:c r="BZ36" s="716"/>
      <x:c r="CA36" s="680" t="str">
        <x:f>IF(ISERROR(DE36),"",IF(DE36="","",IF(VLOOKUP(BS36,SectInfo!$B:$N,10,FALSE)="","","X")))</x:f>
        <x:v/>
      </x:c>
      <x:c r="CB36" s="738"/>
      <x:c r="CC36" s="1551" t="str">
        <x:f t="shared" si="36"/>
        <x:v/>
      </x:c>
      <x:c r="CD36" s="910"/>
      <x:c r="CE36" s="717"/>
      <x:c r="CF36" s="736"/>
      <x:c r="CG36" s="737"/>
      <x:c r="CH36" s="591" t="str">
        <x:f t="shared" si="37"/>
        <x:v/>
      </x:c>
      <x:c r="CI36" s="592" t="str">
        <x:f t="shared" si="38"/>
        <x:v/>
      </x:c>
      <x:c r="CJ36" s="593" t="str">
        <x:f t="shared" si="39"/>
        <x:v/>
      </x:c>
      <x:c r="CK36" s="594" t="str">
        <x:f t="shared" si="40"/>
        <x:v/>
      </x:c>
      <x:c r="CL36" s="595" t="str">
        <x:f t="shared" si="41"/>
        <x:v/>
      </x:c>
      <x:c r="CM36" s="596" t="str">
        <x:f t="shared" si="42"/>
        <x:v/>
      </x:c>
      <x:c r="CN36" s="597" t="str">
        <x:f t="shared" si="43"/>
        <x:v/>
      </x:c>
      <x:c r="CO36" s="598" t="str">
        <x:f t="shared" si="44"/>
        <x:v/>
      </x:c>
      <x:c r="CP36" s="615" t="str">
        <x:f t="shared" si="45"/>
        <x:v/>
      </x:c>
      <x:c r="CQ36" s="616" t="str">
        <x:f t="shared" si="46"/>
        <x:v/>
      </x:c>
      <x:c r="CR36" s="750" t="str">
        <x:f t="shared" si="47"/>
        <x:v/>
      </x:c>
      <x:c r="CS36" s="751" t="str">
        <x:f t="shared" si="48"/>
        <x:v/>
      </x:c>
      <x:c r="CU36" s="817" t="str">
        <x:f>IF(BG36="","",VLOOKUP(BG36,SectInfo!$B:$N,12,FALSE))</x:f>
        <x:v/>
      </x:c>
      <x:c r="CV36" s="815" t="str">
        <x:f>IF(BG36="","",IF(ISBLANK(BP36),VLOOKUP(BG36,SectInfo!$B:$N,13,FALSE),BP36))</x:f>
        <x:v/>
      </x:c>
      <x:c r="CW36" s="8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8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49"/>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50"/>
        <x:v>0</x:v>
      </x:c>
      <x:c r="DO36" s="818">
        <x:f t="shared" si="51"/>
        <x:v>0</x:v>
      </x:c>
      <x:c r="DP36" s="822" t="str">
        <x:f t="shared" si="52"/>
        <x:v/>
      </x:c>
      <x:c r="DQ36" s="822" t="str">
        <x:f t="shared" si="53"/>
        <x:v/>
      </x:c>
      <x:c r="DR36" s="822" t="str">
        <x:f t="shared" si="54"/>
        <x:v/>
      </x:c>
      <x:c r="DS36" s="821">
        <x:f t="shared" si="55"/>
        <x:v>0</x:v>
      </x:c>
      <x:c r="DT36" s="821">
        <x:f t="shared" si="56"/>
        <x:v>0</x:v>
      </x:c>
      <x:c r="DU36" s="821" t="str">
        <x:f t="shared" si="57"/>
        <x:v/>
      </x:c>
      <x:c r="DV36" s="822" t="str">
        <x:f t="shared" si="58"/>
        <x:v/>
      </x:c>
      <x:c r="DW36" s="856" t="str">
        <x:f t="shared" si="59"/>
        <x:v/>
      </x:c>
      <x:c r="DX36" s="1006">
        <x:f t="shared" si="60"/>
        <x:v>0</x:v>
      </x:c>
      <x:c r="DY36" s="822">
        <x:f t="shared" si="61"/>
        <x:v>0</x:v>
      </x:c>
      <x:c r="DZ36" s="821">
        <x:f t="shared" si="62"/>
        <x:v>0</x:v>
      </x:c>
      <x:c r="EA36" s="821" t="str">
        <x:f t="shared" si="63"/>
        <x:v/>
      </x:c>
      <x:c r="EB36" s="822" t="str">
        <x:f t="shared" si="64"/>
        <x:v/>
      </x:c>
      <x:c r="EC36" s="856" t="str">
        <x:f t="shared" si="65"/>
        <x:v/>
      </x:c>
      <x:c r="ED36" s="1006">
        <x:f t="shared" si="66"/>
        <x:v>0</x:v>
      </x:c>
      <x:c r="EE36" s="1293" t="str">
        <x:f t="shared" si="67"/>
        <x:v/>
      </x:c>
      <x:c r="EF36" s="1293" t="str">
        <x:f t="shared" si="68"/>
        <x:v/>
      </x:c>
      <x:c r="EG36" s="1293" t="str">
        <x:f t="shared" si="69"/>
        <x:v/>
      </x:c>
      <x:c r="EH36" s="856" t="e">
        <x:f t="shared" si="70"/>
        <x:v>#N/A</x:v>
      </x:c>
      <x:c r="EI36" s="856" t="e">
        <x:f t="shared" si="71"/>
        <x:v>#N/A</x:v>
      </x:c>
      <x:c r="EJ36" s="822" t="str">
        <x:f t="shared" si="72"/>
        <x:v/>
      </x:c>
      <x:c r="EK36" s="822" t="str">
        <x:f t="shared" si="72"/>
        <x:v/>
      </x:c>
      <x:c r="EL36" s="1293" t="str">
        <x:f t="shared" si="73"/>
        <x:v/>
      </x:c>
      <x:c r="EM36" s="822" t="str">
        <x:f t="shared" si="74"/>
        <x:v/>
      </x:c>
      <x:c r="EN36" s="822" t="str">
        <x:f t="shared" si="75"/>
        <x:v/>
      </x:c>
      <x:c r="EO36" s="856" t="e">
        <x:f t="shared" si="76"/>
        <x:v>#N/A</x:v>
      </x:c>
      <x:c r="EP36" s="856" t="e">
        <x:f t="shared" si="77"/>
        <x:v>#N/A</x:v>
      </x:c>
      <x:c r="EQ36" s="1293" t="str">
        <x:f t="shared" si="78"/>
        <x:v/>
      </x:c>
      <x:c r="ER36" s="822" t="str">
        <x:f t="shared" si="78"/>
        <x:v/>
      </x:c>
      <x:c r="ES36" s="822" t="str">
        <x:f t="shared" si="79"/>
        <x:v/>
      </x:c>
      <x:c r="ET36" s="822" t="str">
        <x:f t="shared" si="80"/>
        <x:v/>
      </x:c>
      <x:c r="EU36" s="829" t="str">
        <x:f t="shared" si="81"/>
        <x:v/>
      </x:c>
      <x:c r="EV36" s="824" t="str">
        <x:f t="shared" si="82"/>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83"/>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84"/>
        <x:v/>
      </x:c>
      <x:c r="FD36" s="821">
        <x:f t="shared" si="107"/>
        <x:v>0</x:v>
      </x:c>
      <x:c r="FE36" s="821">
        <x:f t="shared" si="85"/>
        <x:v>0</x:v>
      </x:c>
      <x:c r="FF36" s="821">
        <x:f t="shared" si="86"/>
        <x:v>0</x:v>
      </x:c>
      <x:c r="FG36" s="821" t="str">
        <x:f t="shared" si="87"/>
        <x:v/>
      </x:c>
      <x:c r="FH36" s="822" t="str">
        <x:f t="shared" si="88"/>
        <x:v/>
      </x:c>
      <x:c r="FI36" s="821">
        <x:f t="shared" si="108"/>
        <x:v>0</x:v>
      </x:c>
      <x:c r="FJ36" s="821">
        <x:f t="shared" si="89"/>
        <x:v>0</x:v>
      </x:c>
      <x:c r="FK36" s="821">
        <x:f t="shared" si="90"/>
        <x:v>0</x:v>
      </x:c>
      <x:c r="FL36" s="821" t="str">
        <x:f t="shared" si="91"/>
        <x:v/>
      </x:c>
      <x:c r="FM36" s="822" t="str">
        <x:f t="shared" si="92"/>
        <x:v/>
      </x:c>
      <x:c r="FN36" s="822" t="e">
        <x:f t="shared" si="93"/>
        <x:v>#VALUE!</x:v>
      </x:c>
      <x:c r="FO36" s="940" t="e">
        <x:f t="shared" si="94"/>
        <x:v>#VALUE!</x:v>
      </x:c>
      <x:c r="FP36" s="940" t="e">
        <x:f t="shared" si="95"/>
        <x:v>#VALUE!</x:v>
      </x:c>
      <x:c r="FQ36" s="830" t="e">
        <x:f t="shared" si="96"/>
        <x:v>#VALUE!</x:v>
      </x:c>
      <x:c r="FR36" s="831" t="e">
        <x:f t="shared" si="97"/>
        <x:v>#VALUE!</x:v>
      </x:c>
      <x:c r="FS36" s="832" t="str">
        <x:f t="shared" si="98"/>
        <x:v/>
      </x:c>
      <x:c r="FT36" s="833" t="str">
        <x:f t="shared" si="99"/>
        <x:v/>
      </x:c>
      <x:c r="FU36" s="870">
        <x:f t="shared" si="100"/>
        <x:v>0</x:v>
      </x:c>
      <x:c r="FV36" s="871">
        <x:f t="shared" si="101"/>
        <x:v>0</x:v>
      </x:c>
      <x:c r="GA36" s="1791" t="str">
        <x:f t="shared" si="119"/>
        <x:v/>
      </x:c>
      <x:c r="GB36" s="1792" t="str">
        <x:f t="shared" si="120"/>
        <x:v/>
      </x:c>
      <x:c r="GC36" s="1793" t="str">
        <x:f t="shared" si="121"/>
        <x:v/>
      </x:c>
      <x:c r="GD36" s="1794" t="str">
        <x:f t="shared" si="122"/>
        <x:v/>
      </x:c>
      <x:c r="GE36" s="1795" t="str">
        <x:f t="shared" si="102"/>
        <x:v/>
      </x:c>
      <x:c r="GF36" s="600" t="str">
        <x:f t="shared" si="103"/>
        <x:v/>
      </x:c>
      <x:c r="GG36" s="1130"/>
      <x:c r="GH36" s="1131"/>
      <x:c r="GI36" s="1130"/>
      <x:c r="GJ36" s="1131"/>
      <x:c r="GK36" s="1638">
        <x:f t="shared" si="104"/>
        <x:v>0</x:v>
      </x:c>
      <x:c r="GL36" s="1636" t="e">
        <x:f t="shared" si="105"/>
        <x:v>#VALUE!</x:v>
      </x:c>
      <x:c r="GM36" s="1637" t="e">
        <x:f>IF(ABS(GK36-GL36)&gt;='Job Info.'!$L$22,ABS(GK36-GL36),0)</x:f>
        <x:v>#VALUE!</x:v>
      </x:c>
      <x:c r="HA36" s="1269"/>
      <x:c r="HB36" s="1270"/>
      <x:c r="HC36" s="1270"/>
      <x:c r="HD36" s="1271"/>
      <x:c r="HE36" s="1272"/>
      <x:c r="HF36" s="1270"/>
      <x:c r="HG36" s="1270"/>
      <x:c r="HH36" s="1270"/>
      <x:c r="HI36" s="1273"/>
      <x:c r="HJ36" s="1270"/>
      <x:c r="HK36" s="1270"/>
      <x:c r="HL36" s="1270"/>
      <x:c r="HM36" s="1270"/>
      <x:c r="HN36" s="1270"/>
      <x:c r="HO36" s="1270"/>
      <x:c r="HP36" s="1270"/>
      <x:c r="HQ36" s="1273"/>
      <x:c r="HR36" s="1270"/>
      <x:c r="HS36" s="1270"/>
      <x:c r="HT36" s="1270"/>
      <x:c r="HU36" s="1270"/>
      <x:c r="HV36" s="1270"/>
      <x:c r="HW36" s="1272"/>
      <x:c r="HX36" s="1272"/>
      <x:c r="HY36" s="1272"/>
      <x:c r="HZ36" s="1272"/>
      <x:c r="IA36" s="1272"/>
      <x:c r="IB36" s="1272"/>
      <x:c r="IC36" s="1272"/>
      <x:c r="ID36" s="1272"/>
      <x:c r="IE36" s="1272"/>
      <x:c r="IF36" s="1274"/>
    </x:row>
    <x:row r="37" spans="1:240" ht="12.6" customHeight="1" x14ac:dyDescent="0.25">
      <x:c r="A37" s="2764" t="str">
        <x:f t="shared" si="109"/>
        <x:v/>
      </x:c>
      <x:c r="B37" s="2765"/>
      <x:c r="C37" s="2766" t="str">
        <x:f t="shared" si="110"/>
        <x:v/>
      </x:c>
      <x:c r="D37" s="2767" t="str">
        <x:f t="shared" si="111"/>
        <x:v/>
      </x:c>
      <x:c r="E37" s="2768" t="str">
        <x:f t="shared" si="112"/>
        <x:v/>
      </x:c>
      <x:c r="F37" s="2776" t="str">
        <x:f t="shared" si="1"/>
        <x:v/>
      </x:c>
      <x:c r="G37" s="2771" t="str">
        <x:f t="shared" si="2"/>
        <x:v/>
      </x:c>
      <x:c r="H37" s="2842" t="str">
        <x:f t="shared" si="3"/>
        <x:v/>
      </x:c>
      <x:c r="I37" s="2767" t="str">
        <x:f t="shared" si="4"/>
        <x:v/>
      </x:c>
      <x:c r="J37" s="2771" t="str">
        <x:f t="shared" si="5"/>
        <x:v/>
      </x:c>
      <x:c r="K37" s="2855" t="str">
        <x:f t="shared" si="6"/>
        <x:v/>
      </x:c>
      <x:c r="L37" s="2774" t="str">
        <x:f t="shared" si="113"/>
        <x:v/>
      </x:c>
      <x:c r="M37" s="2775" t="str">
        <x:f t="shared" si="113"/>
        <x:v/>
      </x:c>
      <x:c r="N37" s="2770" t="str">
        <x:f t="shared" si="7"/>
        <x:v/>
      </x:c>
      <x:c r="O37" s="2771" t="str">
        <x:f t="shared" si="8"/>
        <x:v/>
      </x:c>
      <x:c r="P37" s="2772" t="str">
        <x:f t="shared" si="9"/>
        <x:v/>
      </x:c>
      <x:c r="Q37" s="2767" t="str">
        <x:f t="shared" si="10"/>
        <x:v/>
      </x:c>
      <x:c r="R37" s="2771" t="str">
        <x:f t="shared" si="11"/>
        <x:v/>
      </x:c>
      <x:c r="S37" s="2773" t="str">
        <x:f t="shared" si="12"/>
        <x:v/>
      </x:c>
      <x:c r="T37" s="2776" t="str">
        <x:f t="shared" si="114"/>
        <x:v/>
      </x:c>
      <x:c r="U37" s="2771" t="str">
        <x:f t="shared" si="115"/>
        <x:v/>
      </x:c>
      <x:c r="V37" s="2767" t="str">
        <x:f t="shared" si="116"/>
        <x:v/>
      </x:c>
      <x:c r="W37" s="2771" t="str">
        <x:f t="shared" si="117"/>
        <x:v/>
      </x:c>
      <x:c r="X37" s="2775">
        <x:f t="shared" si="118"/>
        <x:v>0</x:v>
      </x:c>
      <x:c r="Y37" s="2844" t="str">
        <x:f t="shared" si="13"/>
        <x:v/>
      </x:c>
      <x:c r="Z37" s="2845" t="str">
        <x:f t="shared" si="14"/>
        <x:v/>
      </x:c>
      <x:c r="AA37" s="2846" t="s">
        <x:v>116</x:v>
      </x:c>
      <x:c r="AB37" s="1413"/>
      <x:c r="AC37" s="964" t="b">
        <x:v>0</x:v>
      </x:c>
      <x:c r="AD37" s="441">
        <x:f t="shared" si="15"/>
        <x:v>0</x:v>
      </x:c>
      <x:c r="AE37" s="442">
        <x:f t="shared" si="16"/>
        <x:v>0</x:v>
      </x:c>
      <x:c r="AF37" s="442">
        <x:f t="shared" si="17"/>
        <x:v>0</x:v>
      </x:c>
      <x:c r="AG37" s="442">
        <x:f t="shared" si="18"/>
        <x:v>0</x:v>
      </x:c>
      <x:c r="AH37" s="443">
        <x:f t="shared" si="19"/>
        <x:v>0</x:v>
      </x:c>
      <x:c r="AI37" s="444" t="b">
        <x:v>0</x:v>
      </x:c>
      <x:c r="AJ37" s="238">
        <x:f t="shared" si="20"/>
        <x:v>0</x:v>
      </x:c>
      <x:c r="AK37" s="830" t="str">
        <x:f t="shared" si="21"/>
        <x:v/>
      </x:c>
      <x:c r="AL37" s="945" t="str">
        <x:f t="shared" si="22"/>
        <x:v/>
      </x:c>
      <x:c r="AM37" s="830" t="str">
        <x:f t="shared" si="23"/>
        <x:v/>
      </x:c>
      <x:c r="AN37" s="830" t="str">
        <x:f t="shared" si="24"/>
        <x:v/>
      </x:c>
      <x:c r="AO37" s="830" t="str">
        <x:f t="shared" si="25"/>
        <x:v/>
      </x:c>
      <x:c r="AP37" s="830" t="b">
        <x:f>IF(ISERROR(AJ37),FALSE,IF(OR(AJ37=0,ISERROR(AL37),ISERROR(AM37),ISERROR(AN37),ISERROR(AO37)),FALSE,IF(AL37&lt;&gt;"",IF(ISERROR(VLOOKUP(SUBSTITUTE(SUBSTITUTE(C37,"R",""),"A",""),TblJoistSize!$A:$A,1,FALSE)),FALSE,TRUE),TRUE)))</x:f>
        <x:v>0</x:v>
      </x:c>
      <x:c r="AQ37" s="1038" t="e">
        <x:f t="shared" si="26"/>
        <x:v>#N/A</x:v>
      </x:c>
      <x:c r="AR37" s="945" t="b">
        <x:f t="shared" si="27"/>
        <x:v>0</x:v>
      </x:c>
      <x:c r="AS37" s="1038" t="e">
        <x:f t="shared" si="28"/>
        <x:v>#N/A</x:v>
      </x:c>
      <x:c r="AT37" s="945" t="b">
        <x:f t="shared" si="29"/>
        <x:v>0</x:v>
      </x:c>
      <x:c r="AU37" s="946" t="str">
        <x:f t="shared" si="30"/>
        <x:v/>
      </x:c>
      <x:c r="AV37" s="830" t="str">
        <x:f t="shared" si="31"/>
        <x:v/>
      </x:c>
      <x:c r="AW37" s="830" t="str">
        <x:f t="shared" si="32"/>
        <x:v/>
      </x:c>
      <x:c r="AX37" s="830" t="str">
        <x:f t="shared" si="106"/>
        <x:v/>
      </x:c>
      <x:c r="AY37" s="1039" t="b">
        <x:f t="shared" si="33"/>
        <x:v>0</x:v>
      </x:c>
      <x:c r="AZ37" s="856" t="str">
        <x:f t="shared" si="34"/>
        <x:v/>
      </x:c>
      <x:c r="BA37" s="549"/>
      <x:c r="BB37" s="672"/>
      <x:c r="BC37" s="1684"/>
      <x:c r="BD37" s="733"/>
      <x:c r="BE37" s="734"/>
      <x:c r="BF37" s="735"/>
      <x:c r="BG37" s="672"/>
      <x:c r="BH37" s="982"/>
      <x:c r="BI37" s="983"/>
      <x:c r="BJ37" s="1625"/>
      <x:c r="BK37" s="713"/>
      <x:c r="BL37" s="714"/>
      <x:c r="BM37" s="715"/>
      <x:c r="BN37" s="716"/>
      <x:c r="BO37" s="672" t="str">
        <x:f>IF(ISERROR(CU37),"",IF(CU37="","",IF(VLOOKUP(BG37,SectInfo!$B:$N,10,FALSE)="","","X")))</x:f>
        <x:v/>
      </x:c>
      <x:c r="BP37" s="738"/>
      <x:c r="BQ37" s="1551" t="str">
        <x:f t="shared" si="35"/>
        <x:v/>
      </x:c>
      <x:c r="BR37" s="910"/>
      <x:c r="BS37" s="672"/>
      <x:c r="BT37" s="713"/>
      <x:c r="BU37" s="714"/>
      <x:c r="BV37" s="1625"/>
      <x:c r="BW37" s="713"/>
      <x:c r="BX37" s="714"/>
      <x:c r="BY37" s="715"/>
      <x:c r="BZ37" s="716"/>
      <x:c r="CA37" s="680" t="str">
        <x:f>IF(ISERROR(DE37),"",IF(DE37="","",IF(VLOOKUP(BS37,SectInfo!$B:$N,10,FALSE)="","","X")))</x:f>
        <x:v/>
      </x:c>
      <x:c r="CB37" s="738"/>
      <x:c r="CC37" s="1551" t="str">
        <x:f t="shared" si="36"/>
        <x:v/>
      </x:c>
      <x:c r="CD37" s="910"/>
      <x:c r="CE37" s="717"/>
      <x:c r="CF37" s="736"/>
      <x:c r="CG37" s="737"/>
      <x:c r="CH37" s="591" t="str">
        <x:f t="shared" si="37"/>
        <x:v/>
      </x:c>
      <x:c r="CI37" s="592" t="str">
        <x:f t="shared" si="38"/>
        <x:v/>
      </x:c>
      <x:c r="CJ37" s="593" t="str">
        <x:f t="shared" si="39"/>
        <x:v/>
      </x:c>
      <x:c r="CK37" s="594" t="str">
        <x:f t="shared" si="40"/>
        <x:v/>
      </x:c>
      <x:c r="CL37" s="595" t="str">
        <x:f t="shared" si="41"/>
        <x:v/>
      </x:c>
      <x:c r="CM37" s="596" t="str">
        <x:f t="shared" si="42"/>
        <x:v/>
      </x:c>
      <x:c r="CN37" s="597" t="str">
        <x:f t="shared" si="43"/>
        <x:v/>
      </x:c>
      <x:c r="CO37" s="598" t="str">
        <x:f t="shared" si="44"/>
        <x:v/>
      </x:c>
      <x:c r="CP37" s="615" t="str">
        <x:f t="shared" si="45"/>
        <x:v/>
      </x:c>
      <x:c r="CQ37" s="616" t="str">
        <x:f t="shared" si="46"/>
        <x:v/>
      </x:c>
      <x:c r="CR37" s="750" t="str">
        <x:f t="shared" si="47"/>
        <x:v/>
      </x:c>
      <x:c r="CS37" s="751" t="str">
        <x:f t="shared" si="48"/>
        <x:v/>
      </x:c>
      <x:c r="CU37" s="817" t="str">
        <x:f>IF(BG37="","",VLOOKUP(BG37,SectInfo!$B:$N,12,FALSE))</x:f>
        <x:v/>
      </x:c>
      <x:c r="CV37" s="815" t="str">
        <x:f>IF(BG37="","",IF(ISBLANK(BP37),VLOOKUP(BG37,SectInfo!$B:$N,13,FALSE),BP37))</x:f>
        <x:v/>
      </x:c>
      <x:c r="CW37" s="8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8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49"/>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50"/>
        <x:v>0</x:v>
      </x:c>
      <x:c r="DO37" s="818">
        <x:f t="shared" si="51"/>
        <x:v>0</x:v>
      </x:c>
      <x:c r="DP37" s="822" t="str">
        <x:f t="shared" si="52"/>
        <x:v/>
      </x:c>
      <x:c r="DQ37" s="822" t="str">
        <x:f t="shared" si="53"/>
        <x:v/>
      </x:c>
      <x:c r="DR37" s="822" t="str">
        <x:f t="shared" si="54"/>
        <x:v/>
      </x:c>
      <x:c r="DS37" s="821">
        <x:f t="shared" si="55"/>
        <x:v>0</x:v>
      </x:c>
      <x:c r="DT37" s="821">
        <x:f t="shared" si="56"/>
        <x:v>0</x:v>
      </x:c>
      <x:c r="DU37" s="821" t="str">
        <x:f t="shared" si="57"/>
        <x:v/>
      </x:c>
      <x:c r="DV37" s="822" t="str">
        <x:f t="shared" si="58"/>
        <x:v/>
      </x:c>
      <x:c r="DW37" s="856" t="str">
        <x:f t="shared" si="59"/>
        <x:v/>
      </x:c>
      <x:c r="DX37" s="1006">
        <x:f t="shared" si="60"/>
        <x:v>0</x:v>
      </x:c>
      <x:c r="DY37" s="822">
        <x:f t="shared" si="61"/>
        <x:v>0</x:v>
      </x:c>
      <x:c r="DZ37" s="821">
        <x:f t="shared" si="62"/>
        <x:v>0</x:v>
      </x:c>
      <x:c r="EA37" s="821" t="str">
        <x:f t="shared" si="63"/>
        <x:v/>
      </x:c>
      <x:c r="EB37" s="822" t="str">
        <x:f t="shared" si="64"/>
        <x:v/>
      </x:c>
      <x:c r="EC37" s="856" t="str">
        <x:f t="shared" si="65"/>
        <x:v/>
      </x:c>
      <x:c r="ED37" s="1006">
        <x:f t="shared" si="66"/>
        <x:v>0</x:v>
      </x:c>
      <x:c r="EE37" s="1293" t="str">
        <x:f t="shared" si="67"/>
        <x:v/>
      </x:c>
      <x:c r="EF37" s="1293" t="str">
        <x:f t="shared" si="68"/>
        <x:v/>
      </x:c>
      <x:c r="EG37" s="1293" t="str">
        <x:f t="shared" si="69"/>
        <x:v/>
      </x:c>
      <x:c r="EH37" s="856" t="e">
        <x:f t="shared" si="70"/>
        <x:v>#N/A</x:v>
      </x:c>
      <x:c r="EI37" s="856" t="e">
        <x:f t="shared" si="71"/>
        <x:v>#N/A</x:v>
      </x:c>
      <x:c r="EJ37" s="822" t="str">
        <x:f t="shared" si="72"/>
        <x:v/>
      </x:c>
      <x:c r="EK37" s="822" t="str">
        <x:f t="shared" si="72"/>
        <x:v/>
      </x:c>
      <x:c r="EL37" s="1293" t="str">
        <x:f t="shared" si="73"/>
        <x:v/>
      </x:c>
      <x:c r="EM37" s="822" t="str">
        <x:f t="shared" si="74"/>
        <x:v/>
      </x:c>
      <x:c r="EN37" s="822" t="str">
        <x:f t="shared" si="75"/>
        <x:v/>
      </x:c>
      <x:c r="EO37" s="856" t="e">
        <x:f t="shared" si="76"/>
        <x:v>#N/A</x:v>
      </x:c>
      <x:c r="EP37" s="856" t="e">
        <x:f t="shared" si="77"/>
        <x:v>#N/A</x:v>
      </x:c>
      <x:c r="EQ37" s="1293" t="str">
        <x:f t="shared" si="78"/>
        <x:v/>
      </x:c>
      <x:c r="ER37" s="822" t="str">
        <x:f t="shared" si="78"/>
        <x:v/>
      </x:c>
      <x:c r="ES37" s="822" t="str">
        <x:f t="shared" si="79"/>
        <x:v/>
      </x:c>
      <x:c r="ET37" s="822" t="str">
        <x:f t="shared" si="80"/>
        <x:v/>
      </x:c>
      <x:c r="EU37" s="829" t="str">
        <x:f t="shared" si="81"/>
        <x:v/>
      </x:c>
      <x:c r="EV37" s="824" t="str">
        <x:f t="shared" si="82"/>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83"/>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84"/>
        <x:v/>
      </x:c>
      <x:c r="FD37" s="821">
        <x:f t="shared" si="107"/>
        <x:v>0</x:v>
      </x:c>
      <x:c r="FE37" s="821">
        <x:f t="shared" si="85"/>
        <x:v>0</x:v>
      </x:c>
      <x:c r="FF37" s="821">
        <x:f t="shared" si="86"/>
        <x:v>0</x:v>
      </x:c>
      <x:c r="FG37" s="821" t="str">
        <x:f t="shared" si="87"/>
        <x:v/>
      </x:c>
      <x:c r="FH37" s="822" t="str">
        <x:f t="shared" si="88"/>
        <x:v/>
      </x:c>
      <x:c r="FI37" s="821">
        <x:f t="shared" si="108"/>
        <x:v>0</x:v>
      </x:c>
      <x:c r="FJ37" s="821">
        <x:f t="shared" si="89"/>
        <x:v>0</x:v>
      </x:c>
      <x:c r="FK37" s="821">
        <x:f t="shared" si="90"/>
        <x:v>0</x:v>
      </x:c>
      <x:c r="FL37" s="821" t="str">
        <x:f t="shared" si="91"/>
        <x:v/>
      </x:c>
      <x:c r="FM37" s="822" t="str">
        <x:f t="shared" si="92"/>
        <x:v/>
      </x:c>
      <x:c r="FN37" s="822" t="e">
        <x:f t="shared" si="93"/>
        <x:v>#VALUE!</x:v>
      </x:c>
      <x:c r="FO37" s="940" t="e">
        <x:f t="shared" si="94"/>
        <x:v>#VALUE!</x:v>
      </x:c>
      <x:c r="FP37" s="940" t="e">
        <x:f t="shared" si="95"/>
        <x:v>#VALUE!</x:v>
      </x:c>
      <x:c r="FQ37" s="830" t="e">
        <x:f t="shared" si="96"/>
        <x:v>#VALUE!</x:v>
      </x:c>
      <x:c r="FR37" s="831" t="e">
        <x:f t="shared" si="97"/>
        <x:v>#VALUE!</x:v>
      </x:c>
      <x:c r="FS37" s="832" t="str">
        <x:f t="shared" si="98"/>
        <x:v/>
      </x:c>
      <x:c r="FT37" s="833" t="str">
        <x:f t="shared" si="99"/>
        <x:v/>
      </x:c>
      <x:c r="FU37" s="870">
        <x:f t="shared" si="100"/>
        <x:v>0</x:v>
      </x:c>
      <x:c r="FV37" s="871">
        <x:f t="shared" si="101"/>
        <x:v>0</x:v>
      </x:c>
      <x:c r="GA37" s="1791" t="str">
        <x:f t="shared" si="119"/>
        <x:v/>
      </x:c>
      <x:c r="GB37" s="1792" t="str">
        <x:f t="shared" si="120"/>
        <x:v/>
      </x:c>
      <x:c r="GC37" s="1793" t="str">
        <x:f t="shared" si="121"/>
        <x:v/>
      </x:c>
      <x:c r="GD37" s="1794" t="str">
        <x:f t="shared" si="122"/>
        <x:v/>
      </x:c>
      <x:c r="GE37" s="1795" t="str">
        <x:f t="shared" si="102"/>
        <x:v/>
      </x:c>
      <x:c r="GF37" s="600" t="str">
        <x:f t="shared" si="103"/>
        <x:v/>
      </x:c>
      <x:c r="GG37" s="1130"/>
      <x:c r="GH37" s="1131"/>
      <x:c r="GI37" s="1130"/>
      <x:c r="GJ37" s="1131"/>
      <x:c r="GK37" s="1638">
        <x:f t="shared" si="104"/>
        <x:v>0</x:v>
      </x:c>
      <x:c r="GL37" s="1636" t="e">
        <x:f t="shared" si="105"/>
        <x:v>#VALUE!</x:v>
      </x:c>
      <x:c r="GM37" s="1637" t="e">
        <x:f>IF(ABS(GK37-GL37)&gt;='Job Info.'!$L$22,ABS(GK37-GL37),0)</x:f>
        <x:v>#VALUE!</x:v>
      </x:c>
      <x:c r="HA37" s="1269"/>
      <x:c r="HB37" s="1270"/>
      <x:c r="HC37" s="1270"/>
      <x:c r="HD37" s="1271"/>
      <x:c r="HE37" s="1272"/>
      <x:c r="HF37" s="1270"/>
      <x:c r="HG37" s="1270"/>
      <x:c r="HH37" s="1270"/>
      <x:c r="HI37" s="1273"/>
      <x:c r="HJ37" s="1270"/>
      <x:c r="HK37" s="1270"/>
      <x:c r="HL37" s="1270"/>
      <x:c r="HM37" s="1270"/>
      <x:c r="HN37" s="1270"/>
      <x:c r="HO37" s="1270"/>
      <x:c r="HP37" s="1270"/>
      <x:c r="HQ37" s="1273"/>
      <x:c r="HR37" s="1270"/>
      <x:c r="HS37" s="1270"/>
      <x:c r="HT37" s="1270"/>
      <x:c r="HU37" s="1270"/>
      <x:c r="HV37" s="1270"/>
      <x:c r="HW37" s="1272"/>
      <x:c r="HX37" s="1272"/>
      <x:c r="HY37" s="1272"/>
      <x:c r="HZ37" s="1272"/>
      <x:c r="IA37" s="1272"/>
      <x:c r="IB37" s="1272"/>
      <x:c r="IC37" s="1272"/>
      <x:c r="ID37" s="1272"/>
      <x:c r="IE37" s="1272"/>
      <x:c r="IF37" s="1274"/>
    </x:row>
    <x:row r="38" spans="1:240" ht="12.6" customHeight="1" x14ac:dyDescent="0.25">
      <x:c r="A38" s="2764" t="str">
        <x:f t="shared" si="109"/>
        <x:v/>
      </x:c>
      <x:c r="B38" s="2765"/>
      <x:c r="C38" s="2766" t="str">
        <x:f t="shared" si="110"/>
        <x:v/>
      </x:c>
      <x:c r="D38" s="2767" t="str">
        <x:f t="shared" si="111"/>
        <x:v/>
      </x:c>
      <x:c r="E38" s="2768" t="str">
        <x:f t="shared" si="112"/>
        <x:v/>
      </x:c>
      <x:c r="F38" s="2776" t="str">
        <x:f t="shared" si="1"/>
        <x:v/>
      </x:c>
      <x:c r="G38" s="2771" t="str">
        <x:f t="shared" si="2"/>
        <x:v/>
      </x:c>
      <x:c r="H38" s="2842" t="str">
        <x:f t="shared" si="3"/>
        <x:v/>
      </x:c>
      <x:c r="I38" s="2767" t="str">
        <x:f t="shared" si="4"/>
        <x:v/>
      </x:c>
      <x:c r="J38" s="2771" t="str">
        <x:f t="shared" si="5"/>
        <x:v/>
      </x:c>
      <x:c r="K38" s="2855" t="str">
        <x:f t="shared" si="6"/>
        <x:v/>
      </x:c>
      <x:c r="L38" s="2774" t="str">
        <x:f t="shared" si="113"/>
        <x:v/>
      </x:c>
      <x:c r="M38" s="2775" t="str">
        <x:f t="shared" si="113"/>
        <x:v/>
      </x:c>
      <x:c r="N38" s="2770" t="str">
        <x:f t="shared" si="7"/>
        <x:v/>
      </x:c>
      <x:c r="O38" s="2771" t="str">
        <x:f t="shared" si="8"/>
        <x:v/>
      </x:c>
      <x:c r="P38" s="2772" t="str">
        <x:f t="shared" si="9"/>
        <x:v/>
      </x:c>
      <x:c r="Q38" s="2767" t="str">
        <x:f t="shared" si="10"/>
        <x:v/>
      </x:c>
      <x:c r="R38" s="2771" t="str">
        <x:f t="shared" si="11"/>
        <x:v/>
      </x:c>
      <x:c r="S38" s="2773" t="str">
        <x:f t="shared" si="12"/>
        <x:v/>
      </x:c>
      <x:c r="T38" s="2776" t="str">
        <x:f t="shared" si="114"/>
        <x:v/>
      </x:c>
      <x:c r="U38" s="2771" t="str">
        <x:f t="shared" si="115"/>
        <x:v/>
      </x:c>
      <x:c r="V38" s="2767" t="str">
        <x:f t="shared" si="116"/>
        <x:v/>
      </x:c>
      <x:c r="W38" s="2771" t="str">
        <x:f t="shared" si="117"/>
        <x:v/>
      </x:c>
      <x:c r="X38" s="2775">
        <x:f t="shared" si="118"/>
        <x:v>0</x:v>
      </x:c>
      <x:c r="Y38" s="2844" t="str">
        <x:f t="shared" si="13"/>
        <x:v/>
      </x:c>
      <x:c r="Z38" s="2845" t="str">
        <x:f t="shared" si="14"/>
        <x:v/>
      </x:c>
      <x:c r="AA38" s="2846" t="s">
        <x:v>116</x:v>
      </x:c>
      <x:c r="AB38" s="1413"/>
      <x:c r="AC38" s="964" t="b">
        <x:v>0</x:v>
      </x:c>
      <x:c r="AD38" s="441">
        <x:f t="shared" si="15"/>
        <x:v>0</x:v>
      </x:c>
      <x:c r="AE38" s="442">
        <x:f t="shared" si="16"/>
        <x:v>0</x:v>
      </x:c>
      <x:c r="AF38" s="442">
        <x:f t="shared" si="17"/>
        <x:v>0</x:v>
      </x:c>
      <x:c r="AG38" s="442">
        <x:f t="shared" si="18"/>
        <x:v>0</x:v>
      </x:c>
      <x:c r="AH38" s="443">
        <x:f t="shared" si="19"/>
        <x:v>0</x:v>
      </x:c>
      <x:c r="AI38" s="444" t="b">
        <x:v>0</x:v>
      </x:c>
      <x:c r="AJ38" s="238">
        <x:f t="shared" si="20"/>
        <x:v>0</x:v>
      </x:c>
      <x:c r="AK38" s="830" t="str">
        <x:f t="shared" si="21"/>
        <x:v/>
      </x:c>
      <x:c r="AL38" s="945" t="str">
        <x:f t="shared" si="22"/>
        <x:v/>
      </x:c>
      <x:c r="AM38" s="830" t="str">
        <x:f t="shared" si="23"/>
        <x:v/>
      </x:c>
      <x:c r="AN38" s="830" t="str">
        <x:f t="shared" si="24"/>
        <x:v/>
      </x:c>
      <x:c r="AO38" s="830" t="str">
        <x:f t="shared" si="25"/>
        <x:v/>
      </x:c>
      <x:c r="AP38" s="830" t="b">
        <x:f>IF(ISERROR(AJ38),FALSE,IF(OR(AJ38=0,ISERROR(AL38),ISERROR(AM38),ISERROR(AN38),ISERROR(AO38)),FALSE,IF(AL38&lt;&gt;"",IF(ISERROR(VLOOKUP(SUBSTITUTE(SUBSTITUTE(C38,"R",""),"A",""),TblJoistSize!$A:$A,1,FALSE)),FALSE,TRUE),TRUE)))</x:f>
        <x:v>0</x:v>
      </x:c>
      <x:c r="AQ38" s="1038" t="e">
        <x:f t="shared" si="26"/>
        <x:v>#N/A</x:v>
      </x:c>
      <x:c r="AR38" s="945" t="b">
        <x:f t="shared" si="27"/>
        <x:v>0</x:v>
      </x:c>
      <x:c r="AS38" s="1038" t="e">
        <x:f t="shared" si="28"/>
        <x:v>#N/A</x:v>
      </x:c>
      <x:c r="AT38" s="945" t="b">
        <x:f t="shared" si="29"/>
        <x:v>0</x:v>
      </x:c>
      <x:c r="AU38" s="946" t="str">
        <x:f t="shared" si="30"/>
        <x:v/>
      </x:c>
      <x:c r="AV38" s="830" t="str">
        <x:f t="shared" si="31"/>
        <x:v/>
      </x:c>
      <x:c r="AW38" s="830" t="str">
        <x:f t="shared" si="32"/>
        <x:v/>
      </x:c>
      <x:c r="AX38" s="830" t="str">
        <x:f t="shared" si="106"/>
        <x:v/>
      </x:c>
      <x:c r="AY38" s="1039" t="b">
        <x:f t="shared" si="33"/>
        <x:v>0</x:v>
      </x:c>
      <x:c r="AZ38" s="856" t="str">
        <x:f t="shared" si="34"/>
        <x:v/>
      </x:c>
      <x:c r="BA38" s="549"/>
      <x:c r="BB38" s="672"/>
      <x:c r="BC38" s="1684"/>
      <x:c r="BD38" s="733"/>
      <x:c r="BE38" s="734"/>
      <x:c r="BF38" s="735"/>
      <x:c r="BG38" s="672"/>
      <x:c r="BH38" s="982"/>
      <x:c r="BI38" s="983"/>
      <x:c r="BJ38" s="1625"/>
      <x:c r="BK38" s="713"/>
      <x:c r="BL38" s="714"/>
      <x:c r="BM38" s="715"/>
      <x:c r="BN38" s="716"/>
      <x:c r="BO38" s="672" t="str">
        <x:f>IF(ISERROR(CU38),"",IF(CU38="","",IF(VLOOKUP(BG38,SectInfo!$B:$N,10,FALSE)="","","X")))</x:f>
        <x:v/>
      </x:c>
      <x:c r="BP38" s="738"/>
      <x:c r="BQ38" s="1551" t="str">
        <x:f t="shared" si="35"/>
        <x:v/>
      </x:c>
      <x:c r="BR38" s="910"/>
      <x:c r="BS38" s="672"/>
      <x:c r="BT38" s="713"/>
      <x:c r="BU38" s="714"/>
      <x:c r="BV38" s="1625"/>
      <x:c r="BW38" s="713"/>
      <x:c r="BX38" s="714"/>
      <x:c r="BY38" s="715"/>
      <x:c r="BZ38" s="716"/>
      <x:c r="CA38" s="680" t="str">
        <x:f>IF(ISERROR(DE38),"",IF(DE38="","",IF(VLOOKUP(BS38,SectInfo!$B:$N,10,FALSE)="","","X")))</x:f>
        <x:v/>
      </x:c>
      <x:c r="CB38" s="738"/>
      <x:c r="CC38" s="1551" t="str">
        <x:f t="shared" si="36"/>
        <x:v/>
      </x:c>
      <x:c r="CD38" s="910"/>
      <x:c r="CE38" s="717"/>
      <x:c r="CF38" s="736"/>
      <x:c r="CG38" s="737"/>
      <x:c r="CH38" s="591" t="str">
        <x:f t="shared" si="37"/>
        <x:v/>
      </x:c>
      <x:c r="CI38" s="592" t="str">
        <x:f t="shared" si="38"/>
        <x:v/>
      </x:c>
      <x:c r="CJ38" s="593" t="str">
        <x:f t="shared" si="39"/>
        <x:v/>
      </x:c>
      <x:c r="CK38" s="594" t="str">
        <x:f t="shared" si="40"/>
        <x:v/>
      </x:c>
      <x:c r="CL38" s="595" t="str">
        <x:f t="shared" si="41"/>
        <x:v/>
      </x:c>
      <x:c r="CM38" s="596" t="str">
        <x:f t="shared" si="42"/>
        <x:v/>
      </x:c>
      <x:c r="CN38" s="597" t="str">
        <x:f t="shared" si="43"/>
        <x:v/>
      </x:c>
      <x:c r="CO38" s="598" t="str">
        <x:f t="shared" si="44"/>
        <x:v/>
      </x:c>
      <x:c r="CP38" s="615" t="str">
        <x:f t="shared" si="45"/>
        <x:v/>
      </x:c>
      <x:c r="CQ38" s="616" t="str">
        <x:f t="shared" si="46"/>
        <x:v/>
      </x:c>
      <x:c r="CR38" s="750" t="str">
        <x:f t="shared" si="47"/>
        <x:v/>
      </x:c>
      <x:c r="CS38" s="751" t="str">
        <x:f t="shared" si="48"/>
        <x:v/>
      </x:c>
      <x:c r="CU38" s="817" t="str">
        <x:f>IF(BG38="","",VLOOKUP(BG38,SectInfo!$B:$N,12,FALSE))</x:f>
        <x:v/>
      </x:c>
      <x:c r="CV38" s="815" t="str">
        <x:f>IF(BG38="","",IF(ISBLANK(BP38),VLOOKUP(BG38,SectInfo!$B:$N,13,FALSE),BP38))</x:f>
        <x:v/>
      </x:c>
      <x:c r="CW38" s="8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8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49"/>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50"/>
        <x:v>0</x:v>
      </x:c>
      <x:c r="DO38" s="818">
        <x:f t="shared" si="51"/>
        <x:v>0</x:v>
      </x:c>
      <x:c r="DP38" s="822" t="str">
        <x:f t="shared" si="52"/>
        <x:v/>
      </x:c>
      <x:c r="DQ38" s="822" t="str">
        <x:f t="shared" si="53"/>
        <x:v/>
      </x:c>
      <x:c r="DR38" s="822" t="str">
        <x:f t="shared" si="54"/>
        <x:v/>
      </x:c>
      <x:c r="DS38" s="821">
        <x:f t="shared" si="55"/>
        <x:v>0</x:v>
      </x:c>
      <x:c r="DT38" s="821">
        <x:f t="shared" si="56"/>
        <x:v>0</x:v>
      </x:c>
      <x:c r="DU38" s="821" t="str">
        <x:f t="shared" si="57"/>
        <x:v/>
      </x:c>
      <x:c r="DV38" s="822" t="str">
        <x:f t="shared" si="58"/>
        <x:v/>
      </x:c>
      <x:c r="DW38" s="856" t="str">
        <x:f t="shared" si="59"/>
        <x:v/>
      </x:c>
      <x:c r="DX38" s="1006">
        <x:f t="shared" si="60"/>
        <x:v>0</x:v>
      </x:c>
      <x:c r="DY38" s="822">
        <x:f t="shared" si="61"/>
        <x:v>0</x:v>
      </x:c>
      <x:c r="DZ38" s="821">
        <x:f t="shared" si="62"/>
        <x:v>0</x:v>
      </x:c>
      <x:c r="EA38" s="821" t="str">
        <x:f t="shared" si="63"/>
        <x:v/>
      </x:c>
      <x:c r="EB38" s="822" t="str">
        <x:f t="shared" si="64"/>
        <x:v/>
      </x:c>
      <x:c r="EC38" s="856" t="str">
        <x:f t="shared" si="65"/>
        <x:v/>
      </x:c>
      <x:c r="ED38" s="1006">
        <x:f t="shared" si="66"/>
        <x:v>0</x:v>
      </x:c>
      <x:c r="EE38" s="1293" t="str">
        <x:f t="shared" si="67"/>
        <x:v/>
      </x:c>
      <x:c r="EF38" s="1293" t="str">
        <x:f t="shared" si="68"/>
        <x:v/>
      </x:c>
      <x:c r="EG38" s="1293" t="str">
        <x:f t="shared" si="69"/>
        <x:v/>
      </x:c>
      <x:c r="EH38" s="856" t="e">
        <x:f t="shared" si="70"/>
        <x:v>#N/A</x:v>
      </x:c>
      <x:c r="EI38" s="856" t="e">
        <x:f t="shared" si="71"/>
        <x:v>#N/A</x:v>
      </x:c>
      <x:c r="EJ38" s="822" t="str">
        <x:f t="shared" si="72"/>
        <x:v/>
      </x:c>
      <x:c r="EK38" s="822" t="str">
        <x:f t="shared" si="72"/>
        <x:v/>
      </x:c>
      <x:c r="EL38" s="1293" t="str">
        <x:f t="shared" si="73"/>
        <x:v/>
      </x:c>
      <x:c r="EM38" s="822" t="str">
        <x:f t="shared" si="74"/>
        <x:v/>
      </x:c>
      <x:c r="EN38" s="822" t="str">
        <x:f t="shared" si="75"/>
        <x:v/>
      </x:c>
      <x:c r="EO38" s="856" t="e">
        <x:f t="shared" si="76"/>
        <x:v>#N/A</x:v>
      </x:c>
      <x:c r="EP38" s="856" t="e">
        <x:f t="shared" si="77"/>
        <x:v>#N/A</x:v>
      </x:c>
      <x:c r="EQ38" s="1293" t="str">
        <x:f t="shared" si="78"/>
        <x:v/>
      </x:c>
      <x:c r="ER38" s="822" t="str">
        <x:f t="shared" si="78"/>
        <x:v/>
      </x:c>
      <x:c r="ES38" s="822" t="str">
        <x:f t="shared" si="79"/>
        <x:v/>
      </x:c>
      <x:c r="ET38" s="822" t="str">
        <x:f t="shared" si="80"/>
        <x:v/>
      </x:c>
      <x:c r="EU38" s="829" t="str">
        <x:f t="shared" si="81"/>
        <x:v/>
      </x:c>
      <x:c r="EV38" s="824" t="str">
        <x:f t="shared" si="82"/>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83"/>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84"/>
        <x:v/>
      </x:c>
      <x:c r="FD38" s="821">
        <x:f t="shared" si="107"/>
        <x:v>0</x:v>
      </x:c>
      <x:c r="FE38" s="821">
        <x:f t="shared" si="85"/>
        <x:v>0</x:v>
      </x:c>
      <x:c r="FF38" s="821">
        <x:f t="shared" si="86"/>
        <x:v>0</x:v>
      </x:c>
      <x:c r="FG38" s="821" t="str">
        <x:f t="shared" si="87"/>
        <x:v/>
      </x:c>
      <x:c r="FH38" s="822" t="str">
        <x:f t="shared" si="88"/>
        <x:v/>
      </x:c>
      <x:c r="FI38" s="821">
        <x:f t="shared" si="108"/>
        <x:v>0</x:v>
      </x:c>
      <x:c r="FJ38" s="821">
        <x:f t="shared" si="89"/>
        <x:v>0</x:v>
      </x:c>
      <x:c r="FK38" s="821">
        <x:f t="shared" si="90"/>
        <x:v>0</x:v>
      </x:c>
      <x:c r="FL38" s="821" t="str">
        <x:f t="shared" si="91"/>
        <x:v/>
      </x:c>
      <x:c r="FM38" s="822" t="str">
        <x:f t="shared" si="92"/>
        <x:v/>
      </x:c>
      <x:c r="FN38" s="822" t="e">
        <x:f t="shared" si="93"/>
        <x:v>#VALUE!</x:v>
      </x:c>
      <x:c r="FO38" s="940" t="e">
        <x:f t="shared" si="94"/>
        <x:v>#VALUE!</x:v>
      </x:c>
      <x:c r="FP38" s="940" t="e">
        <x:f t="shared" si="95"/>
        <x:v>#VALUE!</x:v>
      </x:c>
      <x:c r="FQ38" s="830" t="e">
        <x:f t="shared" si="96"/>
        <x:v>#VALUE!</x:v>
      </x:c>
      <x:c r="FR38" s="831" t="e">
        <x:f t="shared" si="97"/>
        <x:v>#VALUE!</x:v>
      </x:c>
      <x:c r="FS38" s="832" t="str">
        <x:f t="shared" si="98"/>
        <x:v/>
      </x:c>
      <x:c r="FT38" s="833" t="str">
        <x:f t="shared" si="99"/>
        <x:v/>
      </x:c>
      <x:c r="FU38" s="870">
        <x:f t="shared" si="100"/>
        <x:v>0</x:v>
      </x:c>
      <x:c r="FV38" s="871">
        <x:f t="shared" si="101"/>
        <x:v>0</x:v>
      </x:c>
      <x:c r="GA38" s="1791" t="str">
        <x:f t="shared" si="119"/>
        <x:v/>
      </x:c>
      <x:c r="GB38" s="1792" t="str">
        <x:f t="shared" si="120"/>
        <x:v/>
      </x:c>
      <x:c r="GC38" s="1793" t="str">
        <x:f t="shared" si="121"/>
        <x:v/>
      </x:c>
      <x:c r="GD38" s="1794" t="str">
        <x:f t="shared" si="122"/>
        <x:v/>
      </x:c>
      <x:c r="GE38" s="1795" t="str">
        <x:f t="shared" si="102"/>
        <x:v/>
      </x:c>
      <x:c r="GF38" s="600" t="str">
        <x:f t="shared" si="103"/>
        <x:v/>
      </x:c>
      <x:c r="GG38" s="1130"/>
      <x:c r="GH38" s="1131"/>
      <x:c r="GI38" s="1130"/>
      <x:c r="GJ38" s="1131"/>
      <x:c r="GK38" s="1638">
        <x:f t="shared" si="104"/>
        <x:v>0</x:v>
      </x:c>
      <x:c r="GL38" s="1636" t="e">
        <x:f t="shared" si="105"/>
        <x:v>#VALUE!</x:v>
      </x:c>
      <x:c r="GM38" s="1637" t="e">
        <x:f>IF(ABS(GK38-GL38)&gt;='Job Info.'!$L$22,ABS(GK38-GL38),0)</x:f>
        <x:v>#VALUE!</x:v>
      </x:c>
      <x:c r="HA38" s="1269"/>
      <x:c r="HB38" s="1270"/>
      <x:c r="HC38" s="1270"/>
      <x:c r="HD38" s="1271"/>
      <x:c r="HE38" s="1272"/>
      <x:c r="HF38" s="1270"/>
      <x:c r="HG38" s="1270"/>
      <x:c r="HH38" s="1270"/>
      <x:c r="HI38" s="1273"/>
      <x:c r="HJ38" s="1270"/>
      <x:c r="HK38" s="1270"/>
      <x:c r="HL38" s="1270"/>
      <x:c r="HM38" s="1270"/>
      <x:c r="HN38" s="1270"/>
      <x:c r="HO38" s="1270"/>
      <x:c r="HP38" s="1270"/>
      <x:c r="HQ38" s="1273"/>
      <x:c r="HR38" s="1270"/>
      <x:c r="HS38" s="1270"/>
      <x:c r="HT38" s="1270"/>
      <x:c r="HU38" s="1270"/>
      <x:c r="HV38" s="1270"/>
      <x:c r="HW38" s="1272"/>
      <x:c r="HX38" s="1272"/>
      <x:c r="HY38" s="1272"/>
      <x:c r="HZ38" s="1272"/>
      <x:c r="IA38" s="1272"/>
      <x:c r="IB38" s="1272"/>
      <x:c r="IC38" s="1272"/>
      <x:c r="ID38" s="1272"/>
      <x:c r="IE38" s="1272"/>
      <x:c r="IF38" s="1274"/>
    </x:row>
    <x:row r="39" spans="1:240" ht="12.6" customHeight="1" x14ac:dyDescent="0.25">
      <x:c r="A39" s="2764" t="str">
        <x:f t="shared" si="109"/>
        <x:v/>
      </x:c>
      <x:c r="B39" s="2765"/>
      <x:c r="C39" s="2766" t="str">
        <x:f t="shared" si="110"/>
        <x:v/>
      </x:c>
      <x:c r="D39" s="2767" t="str">
        <x:f t="shared" si="111"/>
        <x:v/>
      </x:c>
      <x:c r="E39" s="2768" t="str">
        <x:f t="shared" si="112"/>
        <x:v/>
      </x:c>
      <x:c r="F39" s="2776" t="str">
        <x:f t="shared" si="1"/>
        <x:v/>
      </x:c>
      <x:c r="G39" s="2771" t="str">
        <x:f t="shared" si="2"/>
        <x:v/>
      </x:c>
      <x:c r="H39" s="2842" t="str">
        <x:f t="shared" si="3"/>
        <x:v/>
      </x:c>
      <x:c r="I39" s="2767" t="str">
        <x:f t="shared" si="4"/>
        <x:v/>
      </x:c>
      <x:c r="J39" s="2771" t="str">
        <x:f t="shared" si="5"/>
        <x:v/>
      </x:c>
      <x:c r="K39" s="2855" t="str">
        <x:f t="shared" si="6"/>
        <x:v/>
      </x:c>
      <x:c r="L39" s="2774" t="str">
        <x:f t="shared" si="113"/>
        <x:v/>
      </x:c>
      <x:c r="M39" s="2775" t="str">
        <x:f t="shared" si="113"/>
        <x:v/>
      </x:c>
      <x:c r="N39" s="2770" t="str">
        <x:f t="shared" si="7"/>
        <x:v/>
      </x:c>
      <x:c r="O39" s="2771" t="str">
        <x:f t="shared" si="8"/>
        <x:v/>
      </x:c>
      <x:c r="P39" s="2772" t="str">
        <x:f t="shared" si="9"/>
        <x:v/>
      </x:c>
      <x:c r="Q39" s="2767" t="str">
        <x:f t="shared" si="10"/>
        <x:v/>
      </x:c>
      <x:c r="R39" s="2771" t="str">
        <x:f t="shared" si="11"/>
        <x:v/>
      </x:c>
      <x:c r="S39" s="2773" t="str">
        <x:f t="shared" si="12"/>
        <x:v/>
      </x:c>
      <x:c r="T39" s="2776" t="str">
        <x:f t="shared" si="114"/>
        <x:v/>
      </x:c>
      <x:c r="U39" s="2771" t="str">
        <x:f t="shared" si="115"/>
        <x:v/>
      </x:c>
      <x:c r="V39" s="2767" t="str">
        <x:f t="shared" si="116"/>
        <x:v/>
      </x:c>
      <x:c r="W39" s="2771" t="str">
        <x:f t="shared" si="117"/>
        <x:v/>
      </x:c>
      <x:c r="X39" s="2775">
        <x:f t="shared" si="118"/>
        <x:v>0</x:v>
      </x:c>
      <x:c r="Y39" s="2844" t="str">
        <x:f t="shared" si="13"/>
        <x:v/>
      </x:c>
      <x:c r="Z39" s="2845" t="str">
        <x:f t="shared" si="14"/>
        <x:v/>
      </x:c>
      <x:c r="AA39" s="2846" t="s">
        <x:v>116</x:v>
      </x:c>
      <x:c r="AB39" s="1413"/>
      <x:c r="AC39" s="964" t="b">
        <x:v>0</x:v>
      </x:c>
      <x:c r="AD39" s="441">
        <x:f t="shared" si="15"/>
        <x:v>0</x:v>
      </x:c>
      <x:c r="AE39" s="442">
        <x:f t="shared" si="16"/>
        <x:v>0</x:v>
      </x:c>
      <x:c r="AF39" s="442">
        <x:f t="shared" si="17"/>
        <x:v>0</x:v>
      </x:c>
      <x:c r="AG39" s="442">
        <x:f t="shared" si="18"/>
        <x:v>0</x:v>
      </x:c>
      <x:c r="AH39" s="443">
        <x:f t="shared" si="19"/>
        <x:v>0</x:v>
      </x:c>
      <x:c r="AI39" s="444" t="b">
        <x:v>0</x:v>
      </x:c>
      <x:c r="AJ39" s="238">
        <x:f t="shared" si="20"/>
        <x:v>0</x:v>
      </x:c>
      <x:c r="AK39" s="830" t="str">
        <x:f t="shared" si="21"/>
        <x:v/>
      </x:c>
      <x:c r="AL39" s="945" t="str">
        <x:f t="shared" si="22"/>
        <x:v/>
      </x:c>
      <x:c r="AM39" s="830" t="str">
        <x:f t="shared" si="23"/>
        <x:v/>
      </x:c>
      <x:c r="AN39" s="830" t="str">
        <x:f t="shared" si="24"/>
        <x:v/>
      </x:c>
      <x:c r="AO39" s="830" t="str">
        <x:f t="shared" si="25"/>
        <x:v/>
      </x:c>
      <x:c r="AP39" s="830" t="b">
        <x:f>IF(ISERROR(AJ39),FALSE,IF(OR(AJ39=0,ISERROR(AL39),ISERROR(AM39),ISERROR(AN39),ISERROR(AO39)),FALSE,IF(AL39&lt;&gt;"",IF(ISERROR(VLOOKUP(SUBSTITUTE(SUBSTITUTE(C39,"R",""),"A",""),TblJoistSize!$A:$A,1,FALSE)),FALSE,TRUE),TRUE)))</x:f>
        <x:v>0</x:v>
      </x:c>
      <x:c r="AQ39" s="1038" t="e">
        <x:f t="shared" si="26"/>
        <x:v>#N/A</x:v>
      </x:c>
      <x:c r="AR39" s="945" t="b">
        <x:f t="shared" si="27"/>
        <x:v>0</x:v>
      </x:c>
      <x:c r="AS39" s="1038" t="e">
        <x:f t="shared" si="28"/>
        <x:v>#N/A</x:v>
      </x:c>
      <x:c r="AT39" s="945" t="b">
        <x:f t="shared" si="29"/>
        <x:v>0</x:v>
      </x:c>
      <x:c r="AU39" s="946" t="str">
        <x:f t="shared" si="30"/>
        <x:v/>
      </x:c>
      <x:c r="AV39" s="830" t="str">
        <x:f t="shared" si="31"/>
        <x:v/>
      </x:c>
      <x:c r="AW39" s="830" t="str">
        <x:f t="shared" si="32"/>
        <x:v/>
      </x:c>
      <x:c r="AX39" s="830" t="str">
        <x:f t="shared" si="106"/>
        <x:v/>
      </x:c>
      <x:c r="AY39" s="1039" t="b">
        <x:f t="shared" si="33"/>
        <x:v>0</x:v>
      </x:c>
      <x:c r="AZ39" s="856" t="str">
        <x:f t="shared" si="34"/>
        <x:v/>
      </x:c>
      <x:c r="BA39" s="549"/>
      <x:c r="BB39" s="672"/>
      <x:c r="BC39" s="1684"/>
      <x:c r="BD39" s="733"/>
      <x:c r="BE39" s="734"/>
      <x:c r="BF39" s="735"/>
      <x:c r="BG39" s="672"/>
      <x:c r="BH39" s="982"/>
      <x:c r="BI39" s="983"/>
      <x:c r="BJ39" s="1625"/>
      <x:c r="BK39" s="713"/>
      <x:c r="BL39" s="714"/>
      <x:c r="BM39" s="715"/>
      <x:c r="BN39" s="716"/>
      <x:c r="BO39" s="672" t="str">
        <x:f>IF(ISERROR(CU39),"",IF(CU39="","",IF(VLOOKUP(BG39,SectInfo!$B:$N,10,FALSE)="","","X")))</x:f>
        <x:v/>
      </x:c>
      <x:c r="BP39" s="738"/>
      <x:c r="BQ39" s="1551" t="str">
        <x:f t="shared" si="35"/>
        <x:v/>
      </x:c>
      <x:c r="BR39" s="910"/>
      <x:c r="BS39" s="672"/>
      <x:c r="BT39" s="713"/>
      <x:c r="BU39" s="714"/>
      <x:c r="BV39" s="1625"/>
      <x:c r="BW39" s="713"/>
      <x:c r="BX39" s="714"/>
      <x:c r="BY39" s="715"/>
      <x:c r="BZ39" s="716"/>
      <x:c r="CA39" s="680" t="str">
        <x:f>IF(ISERROR(DE39),"",IF(DE39="","",IF(VLOOKUP(BS39,SectInfo!$B:$N,10,FALSE)="","","X")))</x:f>
        <x:v/>
      </x:c>
      <x:c r="CB39" s="738"/>
      <x:c r="CC39" s="1551" t="str">
        <x:f t="shared" si="36"/>
        <x:v/>
      </x:c>
      <x:c r="CD39" s="910"/>
      <x:c r="CE39" s="717"/>
      <x:c r="CF39" s="736"/>
      <x:c r="CG39" s="737"/>
      <x:c r="CH39" s="591" t="str">
        <x:f t="shared" si="37"/>
        <x:v/>
      </x:c>
      <x:c r="CI39" s="592" t="str">
        <x:f t="shared" si="38"/>
        <x:v/>
      </x:c>
      <x:c r="CJ39" s="593" t="str">
        <x:f t="shared" si="39"/>
        <x:v/>
      </x:c>
      <x:c r="CK39" s="594" t="str">
        <x:f t="shared" si="40"/>
        <x:v/>
      </x:c>
      <x:c r="CL39" s="595" t="str">
        <x:f t="shared" si="41"/>
        <x:v/>
      </x:c>
      <x:c r="CM39" s="596" t="str">
        <x:f t="shared" si="42"/>
        <x:v/>
      </x:c>
      <x:c r="CN39" s="597" t="str">
        <x:f t="shared" si="43"/>
        <x:v/>
      </x:c>
      <x:c r="CO39" s="598" t="str">
        <x:f t="shared" si="44"/>
        <x:v/>
      </x:c>
      <x:c r="CP39" s="615" t="str">
        <x:f t="shared" si="45"/>
        <x:v/>
      </x:c>
      <x:c r="CQ39" s="616" t="str">
        <x:f t="shared" si="46"/>
        <x:v/>
      </x:c>
      <x:c r="CR39" s="750" t="str">
        <x:f t="shared" si="47"/>
        <x:v/>
      </x:c>
      <x:c r="CS39" s="751" t="str">
        <x:f t="shared" si="48"/>
        <x:v/>
      </x:c>
      <x:c r="CU39" s="817" t="str">
        <x:f>IF(BG39="","",VLOOKUP(BG39,SectInfo!$B:$N,12,FALSE))</x:f>
        <x:v/>
      </x:c>
      <x:c r="CV39" s="815" t="str">
        <x:f>IF(BG39="","",IF(ISBLANK(BP39),VLOOKUP(BG39,SectInfo!$B:$N,13,FALSE),BP39))</x:f>
        <x:v/>
      </x:c>
      <x:c r="CW39" s="8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8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49"/>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50"/>
        <x:v>0</x:v>
      </x:c>
      <x:c r="DO39" s="818">
        <x:f t="shared" si="51"/>
        <x:v>0</x:v>
      </x:c>
      <x:c r="DP39" s="822" t="str">
        <x:f t="shared" si="52"/>
        <x:v/>
      </x:c>
      <x:c r="DQ39" s="822" t="str">
        <x:f t="shared" si="53"/>
        <x:v/>
      </x:c>
      <x:c r="DR39" s="822" t="str">
        <x:f t="shared" si="54"/>
        <x:v/>
      </x:c>
      <x:c r="DS39" s="821">
        <x:f t="shared" si="55"/>
        <x:v>0</x:v>
      </x:c>
      <x:c r="DT39" s="821">
        <x:f t="shared" si="56"/>
        <x:v>0</x:v>
      </x:c>
      <x:c r="DU39" s="821" t="str">
        <x:f t="shared" si="57"/>
        <x:v/>
      </x:c>
      <x:c r="DV39" s="822" t="str">
        <x:f t="shared" si="58"/>
        <x:v/>
      </x:c>
      <x:c r="DW39" s="856" t="str">
        <x:f t="shared" si="59"/>
        <x:v/>
      </x:c>
      <x:c r="DX39" s="1006">
        <x:f t="shared" si="60"/>
        <x:v>0</x:v>
      </x:c>
      <x:c r="DY39" s="822">
        <x:f t="shared" si="61"/>
        <x:v>0</x:v>
      </x:c>
      <x:c r="DZ39" s="821">
        <x:f t="shared" si="62"/>
        <x:v>0</x:v>
      </x:c>
      <x:c r="EA39" s="821" t="str">
        <x:f t="shared" si="63"/>
        <x:v/>
      </x:c>
      <x:c r="EB39" s="822" t="str">
        <x:f t="shared" si="64"/>
        <x:v/>
      </x:c>
      <x:c r="EC39" s="856" t="str">
        <x:f t="shared" si="65"/>
        <x:v/>
      </x:c>
      <x:c r="ED39" s="1006">
        <x:f t="shared" si="66"/>
        <x:v>0</x:v>
      </x:c>
      <x:c r="EE39" s="1293" t="str">
        <x:f t="shared" si="67"/>
        <x:v/>
      </x:c>
      <x:c r="EF39" s="1293" t="str">
        <x:f t="shared" si="68"/>
        <x:v/>
      </x:c>
      <x:c r="EG39" s="1293" t="str">
        <x:f t="shared" si="69"/>
        <x:v/>
      </x:c>
      <x:c r="EH39" s="856" t="e">
        <x:f t="shared" si="70"/>
        <x:v>#N/A</x:v>
      </x:c>
      <x:c r="EI39" s="856" t="e">
        <x:f t="shared" si="71"/>
        <x:v>#N/A</x:v>
      </x:c>
      <x:c r="EJ39" s="822" t="str">
        <x:f t="shared" si="72"/>
        <x:v/>
      </x:c>
      <x:c r="EK39" s="822" t="str">
        <x:f t="shared" si="72"/>
        <x:v/>
      </x:c>
      <x:c r="EL39" s="1293" t="str">
        <x:f t="shared" si="73"/>
        <x:v/>
      </x:c>
      <x:c r="EM39" s="822" t="str">
        <x:f t="shared" si="74"/>
        <x:v/>
      </x:c>
      <x:c r="EN39" s="822" t="str">
        <x:f t="shared" si="75"/>
        <x:v/>
      </x:c>
      <x:c r="EO39" s="856" t="e">
        <x:f t="shared" si="76"/>
        <x:v>#N/A</x:v>
      </x:c>
      <x:c r="EP39" s="856" t="e">
        <x:f t="shared" si="77"/>
        <x:v>#N/A</x:v>
      </x:c>
      <x:c r="EQ39" s="1293" t="str">
        <x:f t="shared" si="78"/>
        <x:v/>
      </x:c>
      <x:c r="ER39" s="822" t="str">
        <x:f t="shared" si="78"/>
        <x:v/>
      </x:c>
      <x:c r="ES39" s="822" t="str">
        <x:f t="shared" si="79"/>
        <x:v/>
      </x:c>
      <x:c r="ET39" s="822" t="str">
        <x:f t="shared" si="80"/>
        <x:v/>
      </x:c>
      <x:c r="EU39" s="829" t="str">
        <x:f t="shared" si="81"/>
        <x:v/>
      </x:c>
      <x:c r="EV39" s="824" t="str">
        <x:f t="shared" si="82"/>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83"/>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84"/>
        <x:v/>
      </x:c>
      <x:c r="FD39" s="821">
        <x:f t="shared" si="107"/>
        <x:v>0</x:v>
      </x:c>
      <x:c r="FE39" s="821">
        <x:f t="shared" si="85"/>
        <x:v>0</x:v>
      </x:c>
      <x:c r="FF39" s="821">
        <x:f t="shared" si="86"/>
        <x:v>0</x:v>
      </x:c>
      <x:c r="FG39" s="821" t="str">
        <x:f t="shared" si="87"/>
        <x:v/>
      </x:c>
      <x:c r="FH39" s="822" t="str">
        <x:f t="shared" si="88"/>
        <x:v/>
      </x:c>
      <x:c r="FI39" s="821">
        <x:f t="shared" si="108"/>
        <x:v>0</x:v>
      </x:c>
      <x:c r="FJ39" s="821">
        <x:f t="shared" si="89"/>
        <x:v>0</x:v>
      </x:c>
      <x:c r="FK39" s="821">
        <x:f t="shared" si="90"/>
        <x:v>0</x:v>
      </x:c>
      <x:c r="FL39" s="821" t="str">
        <x:f t="shared" si="91"/>
        <x:v/>
      </x:c>
      <x:c r="FM39" s="822" t="str">
        <x:f t="shared" si="92"/>
        <x:v/>
      </x:c>
      <x:c r="FN39" s="822" t="e">
        <x:f t="shared" si="93"/>
        <x:v>#VALUE!</x:v>
      </x:c>
      <x:c r="FO39" s="940" t="e">
        <x:f t="shared" si="94"/>
        <x:v>#VALUE!</x:v>
      </x:c>
      <x:c r="FP39" s="940" t="e">
        <x:f t="shared" si="95"/>
        <x:v>#VALUE!</x:v>
      </x:c>
      <x:c r="FQ39" s="830" t="e">
        <x:f t="shared" si="96"/>
        <x:v>#VALUE!</x:v>
      </x:c>
      <x:c r="FR39" s="831" t="e">
        <x:f t="shared" si="97"/>
        <x:v>#VALUE!</x:v>
      </x:c>
      <x:c r="FS39" s="832" t="str">
        <x:f t="shared" si="98"/>
        <x:v/>
      </x:c>
      <x:c r="FT39" s="833" t="str">
        <x:f t="shared" si="99"/>
        <x:v/>
      </x:c>
      <x:c r="FU39" s="870">
        <x:f t="shared" si="100"/>
        <x:v>0</x:v>
      </x:c>
      <x:c r="FV39" s="871">
        <x:f t="shared" si="101"/>
        <x:v>0</x:v>
      </x:c>
      <x:c r="GA39" s="1791" t="str">
        <x:f t="shared" si="119"/>
        <x:v/>
      </x:c>
      <x:c r="GB39" s="1792" t="str">
        <x:f t="shared" si="120"/>
        <x:v/>
      </x:c>
      <x:c r="GC39" s="1793" t="str">
        <x:f t="shared" si="121"/>
        <x:v/>
      </x:c>
      <x:c r="GD39" s="1794" t="str">
        <x:f t="shared" si="122"/>
        <x:v/>
      </x:c>
      <x:c r="GE39" s="1795" t="str">
        <x:f t="shared" si="102"/>
        <x:v/>
      </x:c>
      <x:c r="GF39" s="600" t="str">
        <x:f t="shared" si="103"/>
        <x:v/>
      </x:c>
      <x:c r="GG39" s="1130"/>
      <x:c r="GH39" s="1131"/>
      <x:c r="GI39" s="1130"/>
      <x:c r="GJ39" s="1131"/>
      <x:c r="GK39" s="1638">
        <x:f t="shared" si="104"/>
        <x:v>0</x:v>
      </x:c>
      <x:c r="GL39" s="1636" t="e">
        <x:f t="shared" si="105"/>
        <x:v>#VALUE!</x:v>
      </x:c>
      <x:c r="GM39" s="1637" t="e">
        <x:f>IF(ABS(GK39-GL39)&gt;='Job Info.'!$L$22,ABS(GK39-GL39),0)</x:f>
        <x:v>#VALUE!</x:v>
      </x:c>
      <x:c r="HA39" s="1269"/>
      <x:c r="HB39" s="1270"/>
      <x:c r="HC39" s="1270"/>
      <x:c r="HD39" s="1271"/>
      <x:c r="HE39" s="1272"/>
      <x:c r="HF39" s="1270"/>
      <x:c r="HG39" s="1270"/>
      <x:c r="HH39" s="1270"/>
      <x:c r="HI39" s="1273"/>
      <x:c r="HJ39" s="1270"/>
      <x:c r="HK39" s="1270"/>
      <x:c r="HL39" s="1270"/>
      <x:c r="HM39" s="1270"/>
      <x:c r="HN39" s="1270"/>
      <x:c r="HO39" s="1270"/>
      <x:c r="HP39" s="1270"/>
      <x:c r="HQ39" s="1273"/>
      <x:c r="HR39" s="1270"/>
      <x:c r="HS39" s="1270"/>
      <x:c r="HT39" s="1270"/>
      <x:c r="HU39" s="1270"/>
      <x:c r="HV39" s="1270"/>
      <x:c r="HW39" s="1272"/>
      <x:c r="HX39" s="1272"/>
      <x:c r="HY39" s="1272"/>
      <x:c r="HZ39" s="1272"/>
      <x:c r="IA39" s="1272"/>
      <x:c r="IB39" s="1272"/>
      <x:c r="IC39" s="1272"/>
      <x:c r="ID39" s="1272"/>
      <x:c r="IE39" s="1272"/>
      <x:c r="IF39" s="1274"/>
    </x:row>
    <x:row r="40" spans="1:240" ht="12.6" customHeight="1" x14ac:dyDescent="0.25">
      <x:c r="A40" s="2764" t="str">
        <x:f t="shared" si="109"/>
        <x:v/>
      </x:c>
      <x:c r="B40" s="2765"/>
      <x:c r="C40" s="2766" t="str">
        <x:f t="shared" si="110"/>
        <x:v/>
      </x:c>
      <x:c r="D40" s="2767" t="str">
        <x:f t="shared" si="111"/>
        <x:v/>
      </x:c>
      <x:c r="E40" s="2768" t="str">
        <x:f t="shared" si="112"/>
        <x:v/>
      </x:c>
      <x:c r="F40" s="2776" t="str">
        <x:f t="shared" si="1"/>
        <x:v/>
      </x:c>
      <x:c r="G40" s="2771" t="str">
        <x:f t="shared" si="2"/>
        <x:v/>
      </x:c>
      <x:c r="H40" s="2842" t="str">
        <x:f t="shared" si="3"/>
        <x:v/>
      </x:c>
      <x:c r="I40" s="2767" t="str">
        <x:f t="shared" si="4"/>
        <x:v/>
      </x:c>
      <x:c r="J40" s="2771" t="str">
        <x:f t="shared" si="5"/>
        <x:v/>
      </x:c>
      <x:c r="K40" s="2855" t="str">
        <x:f t="shared" si="6"/>
        <x:v/>
      </x:c>
      <x:c r="L40" s="2774" t="str">
        <x:f t="shared" si="113"/>
        <x:v/>
      </x:c>
      <x:c r="M40" s="2775" t="str">
        <x:f t="shared" si="113"/>
        <x:v/>
      </x:c>
      <x:c r="N40" s="2770" t="str">
        <x:f t="shared" si="7"/>
        <x:v/>
      </x:c>
      <x:c r="O40" s="2771" t="str">
        <x:f t="shared" si="8"/>
        <x:v/>
      </x:c>
      <x:c r="P40" s="2772" t="str">
        <x:f t="shared" si="9"/>
        <x:v/>
      </x:c>
      <x:c r="Q40" s="2767" t="str">
        <x:f t="shared" si="10"/>
        <x:v/>
      </x:c>
      <x:c r="R40" s="2771" t="str">
        <x:f t="shared" si="11"/>
        <x:v/>
      </x:c>
      <x:c r="S40" s="2773" t="str">
        <x:f t="shared" si="12"/>
        <x:v/>
      </x:c>
      <x:c r="T40" s="2776" t="str">
        <x:f t="shared" si="114"/>
        <x:v/>
      </x:c>
      <x:c r="U40" s="2771" t="str">
        <x:f t="shared" si="115"/>
        <x:v/>
      </x:c>
      <x:c r="V40" s="2767" t="str">
        <x:f t="shared" si="116"/>
        <x:v/>
      </x:c>
      <x:c r="W40" s="2771" t="str">
        <x:f t="shared" si="117"/>
        <x:v/>
      </x:c>
      <x:c r="X40" s="2775">
        <x:f t="shared" si="118"/>
        <x:v>0</x:v>
      </x:c>
      <x:c r="Y40" s="2844" t="str">
        <x:f t="shared" si="13"/>
        <x:v/>
      </x:c>
      <x:c r="Z40" s="2845" t="str">
        <x:f t="shared" si="14"/>
        <x:v/>
      </x:c>
      <x:c r="AA40" s="2846" t="s">
        <x:v>116</x:v>
      </x:c>
      <x:c r="AB40" s="1413"/>
      <x:c r="AC40" s="964" t="b">
        <x:v>0</x:v>
      </x:c>
      <x:c r="AD40" s="441">
        <x:f t="shared" si="15"/>
        <x:v>0</x:v>
      </x:c>
      <x:c r="AE40" s="442">
        <x:f t="shared" si="16"/>
        <x:v>0</x:v>
      </x:c>
      <x:c r="AF40" s="442">
        <x:f t="shared" si="17"/>
        <x:v>0</x:v>
      </x:c>
      <x:c r="AG40" s="442">
        <x:f t="shared" si="18"/>
        <x:v>0</x:v>
      </x:c>
      <x:c r="AH40" s="443">
        <x:f t="shared" si="19"/>
        <x:v>0</x:v>
      </x:c>
      <x:c r="AI40" s="444" t="b">
        <x:v>0</x:v>
      </x:c>
      <x:c r="AJ40" s="238">
        <x:f t="shared" si="20"/>
        <x:v>0</x:v>
      </x:c>
      <x:c r="AK40" s="830" t="str">
        <x:f t="shared" si="21"/>
        <x:v/>
      </x:c>
      <x:c r="AL40" s="945" t="str">
        <x:f t="shared" si="22"/>
        <x:v/>
      </x:c>
      <x:c r="AM40" s="830" t="str">
        <x:f t="shared" si="23"/>
        <x:v/>
      </x:c>
      <x:c r="AN40" s="830" t="str">
        <x:f t="shared" si="24"/>
        <x:v/>
      </x:c>
      <x:c r="AO40" s="830" t="str">
        <x:f t="shared" si="25"/>
        <x:v/>
      </x:c>
      <x:c r="AP40" s="830" t="b">
        <x:f>IF(ISERROR(AJ40),FALSE,IF(OR(AJ40=0,ISERROR(AL40),ISERROR(AM40),ISERROR(AN40),ISERROR(AO40)),FALSE,IF(AL40&lt;&gt;"",IF(ISERROR(VLOOKUP(SUBSTITUTE(SUBSTITUTE(C40,"R",""),"A",""),TblJoistSize!$A:$A,1,FALSE)),FALSE,TRUE),TRUE)))</x:f>
        <x:v>0</x:v>
      </x:c>
      <x:c r="AQ40" s="1038" t="e">
        <x:f t="shared" si="26"/>
        <x:v>#N/A</x:v>
      </x:c>
      <x:c r="AR40" s="945" t="b">
        <x:f t="shared" si="27"/>
        <x:v>0</x:v>
      </x:c>
      <x:c r="AS40" s="1038" t="e">
        <x:f t="shared" si="28"/>
        <x:v>#N/A</x:v>
      </x:c>
      <x:c r="AT40" s="945" t="b">
        <x:f t="shared" si="29"/>
        <x:v>0</x:v>
      </x:c>
      <x:c r="AU40" s="946" t="str">
        <x:f t="shared" si="30"/>
        <x:v/>
      </x:c>
      <x:c r="AV40" s="830" t="str">
        <x:f t="shared" si="31"/>
        <x:v/>
      </x:c>
      <x:c r="AW40" s="830" t="str">
        <x:f t="shared" si="32"/>
        <x:v/>
      </x:c>
      <x:c r="AX40" s="830" t="str">
        <x:f t="shared" si="106"/>
        <x:v/>
      </x:c>
      <x:c r="AY40" s="1039" t="b">
        <x:f t="shared" si="33"/>
        <x:v>0</x:v>
      </x:c>
      <x:c r="AZ40" s="856" t="str">
        <x:f t="shared" si="34"/>
        <x:v/>
      </x:c>
      <x:c r="BA40" s="549"/>
      <x:c r="BB40" s="672"/>
      <x:c r="BC40" s="1684"/>
      <x:c r="BD40" s="733"/>
      <x:c r="BE40" s="734"/>
      <x:c r="BF40" s="735"/>
      <x:c r="BG40" s="672"/>
      <x:c r="BH40" s="982"/>
      <x:c r="BI40" s="983"/>
      <x:c r="BJ40" s="1625"/>
      <x:c r="BK40" s="713"/>
      <x:c r="BL40" s="714"/>
      <x:c r="BM40" s="715"/>
      <x:c r="BN40" s="716"/>
      <x:c r="BO40" s="672" t="str">
        <x:f>IF(ISERROR(CU40),"",IF(CU40="","",IF(VLOOKUP(BG40,SectInfo!$B:$N,10,FALSE)="","","X")))</x:f>
        <x:v/>
      </x:c>
      <x:c r="BP40" s="738"/>
      <x:c r="BQ40" s="1551" t="str">
        <x:f t="shared" si="35"/>
        <x:v/>
      </x:c>
      <x:c r="BR40" s="910"/>
      <x:c r="BS40" s="672"/>
      <x:c r="BT40" s="713"/>
      <x:c r="BU40" s="714"/>
      <x:c r="BV40" s="1625"/>
      <x:c r="BW40" s="713"/>
      <x:c r="BX40" s="714"/>
      <x:c r="BY40" s="715"/>
      <x:c r="BZ40" s="716"/>
      <x:c r="CA40" s="680" t="str">
        <x:f>IF(ISERROR(DE40),"",IF(DE40="","",IF(VLOOKUP(BS40,SectInfo!$B:$N,10,FALSE)="","","X")))</x:f>
        <x:v/>
      </x:c>
      <x:c r="CB40" s="738"/>
      <x:c r="CC40" s="1551" t="str">
        <x:f t="shared" si="36"/>
        <x:v/>
      </x:c>
      <x:c r="CD40" s="910"/>
      <x:c r="CE40" s="717"/>
      <x:c r="CF40" s="736"/>
      <x:c r="CG40" s="737"/>
      <x:c r="CH40" s="591" t="str">
        <x:f t="shared" si="37"/>
        <x:v/>
      </x:c>
      <x:c r="CI40" s="592" t="str">
        <x:f t="shared" si="38"/>
        <x:v/>
      </x:c>
      <x:c r="CJ40" s="593" t="str">
        <x:f t="shared" si="39"/>
        <x:v/>
      </x:c>
      <x:c r="CK40" s="594" t="str">
        <x:f t="shared" si="40"/>
        <x:v/>
      </x:c>
      <x:c r="CL40" s="595" t="str">
        <x:f t="shared" si="41"/>
        <x:v/>
      </x:c>
      <x:c r="CM40" s="596" t="str">
        <x:f t="shared" si="42"/>
        <x:v/>
      </x:c>
      <x:c r="CN40" s="597" t="str">
        <x:f t="shared" si="43"/>
        <x:v/>
      </x:c>
      <x:c r="CO40" s="598" t="str">
        <x:f t="shared" si="44"/>
        <x:v/>
      </x:c>
      <x:c r="CP40" s="615" t="str">
        <x:f t="shared" si="45"/>
        <x:v/>
      </x:c>
      <x:c r="CQ40" s="616" t="str">
        <x:f t="shared" si="46"/>
        <x:v/>
      </x:c>
      <x:c r="CR40" s="750" t="str">
        <x:f t="shared" si="47"/>
        <x:v/>
      </x:c>
      <x:c r="CS40" s="751" t="str">
        <x:f t="shared" si="48"/>
        <x:v/>
      </x:c>
      <x:c r="CU40" s="817" t="str">
        <x:f>IF(BG40="","",VLOOKUP(BG40,SectInfo!$B:$N,12,FALSE))</x:f>
        <x:v/>
      </x:c>
      <x:c r="CV40" s="815" t="str">
        <x:f>IF(BG40="","",IF(ISBLANK(BP40),VLOOKUP(BG40,SectInfo!$B:$N,13,FALSE),BP40))</x:f>
        <x:v/>
      </x:c>
      <x:c r="CW40" s="815" t="str">
        <x:f>IF(BG40="","",IF(VLOOKUP(BG40,SectInfo!$B:$N,5,FALSE)="","R",UPPER(VLOOKUP(BG40,SectInfo!$B:$N,5,FALSE))))</x:f>
        <x:v/>
      </x:c>
      <x:c r="CX40" s="815" t="str">
        <x:f>IF(BG40="","",IF(ISBLANK(BR40),VLOOKUP(BG40,SectInfo!$B:$N,6,FALSE),BR40))</x:f>
        <x:v/>
      </x:c>
      <x:c r="CY40" s="1286" t="str">
        <x:f>IF(BG40="","",IF(VLOOKUP(BG40,SectInfo!$B:$N,10,FALSE)="","",(IF(BO40="X",VLOOKUP(BG40,SectInfo!$B:$N,10,FALSE),VALUE(BO40))*-1)))</x:f>
        <x:v/>
      </x:c>
      <x:c r="CZ40" s="1122" t="str">
        <x:f>IF(BG40="","",IF(VLOOKUP(BG40,SectInfo!$B:$N,11,FALSE)="","2",(VLOOKUP(BG40,SectInfo!$B:$N,11,FALSE))))</x:f>
        <x:v/>
      </x:c>
      <x:c r="DA40" s="815" t="str">
        <x:f>IF(BG40="","",IF(VLOOKUP(BG40,SectInfo!$B:$N,7,FALSE)="","",(VLOOKUP(BG40,SectInfo!$B:$N,7,FALSE)*-1)))</x:f>
        <x:v/>
      </x:c>
      <x:c r="DB40" s="815" t="str">
        <x:f>IF(BG40="","",IF(VLOOKUP(BG40,SectInfo!$B:$N,8,FALSE)="",VLOOKUP(AU40,$DF$2:$DN$9,6,FALSE),(VLOOKUP(BG40,SectInfo!$B:$N,8,FALSE))))</x:f>
        <x:v/>
      </x:c>
      <x:c r="DC40" s="815" t="str">
        <x:f>IF(BG40="","",VLOOKUP(BG40,SectInfo!$B:$N,9,FALSE))</x:f>
        <x:v/>
      </x:c>
      <x:c r="DD40" s="816">
        <x:f t="shared" si="49"/>
        <x:v>0</x:v>
      </x:c>
      <x:c r="DE40" s="817" t="str">
        <x:f>IF(BS40="","",VLOOKUP(BS40,SectInfo!$B:$N,12,FALSE))</x:f>
        <x:v/>
      </x:c>
      <x:c r="DF40" s="815" t="str">
        <x:f>IF(BS40="","",IF(ISBLANK(CB40),VLOOKUP(BS40,SectInfo!$B:$N,13,FALSE),CB40))</x:f>
        <x:v/>
      </x:c>
      <x:c r="DG40" s="815" t="str">
        <x:f>IF(BS40="","",IF(VLOOKUP(BS40,SectInfo!$B:$N,5,FALSE)="","R",UPPER(VLOOKUP(BS40,SectInfo!$B:$N,5,FALSE))))</x:f>
        <x:v/>
      </x:c>
      <x:c r="DH40" s="815" t="str">
        <x:f>IF(BS40="","",IF(ISBLANK(CD40),VLOOKUP(BS40,SectInfo!$B:$N,6,FALSE),CD40))</x:f>
        <x:v/>
      </x:c>
      <x:c r="DI40" s="1286" t="str">
        <x:f>IF(BS40="","",IF(VLOOKUP(BS40,SectInfo!$B:$N,10,FALSE)="","",(IF(CA40="X",VLOOKUP(BS40,SectInfo!$B:$N,10,FALSE),VALUE(CA40))*-1)))</x:f>
        <x:v/>
      </x:c>
      <x:c r="DJ40" s="1122" t="str">
        <x:f>IF(BS40="","",IF(VLOOKUP(BS40,SectInfo!$B:$N,11,FALSE)="","2",(VLOOKUP(BS40,SectInfo!$B:$N,11,FALSE))))</x:f>
        <x:v/>
      </x:c>
      <x:c r="DK40" s="815" t="str">
        <x:f>IF(BS40="","",IF(VLOOKUP(BS40,SectInfo!$B:$N,7,FALSE)="","",(VLOOKUP(BS40,SectInfo!$B:$N,7,FALSE)*-1)))</x:f>
        <x:v/>
      </x:c>
      <x:c r="DL40" s="815" t="str">
        <x:f>IF(BS40="","",IF(VLOOKUP(BS40,SectInfo!$B:$N,8,FALSE)="",VLOOKUP(AU40,$DF$2:$DN$9,6,FALSE),(VLOOKUP(BS40,SectInfo!$B:$N,8,FALSE))))</x:f>
        <x:v/>
      </x:c>
      <x:c r="DM40" s="815" t="str">
        <x:f>IF(BS40="","",VLOOKUP(BS40,SectInfo!$B:$N,9,FALSE))</x:f>
        <x:v/>
      </x:c>
      <x:c r="DN40" s="816">
        <x:f t="shared" si="50"/>
        <x:v>0</x:v>
      </x:c>
      <x:c r="DO40" s="818">
        <x:f t="shared" si="51"/>
        <x:v>0</x:v>
      </x:c>
      <x:c r="DP40" s="822" t="str">
        <x:f t="shared" si="52"/>
        <x:v/>
      </x:c>
      <x:c r="DQ40" s="822" t="str">
        <x:f t="shared" si="53"/>
        <x:v/>
      </x:c>
      <x:c r="DR40" s="822" t="str">
        <x:f t="shared" si="54"/>
        <x:v/>
      </x:c>
      <x:c r="DS40" s="821">
        <x:f t="shared" si="55"/>
        <x:v>0</x:v>
      </x:c>
      <x:c r="DT40" s="821">
        <x:f t="shared" si="56"/>
        <x:v>0</x:v>
      </x:c>
      <x:c r="DU40" s="821" t="str">
        <x:f t="shared" si="57"/>
        <x:v/>
      </x:c>
      <x:c r="DV40" s="822" t="str">
        <x:f t="shared" si="58"/>
        <x:v/>
      </x:c>
      <x:c r="DW40" s="856" t="str">
        <x:f t="shared" si="59"/>
        <x:v/>
      </x:c>
      <x:c r="DX40" s="1006">
        <x:f t="shared" si="60"/>
        <x:v>0</x:v>
      </x:c>
      <x:c r="DY40" s="822">
        <x:f t="shared" si="61"/>
        <x:v>0</x:v>
      </x:c>
      <x:c r="DZ40" s="821">
        <x:f t="shared" si="62"/>
        <x:v>0</x:v>
      </x:c>
      <x:c r="EA40" s="821" t="str">
        <x:f t="shared" si="63"/>
        <x:v/>
      </x:c>
      <x:c r="EB40" s="822" t="str">
        <x:f t="shared" si="64"/>
        <x:v/>
      </x:c>
      <x:c r="EC40" s="856" t="str">
        <x:f t="shared" si="65"/>
        <x:v/>
      </x:c>
      <x:c r="ED40" s="1006">
        <x:f t="shared" si="66"/>
        <x:v>0</x:v>
      </x:c>
      <x:c r="EE40" s="1293" t="str">
        <x:f t="shared" si="67"/>
        <x:v/>
      </x:c>
      <x:c r="EF40" s="1293" t="str">
        <x:f t="shared" si="68"/>
        <x:v/>
      </x:c>
      <x:c r="EG40" s="1293" t="str">
        <x:f t="shared" si="69"/>
        <x:v/>
      </x:c>
      <x:c r="EH40" s="856" t="e">
        <x:f t="shared" si="70"/>
        <x:v>#N/A</x:v>
      </x:c>
      <x:c r="EI40" s="856" t="e">
        <x:f t="shared" si="71"/>
        <x:v>#N/A</x:v>
      </x:c>
      <x:c r="EJ40" s="822" t="str">
        <x:f t="shared" si="72"/>
        <x:v/>
      </x:c>
      <x:c r="EK40" s="822" t="str">
        <x:f t="shared" si="72"/>
        <x:v/>
      </x:c>
      <x:c r="EL40" s="1293" t="str">
        <x:f t="shared" si="73"/>
        <x:v/>
      </x:c>
      <x:c r="EM40" s="822" t="str">
        <x:f t="shared" si="74"/>
        <x:v/>
      </x:c>
      <x:c r="EN40" s="822" t="str">
        <x:f t="shared" si="75"/>
        <x:v/>
      </x:c>
      <x:c r="EO40" s="856" t="e">
        <x:f t="shared" si="76"/>
        <x:v>#N/A</x:v>
      </x:c>
      <x:c r="EP40" s="856" t="e">
        <x:f t="shared" si="77"/>
        <x:v>#N/A</x:v>
      </x:c>
      <x:c r="EQ40" s="1293" t="str">
        <x:f t="shared" si="78"/>
        <x:v/>
      </x:c>
      <x:c r="ER40" s="822" t="str">
        <x:f t="shared" si="78"/>
        <x:v/>
      </x:c>
      <x:c r="ES40" s="822" t="str">
        <x:f t="shared" si="79"/>
        <x:v/>
      </x:c>
      <x:c r="ET40" s="822" t="str">
        <x:f t="shared" si="80"/>
        <x:v/>
      </x:c>
      <x:c r="EU40" s="829" t="str">
        <x:f t="shared" si="81"/>
        <x:v/>
      </x:c>
      <x:c r="EV40" s="824" t="str">
        <x:f t="shared" si="82"/>
        <x:v/>
      </x:c>
      <x:c r="EW40" s="829"/>
      <x:c r="EX40" s="829" t="str">
        <x:f>IF(AND(CU40="G", ISBLANK(BK40), ISBLANK(BL40)),VLOOKUP(MIN(BH40:BI40),TblJoistSize!$M$3:$N$10,2),IF(OR(CU40="B",CU40="G"),MIN(BK40:BL40),""))</x:f>
        <x:v/>
      </x:c>
      <x:c r="EY40" s="829" t="str">
        <x:f>IF(AND(CU40="G", ISBLANK(BK40), ISBLANK(BL40)),VLOOKUP(MAX(BH40:BI40),TblJoistSize!$M$3:$N$10,2),IF(OR(CU40="B",CU40="G"),MAX(BK40:BL40),""))</x:f>
        <x:v/>
      </x:c>
      <x:c r="EZ40" s="829" t="str">
        <x:f t="shared" si="83"/>
        <x:v/>
      </x:c>
      <x:c r="FA40" s="829" t="str">
        <x:f>IF(AND(DE40="G", ISBLANK(BW40), ISBLANK(BX40)),VLOOKUP(MIN(BT40:BU40),TblJoistSize!$M$3:$N$10,2),IF(OR(DE40="B", DE40="G"),MIN(BW40:BX40),""))</x:f>
        <x:v/>
      </x:c>
      <x:c r="FB40" s="829" t="str">
        <x:f>IF(AND(DE40="G", ISBLANK(BW40), ISBLANK(BX40)),VLOOKUP(MAX(BT40:BU40),TblJoistSize!$M$3:$N$10,2),IF(OR(DE40="B", DE40="G"),MAX(BW40:BX40),""))</x:f>
        <x:v/>
      </x:c>
      <x:c r="FC40" s="829" t="str">
        <x:f t="shared" si="84"/>
        <x:v/>
      </x:c>
      <x:c r="FD40" s="821">
        <x:f t="shared" si="107"/>
        <x:v>0</x:v>
      </x:c>
      <x:c r="FE40" s="821">
        <x:f t="shared" si="85"/>
        <x:v>0</x:v>
      </x:c>
      <x:c r="FF40" s="821">
        <x:f t="shared" si="86"/>
        <x:v>0</x:v>
      </x:c>
      <x:c r="FG40" s="821" t="str">
        <x:f t="shared" si="87"/>
        <x:v/>
      </x:c>
      <x:c r="FH40" s="822" t="str">
        <x:f t="shared" si="88"/>
        <x:v/>
      </x:c>
      <x:c r="FI40" s="821">
        <x:f t="shared" si="108"/>
        <x:v>0</x:v>
      </x:c>
      <x:c r="FJ40" s="821">
        <x:f t="shared" si="89"/>
        <x:v>0</x:v>
      </x:c>
      <x:c r="FK40" s="821">
        <x:f t="shared" si="90"/>
        <x:v>0</x:v>
      </x:c>
      <x:c r="FL40" s="821" t="str">
        <x:f t="shared" si="91"/>
        <x:v/>
      </x:c>
      <x:c r="FM40" s="822" t="str">
        <x:f t="shared" si="92"/>
        <x:v/>
      </x:c>
      <x:c r="FN40" s="822" t="e">
        <x:f t="shared" si="93"/>
        <x:v>#VALUE!</x:v>
      </x:c>
      <x:c r="FO40" s="940" t="e">
        <x:f t="shared" si="94"/>
        <x:v>#VALUE!</x:v>
      </x:c>
      <x:c r="FP40" s="940" t="e">
        <x:f t="shared" si="95"/>
        <x:v>#VALUE!</x:v>
      </x:c>
      <x:c r="FQ40" s="830" t="e">
        <x:f t="shared" si="96"/>
        <x:v>#VALUE!</x:v>
      </x:c>
      <x:c r="FR40" s="831" t="e">
        <x:f t="shared" si="97"/>
        <x:v>#VALUE!</x:v>
      </x:c>
      <x:c r="FS40" s="832" t="str">
        <x:f t="shared" si="98"/>
        <x:v/>
      </x:c>
      <x:c r="FT40" s="833" t="str">
        <x:f t="shared" si="99"/>
        <x:v/>
      </x:c>
      <x:c r="FU40" s="870">
        <x:f t="shared" si="100"/>
        <x:v>0</x:v>
      </x:c>
      <x:c r="FV40" s="871">
        <x:f t="shared" si="101"/>
        <x:v>0</x:v>
      </x:c>
      <x:c r="GA40" s="1791" t="str">
        <x:f t="shared" si="119"/>
        <x:v/>
      </x:c>
      <x:c r="GB40" s="1792" t="str">
        <x:f t="shared" si="120"/>
        <x:v/>
      </x:c>
      <x:c r="GC40" s="1793" t="str">
        <x:f t="shared" si="121"/>
        <x:v/>
      </x:c>
      <x:c r="GD40" s="1794" t="str">
        <x:f t="shared" si="122"/>
        <x:v/>
      </x:c>
      <x:c r="GE40" s="1795" t="str">
        <x:f t="shared" si="102"/>
        <x:v/>
      </x:c>
      <x:c r="GF40" s="600" t="str">
        <x:f t="shared" si="103"/>
        <x:v/>
      </x:c>
      <x:c r="GG40" s="1130"/>
      <x:c r="GH40" s="1131"/>
      <x:c r="GI40" s="1130"/>
      <x:c r="GJ40" s="1131"/>
      <x:c r="GK40" s="1638">
        <x:f t="shared" si="104"/>
        <x:v>0</x:v>
      </x:c>
      <x:c r="GL40" s="1636" t="e">
        <x:f t="shared" si="105"/>
        <x:v>#VALUE!</x:v>
      </x:c>
      <x:c r="GM40" s="1637" t="e">
        <x:f>IF(ABS(GK40-GL40)&gt;='Job Info.'!$L$22,ABS(GK40-GL40),0)</x:f>
        <x:v>#VALUE!</x:v>
      </x:c>
      <x:c r="HA40" s="1269"/>
      <x:c r="HB40" s="1270"/>
      <x:c r="HC40" s="1270"/>
      <x:c r="HD40" s="1271"/>
      <x:c r="HE40" s="1272"/>
      <x:c r="HF40" s="1270"/>
      <x:c r="HG40" s="1270"/>
      <x:c r="HH40" s="1270"/>
      <x:c r="HI40" s="1273"/>
      <x:c r="HJ40" s="1270"/>
      <x:c r="HK40" s="1270"/>
      <x:c r="HL40" s="1270"/>
      <x:c r="HM40" s="1270"/>
      <x:c r="HN40" s="1270"/>
      <x:c r="HO40" s="1270"/>
      <x:c r="HP40" s="1270"/>
      <x:c r="HQ40" s="1273"/>
      <x:c r="HR40" s="1270"/>
      <x:c r="HS40" s="1270"/>
      <x:c r="HT40" s="1270"/>
      <x:c r="HU40" s="1270"/>
      <x:c r="HV40" s="1270"/>
      <x:c r="HW40" s="1272"/>
      <x:c r="HX40" s="1272"/>
      <x:c r="HY40" s="1272"/>
      <x:c r="HZ40" s="1272"/>
      <x:c r="IA40" s="1272"/>
      <x:c r="IB40" s="1272"/>
      <x:c r="IC40" s="1272"/>
      <x:c r="ID40" s="1272"/>
      <x:c r="IE40" s="1272"/>
      <x:c r="IF40" s="1274"/>
    </x:row>
    <x:row r="41" spans="1:240" ht="12.6" customHeight="1" x14ac:dyDescent="0.25">
      <x:c r="A41" s="2764" t="str">
        <x:f t="shared" si="109"/>
        <x:v/>
      </x:c>
      <x:c r="B41" s="2765"/>
      <x:c r="C41" s="2766" t="str">
        <x:f t="shared" si="110"/>
        <x:v/>
      </x:c>
      <x:c r="D41" s="2767" t="str">
        <x:f t="shared" si="111"/>
        <x:v/>
      </x:c>
      <x:c r="E41" s="2768" t="str">
        <x:f t="shared" si="112"/>
        <x:v/>
      </x:c>
      <x:c r="F41" s="2776" t="str">
        <x:f t="shared" si="1"/>
        <x:v/>
      </x:c>
      <x:c r="G41" s="2771" t="str">
        <x:f t="shared" si="2"/>
        <x:v/>
      </x:c>
      <x:c r="H41" s="2842" t="str">
        <x:f t="shared" si="3"/>
        <x:v/>
      </x:c>
      <x:c r="I41" s="2767" t="str">
        <x:f t="shared" si="4"/>
        <x:v/>
      </x:c>
      <x:c r="J41" s="2771" t="str">
        <x:f t="shared" si="5"/>
        <x:v/>
      </x:c>
      <x:c r="K41" s="2855" t="str">
        <x:f t="shared" si="6"/>
        <x:v/>
      </x:c>
      <x:c r="L41" s="2774" t="str">
        <x:f t="shared" si="113"/>
        <x:v/>
      </x:c>
      <x:c r="M41" s="2775" t="str">
        <x:f t="shared" si="113"/>
        <x:v/>
      </x:c>
      <x:c r="N41" s="2770" t="str">
        <x:f t="shared" si="7"/>
        <x:v/>
      </x:c>
      <x:c r="O41" s="2771" t="str">
        <x:f t="shared" si="8"/>
        <x:v/>
      </x:c>
      <x:c r="P41" s="2772" t="str">
        <x:f t="shared" si="9"/>
        <x:v/>
      </x:c>
      <x:c r="Q41" s="2767" t="str">
        <x:f t="shared" si="10"/>
        <x:v/>
      </x:c>
      <x:c r="R41" s="2771" t="str">
        <x:f t="shared" si="11"/>
        <x:v/>
      </x:c>
      <x:c r="S41" s="2773" t="str">
        <x:f t="shared" si="12"/>
        <x:v/>
      </x:c>
      <x:c r="T41" s="2776" t="str">
        <x:f t="shared" si="114"/>
        <x:v/>
      </x:c>
      <x:c r="U41" s="2771" t="str">
        <x:f t="shared" si="115"/>
        <x:v/>
      </x:c>
      <x:c r="V41" s="2767" t="str">
        <x:f t="shared" si="116"/>
        <x:v/>
      </x:c>
      <x:c r="W41" s="2771" t="str">
        <x:f t="shared" si="117"/>
        <x:v/>
      </x:c>
      <x:c r="X41" s="2775">
        <x:f t="shared" si="118"/>
        <x:v>0</x:v>
      </x:c>
      <x:c r="Y41" s="2844" t="str">
        <x:f t="shared" si="13"/>
        <x:v/>
      </x:c>
      <x:c r="Z41" s="2845" t="str">
        <x:f t="shared" si="14"/>
        <x:v/>
      </x:c>
      <x:c r="AA41" s="2846" t="s">
        <x:v>116</x:v>
      </x:c>
      <x:c r="AB41" s="1413"/>
      <x:c r="AC41" s="964" t="b">
        <x:v>0</x:v>
      </x:c>
      <x:c r="AD41" s="441">
        <x:f t="shared" si="15"/>
        <x:v>0</x:v>
      </x:c>
      <x:c r="AE41" s="442">
        <x:f t="shared" si="16"/>
        <x:v>0</x:v>
      </x:c>
      <x:c r="AF41" s="442">
        <x:f t="shared" si="17"/>
        <x:v>0</x:v>
      </x:c>
      <x:c r="AG41" s="442">
        <x:f t="shared" si="18"/>
        <x:v>0</x:v>
      </x:c>
      <x:c r="AH41" s="443">
        <x:f t="shared" si="19"/>
        <x:v>0</x:v>
      </x:c>
      <x:c r="AI41" s="444" t="b">
        <x:v>0</x:v>
      </x:c>
      <x:c r="AJ41" s="238">
        <x:f t="shared" si="20"/>
        <x:v>0</x:v>
      </x:c>
      <x:c r="AK41" s="830" t="str">
        <x:f t="shared" si="21"/>
        <x:v/>
      </x:c>
      <x:c r="AL41" s="945" t="str">
        <x:f t="shared" si="22"/>
        <x:v/>
      </x:c>
      <x:c r="AM41" s="830" t="str">
        <x:f t="shared" si="23"/>
        <x:v/>
      </x:c>
      <x:c r="AN41" s="830" t="str">
        <x:f t="shared" si="24"/>
        <x:v/>
      </x:c>
      <x:c r="AO41" s="830" t="str">
        <x:f t="shared" si="25"/>
        <x:v/>
      </x:c>
      <x:c r="AP41" s="830" t="b">
        <x:f>IF(ISERROR(AJ41),FALSE,IF(OR(AJ41=0,ISERROR(AL41),ISERROR(AM41),ISERROR(AN41),ISERROR(AO41)),FALSE,IF(AL41&lt;&gt;"",IF(ISERROR(VLOOKUP(SUBSTITUTE(SUBSTITUTE(C41,"R",""),"A",""),TblJoistSize!$A:$A,1,FALSE)),FALSE,TRUE),TRUE)))</x:f>
        <x:v>0</x:v>
      </x:c>
      <x:c r="AQ41" s="1038" t="e">
        <x:f t="shared" si="26"/>
        <x:v>#N/A</x:v>
      </x:c>
      <x:c r="AR41" s="945" t="b">
        <x:f t="shared" si="27"/>
        <x:v>0</x:v>
      </x:c>
      <x:c r="AS41" s="1038" t="e">
        <x:f t="shared" si="28"/>
        <x:v>#N/A</x:v>
      </x:c>
      <x:c r="AT41" s="945" t="b">
        <x:f t="shared" si="29"/>
        <x:v>0</x:v>
      </x:c>
      <x:c r="AU41" s="946" t="str">
        <x:f t="shared" si="30"/>
        <x:v/>
      </x:c>
      <x:c r="AV41" s="830" t="str">
        <x:f t="shared" si="31"/>
        <x:v/>
      </x:c>
      <x:c r="AW41" s="830" t="str">
        <x:f t="shared" si="32"/>
        <x:v/>
      </x:c>
      <x:c r="AX41" s="830" t="str">
        <x:f t="shared" si="106"/>
        <x:v/>
      </x:c>
      <x:c r="AY41" s="1039" t="b">
        <x:f t="shared" si="33"/>
        <x:v>0</x:v>
      </x:c>
      <x:c r="AZ41" s="856" t="str">
        <x:f t="shared" si="34"/>
        <x:v/>
      </x:c>
      <x:c r="BA41" s="549"/>
      <x:c r="BB41" s="672"/>
      <x:c r="BC41" s="1684"/>
      <x:c r="BD41" s="733"/>
      <x:c r="BE41" s="734"/>
      <x:c r="BF41" s="735"/>
      <x:c r="BG41" s="672"/>
      <x:c r="BH41" s="982"/>
      <x:c r="BI41" s="983"/>
      <x:c r="BJ41" s="1625"/>
      <x:c r="BK41" s="713"/>
      <x:c r="BL41" s="714"/>
      <x:c r="BM41" s="715"/>
      <x:c r="BN41" s="716"/>
      <x:c r="BO41" s="672" t="str">
        <x:f>IF(ISERROR(CU41),"",IF(CU41="","",IF(VLOOKUP(BG41,SectInfo!$B:$N,10,FALSE)="","","X")))</x:f>
        <x:v/>
      </x:c>
      <x:c r="BP41" s="738"/>
      <x:c r="BQ41" s="1551" t="str">
        <x:f t="shared" si="35"/>
        <x:v/>
      </x:c>
      <x:c r="BR41" s="910"/>
      <x:c r="BS41" s="672"/>
      <x:c r="BT41" s="713"/>
      <x:c r="BU41" s="714"/>
      <x:c r="BV41" s="1625"/>
      <x:c r="BW41" s="713"/>
      <x:c r="BX41" s="714"/>
      <x:c r="BY41" s="715"/>
      <x:c r="BZ41" s="716"/>
      <x:c r="CA41" s="680" t="str">
        <x:f>IF(ISERROR(DE41),"",IF(DE41="","",IF(VLOOKUP(BS41,SectInfo!$B:$N,10,FALSE)="","","X")))</x:f>
        <x:v/>
      </x:c>
      <x:c r="CB41" s="738"/>
      <x:c r="CC41" s="1551" t="str">
        <x:f t="shared" si="36"/>
        <x:v/>
      </x:c>
      <x:c r="CD41" s="910"/>
      <x:c r="CE41" s="717"/>
      <x:c r="CF41" s="736"/>
      <x:c r="CG41" s="737"/>
      <x:c r="CH41" s="591" t="str">
        <x:f t="shared" si="37"/>
        <x:v/>
      </x:c>
      <x:c r="CI41" s="592" t="str">
        <x:f t="shared" si="38"/>
        <x:v/>
      </x:c>
      <x:c r="CJ41" s="593" t="str">
        <x:f t="shared" si="39"/>
        <x:v/>
      </x:c>
      <x:c r="CK41" s="594" t="str">
        <x:f t="shared" si="40"/>
        <x:v/>
      </x:c>
      <x:c r="CL41" s="595" t="str">
        <x:f t="shared" si="41"/>
        <x:v/>
      </x:c>
      <x:c r="CM41" s="596" t="str">
        <x:f t="shared" si="42"/>
        <x:v/>
      </x:c>
      <x:c r="CN41" s="597" t="str">
        <x:f t="shared" si="43"/>
        <x:v/>
      </x:c>
      <x:c r="CO41" s="598" t="str">
        <x:f t="shared" si="44"/>
        <x:v/>
      </x:c>
      <x:c r="CP41" s="615" t="str">
        <x:f t="shared" si="45"/>
        <x:v/>
      </x:c>
      <x:c r="CQ41" s="616" t="str">
        <x:f t="shared" si="46"/>
        <x:v/>
      </x:c>
      <x:c r="CR41" s="750" t="str">
        <x:f t="shared" si="47"/>
        <x:v/>
      </x:c>
      <x:c r="CS41" s="751" t="str">
        <x:f t="shared" si="48"/>
        <x:v/>
      </x:c>
      <x:c r="CU41" s="817" t="str">
        <x:f>IF(BG41="","",VLOOKUP(BG41,SectInfo!$B:$N,12,FALSE))</x:f>
        <x:v/>
      </x:c>
      <x:c r="CV41" s="815" t="str">
        <x:f>IF(BG41="","",IF(ISBLANK(BP41),VLOOKUP(BG41,SectInfo!$B:$N,13,FALSE),BP41))</x:f>
        <x:v/>
      </x:c>
      <x:c r="CW41" s="815" t="str">
        <x:f>IF(BG41="","",IF(VLOOKUP(BG41,SectInfo!$B:$N,5,FALSE)="","R",UPPER(VLOOKUP(BG41,SectInfo!$B:$N,5,FALSE))))</x:f>
        <x:v/>
      </x:c>
      <x:c r="CX41" s="815" t="str">
        <x:f>IF(BG41="","",IF(ISBLANK(BR41),VLOOKUP(BG41,SectInfo!$B:$N,6,FALSE),BR41))</x:f>
        <x:v/>
      </x:c>
      <x:c r="CY41" s="1286" t="str">
        <x:f>IF(BG41="","",IF(VLOOKUP(BG41,SectInfo!$B:$N,10,FALSE)="","",(IF(BO41="X",VLOOKUP(BG41,SectInfo!$B:$N,10,FALSE),VALUE(BO41))*-1)))</x:f>
        <x:v/>
      </x:c>
      <x:c r="CZ41" s="1122" t="str">
        <x:f>IF(BG41="","",IF(VLOOKUP(BG41,SectInfo!$B:$N,11,FALSE)="","2",(VLOOKUP(BG41,SectInfo!$B:$N,11,FALSE))))</x:f>
        <x:v/>
      </x:c>
      <x:c r="DA41" s="815" t="str">
        <x:f>IF(BG41="","",IF(VLOOKUP(BG41,SectInfo!$B:$N,7,FALSE)="","",(VLOOKUP(BG41,SectInfo!$B:$N,7,FALSE)*-1)))</x:f>
        <x:v/>
      </x:c>
      <x:c r="DB41" s="815" t="str">
        <x:f>IF(BG41="","",IF(VLOOKUP(BG41,SectInfo!$B:$N,8,FALSE)="",VLOOKUP(AU41,$DF$2:$DN$9,6,FALSE),(VLOOKUP(BG41,SectInfo!$B:$N,8,FALSE))))</x:f>
        <x:v/>
      </x:c>
      <x:c r="DC41" s="815" t="str">
        <x:f>IF(BG41="","",VLOOKUP(BG41,SectInfo!$B:$N,9,FALSE))</x:f>
        <x:v/>
      </x:c>
      <x:c r="DD41" s="816">
        <x:f t="shared" si="49"/>
        <x:v>0</x:v>
      </x:c>
      <x:c r="DE41" s="817" t="str">
        <x:f>IF(BS41="","",VLOOKUP(BS41,SectInfo!$B:$N,12,FALSE))</x:f>
        <x:v/>
      </x:c>
      <x:c r="DF41" s="815" t="str">
        <x:f>IF(BS41="","",IF(ISBLANK(CB41),VLOOKUP(BS41,SectInfo!$B:$N,13,FALSE),CB41))</x:f>
        <x:v/>
      </x:c>
      <x:c r="DG41" s="815" t="str">
        <x:f>IF(BS41="","",IF(VLOOKUP(BS41,SectInfo!$B:$N,5,FALSE)="","R",UPPER(VLOOKUP(BS41,SectInfo!$B:$N,5,FALSE))))</x:f>
        <x:v/>
      </x:c>
      <x:c r="DH41" s="815" t="str">
        <x:f>IF(BS41="","",IF(ISBLANK(CD41),VLOOKUP(BS41,SectInfo!$B:$N,6,FALSE),CD41))</x:f>
        <x:v/>
      </x:c>
      <x:c r="DI41" s="1286" t="str">
        <x:f>IF(BS41="","",IF(VLOOKUP(BS41,SectInfo!$B:$N,10,FALSE)="","",(IF(CA41="X",VLOOKUP(BS41,SectInfo!$B:$N,10,FALSE),VALUE(CA41))*-1)))</x:f>
        <x:v/>
      </x:c>
      <x:c r="DJ41" s="1122" t="str">
        <x:f>IF(BS41="","",IF(VLOOKUP(BS41,SectInfo!$B:$N,11,FALSE)="","2",(VLOOKUP(BS41,SectInfo!$B:$N,11,FALSE))))</x:f>
        <x:v/>
      </x:c>
      <x:c r="DK41" s="815" t="str">
        <x:f>IF(BS41="","",IF(VLOOKUP(BS41,SectInfo!$B:$N,7,FALSE)="","",(VLOOKUP(BS41,SectInfo!$B:$N,7,FALSE)*-1)))</x:f>
        <x:v/>
      </x:c>
      <x:c r="DL41" s="815" t="str">
        <x:f>IF(BS41="","",IF(VLOOKUP(BS41,SectInfo!$B:$N,8,FALSE)="",VLOOKUP(AU41,$DF$2:$DN$9,6,FALSE),(VLOOKUP(BS41,SectInfo!$B:$N,8,FALSE))))</x:f>
        <x:v/>
      </x:c>
      <x:c r="DM41" s="815" t="str">
        <x:f>IF(BS41="","",VLOOKUP(BS41,SectInfo!$B:$N,9,FALSE))</x:f>
        <x:v/>
      </x:c>
      <x:c r="DN41" s="816">
        <x:f t="shared" si="50"/>
        <x:v>0</x:v>
      </x:c>
      <x:c r="DO41" s="818">
        <x:f t="shared" si="51"/>
        <x:v>0</x:v>
      </x:c>
      <x:c r="DP41" s="822" t="str">
        <x:f t="shared" si="52"/>
        <x:v/>
      </x:c>
      <x:c r="DQ41" s="822" t="str">
        <x:f t="shared" si="53"/>
        <x:v/>
      </x:c>
      <x:c r="DR41" s="822" t="str">
        <x:f t="shared" si="54"/>
        <x:v/>
      </x:c>
      <x:c r="DS41" s="821">
        <x:f t="shared" si="55"/>
        <x:v>0</x:v>
      </x:c>
      <x:c r="DT41" s="821">
        <x:f t="shared" si="56"/>
        <x:v>0</x:v>
      </x:c>
      <x:c r="DU41" s="821" t="str">
        <x:f t="shared" si="57"/>
        <x:v/>
      </x:c>
      <x:c r="DV41" s="822" t="str">
        <x:f t="shared" si="58"/>
        <x:v/>
      </x:c>
      <x:c r="DW41" s="856" t="str">
        <x:f t="shared" si="59"/>
        <x:v/>
      </x:c>
      <x:c r="DX41" s="1006">
        <x:f t="shared" si="60"/>
        <x:v>0</x:v>
      </x:c>
      <x:c r="DY41" s="822">
        <x:f t="shared" si="61"/>
        <x:v>0</x:v>
      </x:c>
      <x:c r="DZ41" s="821">
        <x:f t="shared" si="62"/>
        <x:v>0</x:v>
      </x:c>
      <x:c r="EA41" s="821" t="str">
        <x:f t="shared" si="63"/>
        <x:v/>
      </x:c>
      <x:c r="EB41" s="822" t="str">
        <x:f t="shared" si="64"/>
        <x:v/>
      </x:c>
      <x:c r="EC41" s="856" t="str">
        <x:f t="shared" si="65"/>
        <x:v/>
      </x:c>
      <x:c r="ED41" s="1006">
        <x:f t="shared" si="66"/>
        <x:v>0</x:v>
      </x:c>
      <x:c r="EE41" s="1293" t="str">
        <x:f t="shared" si="67"/>
        <x:v/>
      </x:c>
      <x:c r="EF41" s="1293" t="str">
        <x:f t="shared" si="68"/>
        <x:v/>
      </x:c>
      <x:c r="EG41" s="1293" t="str">
        <x:f t="shared" si="69"/>
        <x:v/>
      </x:c>
      <x:c r="EH41" s="856" t="e">
        <x:f t="shared" si="70"/>
        <x:v>#N/A</x:v>
      </x:c>
      <x:c r="EI41" s="856" t="e">
        <x:f t="shared" si="71"/>
        <x:v>#N/A</x:v>
      </x:c>
      <x:c r="EJ41" s="822" t="str">
        <x:f t="shared" si="72"/>
        <x:v/>
      </x:c>
      <x:c r="EK41" s="822" t="str">
        <x:f t="shared" si="72"/>
        <x:v/>
      </x:c>
      <x:c r="EL41" s="1293" t="str">
        <x:f t="shared" si="73"/>
        <x:v/>
      </x:c>
      <x:c r="EM41" s="822" t="str">
        <x:f t="shared" si="74"/>
        <x:v/>
      </x:c>
      <x:c r="EN41" s="822" t="str">
        <x:f t="shared" si="75"/>
        <x:v/>
      </x:c>
      <x:c r="EO41" s="856" t="e">
        <x:f t="shared" si="76"/>
        <x:v>#N/A</x:v>
      </x:c>
      <x:c r="EP41" s="856" t="e">
        <x:f t="shared" si="77"/>
        <x:v>#N/A</x:v>
      </x:c>
      <x:c r="EQ41" s="1293" t="str">
        <x:f t="shared" si="78"/>
        <x:v/>
      </x:c>
      <x:c r="ER41" s="822" t="str">
        <x:f t="shared" si="78"/>
        <x:v/>
      </x:c>
      <x:c r="ES41" s="822" t="str">
        <x:f t="shared" si="79"/>
        <x:v/>
      </x:c>
      <x:c r="ET41" s="822" t="str">
        <x:f t="shared" si="80"/>
        <x:v/>
      </x:c>
      <x:c r="EU41" s="829" t="str">
        <x:f t="shared" si="81"/>
        <x:v/>
      </x:c>
      <x:c r="EV41" s="824" t="str">
        <x:f t="shared" si="82"/>
        <x:v/>
      </x:c>
      <x:c r="EW41" s="829"/>
      <x:c r="EX41" s="829" t="str">
        <x:f>IF(AND(CU41="G", ISBLANK(BK41), ISBLANK(BL41)),VLOOKUP(MIN(BH41:BI41),TblJoistSize!$M$3:$N$10,2),IF(OR(CU41="B",CU41="G"),MIN(BK41:BL41),""))</x:f>
        <x:v/>
      </x:c>
      <x:c r="EY41" s="829" t="str">
        <x:f>IF(AND(CU41="G", ISBLANK(BK41), ISBLANK(BL41)),VLOOKUP(MAX(BH41:BI41),TblJoistSize!$M$3:$N$10,2),IF(OR(CU41="B",CU41="G"),MAX(BK41:BL41),""))</x:f>
        <x:v/>
      </x:c>
      <x:c r="EZ41" s="829" t="str">
        <x:f t="shared" si="83"/>
        <x:v/>
      </x:c>
      <x:c r="FA41" s="829" t="str">
        <x:f>IF(AND(DE41="G", ISBLANK(BW41), ISBLANK(BX41)),VLOOKUP(MIN(BT41:BU41),TblJoistSize!$M$3:$N$10,2),IF(OR(DE41="B", DE41="G"),MIN(BW41:BX41),""))</x:f>
        <x:v/>
      </x:c>
      <x:c r="FB41" s="829" t="str">
        <x:f>IF(AND(DE41="G", ISBLANK(BW41), ISBLANK(BX41)),VLOOKUP(MAX(BT41:BU41),TblJoistSize!$M$3:$N$10,2),IF(OR(DE41="B", DE41="G"),MAX(BW41:BX41),""))</x:f>
        <x:v/>
      </x:c>
      <x:c r="FC41" s="829" t="str">
        <x:f t="shared" si="84"/>
        <x:v/>
      </x:c>
      <x:c r="FD41" s="821">
        <x:f t="shared" si="107"/>
        <x:v>0</x:v>
      </x:c>
      <x:c r="FE41" s="821">
        <x:f t="shared" si="85"/>
        <x:v>0</x:v>
      </x:c>
      <x:c r="FF41" s="821">
        <x:f t="shared" si="86"/>
        <x:v>0</x:v>
      </x:c>
      <x:c r="FG41" s="821" t="str">
        <x:f t="shared" si="87"/>
        <x:v/>
      </x:c>
      <x:c r="FH41" s="822" t="str">
        <x:f t="shared" si="88"/>
        <x:v/>
      </x:c>
      <x:c r="FI41" s="821">
        <x:f t="shared" si="108"/>
        <x:v>0</x:v>
      </x:c>
      <x:c r="FJ41" s="821">
        <x:f t="shared" si="89"/>
        <x:v>0</x:v>
      </x:c>
      <x:c r="FK41" s="821">
        <x:f t="shared" si="90"/>
        <x:v>0</x:v>
      </x:c>
      <x:c r="FL41" s="821" t="str">
        <x:f t="shared" si="91"/>
        <x:v/>
      </x:c>
      <x:c r="FM41" s="822" t="str">
        <x:f t="shared" si="92"/>
        <x:v/>
      </x:c>
      <x:c r="FN41" s="822" t="e">
        <x:f t="shared" si="93"/>
        <x:v>#VALUE!</x:v>
      </x:c>
      <x:c r="FO41" s="940" t="e">
        <x:f t="shared" si="94"/>
        <x:v>#VALUE!</x:v>
      </x:c>
      <x:c r="FP41" s="940" t="e">
        <x:f t="shared" si="95"/>
        <x:v>#VALUE!</x:v>
      </x:c>
      <x:c r="FQ41" s="830" t="e">
        <x:f t="shared" si="96"/>
        <x:v>#VALUE!</x:v>
      </x:c>
      <x:c r="FR41" s="831" t="e">
        <x:f t="shared" si="97"/>
        <x:v>#VALUE!</x:v>
      </x:c>
      <x:c r="FS41" s="832" t="str">
        <x:f t="shared" si="98"/>
        <x:v/>
      </x:c>
      <x:c r="FT41" s="833" t="str">
        <x:f t="shared" si="99"/>
        <x:v/>
      </x:c>
      <x:c r="FU41" s="870">
        <x:f t="shared" si="100"/>
        <x:v>0</x:v>
      </x:c>
      <x:c r="FV41" s="871">
        <x:f t="shared" si="101"/>
        <x:v>0</x:v>
      </x:c>
      <x:c r="GA41" s="1791" t="str">
        <x:f t="shared" si="119"/>
        <x:v/>
      </x:c>
      <x:c r="GB41" s="1792" t="str">
        <x:f t="shared" si="120"/>
        <x:v/>
      </x:c>
      <x:c r="GC41" s="1793" t="str">
        <x:f t="shared" si="121"/>
        <x:v/>
      </x:c>
      <x:c r="GD41" s="1794" t="str">
        <x:f t="shared" si="122"/>
        <x:v/>
      </x:c>
      <x:c r="GE41" s="1795" t="str">
        <x:f t="shared" si="102"/>
        <x:v/>
      </x:c>
      <x:c r="GF41" s="600" t="str">
        <x:f t="shared" si="103"/>
        <x:v/>
      </x:c>
      <x:c r="GG41" s="1130"/>
      <x:c r="GH41" s="1131"/>
      <x:c r="GI41" s="1130"/>
      <x:c r="GJ41" s="1131"/>
      <x:c r="GK41" s="1638">
        <x:f t="shared" si="104"/>
        <x:v>0</x:v>
      </x:c>
      <x:c r="GL41" s="1636" t="e">
        <x:f t="shared" si="105"/>
        <x:v>#VALUE!</x:v>
      </x:c>
      <x:c r="GM41" s="1637" t="e">
        <x:f>IF(ABS(GK41-GL41)&gt;='Job Info.'!$L$22,ABS(GK41-GL41),0)</x:f>
        <x:v>#VALUE!</x:v>
      </x:c>
      <x:c r="HA41" s="1269"/>
      <x:c r="HB41" s="1270"/>
      <x:c r="HC41" s="1270"/>
      <x:c r="HD41" s="1271"/>
      <x:c r="HE41" s="1272"/>
      <x:c r="HF41" s="1270"/>
      <x:c r="HG41" s="1270"/>
      <x:c r="HH41" s="1270"/>
      <x:c r="HI41" s="1273"/>
      <x:c r="HJ41" s="1270"/>
      <x:c r="HK41" s="1270"/>
      <x:c r="HL41" s="1270"/>
      <x:c r="HM41" s="1270"/>
      <x:c r="HN41" s="1270"/>
      <x:c r="HO41" s="1270"/>
      <x:c r="HP41" s="1270"/>
      <x:c r="HQ41" s="1273"/>
      <x:c r="HR41" s="1270"/>
      <x:c r="HS41" s="1270"/>
      <x:c r="HT41" s="1270"/>
      <x:c r="HU41" s="1270"/>
      <x:c r="HV41" s="1270"/>
      <x:c r="HW41" s="1272"/>
      <x:c r="HX41" s="1272"/>
      <x:c r="HY41" s="1272"/>
      <x:c r="HZ41" s="1272"/>
      <x:c r="IA41" s="1272"/>
      <x:c r="IB41" s="1272"/>
      <x:c r="IC41" s="1272"/>
      <x:c r="ID41" s="1272"/>
      <x:c r="IE41" s="1272"/>
      <x:c r="IF41" s="1274"/>
    </x:row>
    <x:row r="42" spans="1:240" ht="12.6" customHeight="1" x14ac:dyDescent="0.25">
      <x:c r="A42" s="2764" t="str">
        <x:f t="shared" si="109"/>
        <x:v/>
      </x:c>
      <x:c r="B42" s="2765"/>
      <x:c r="C42" s="2766" t="str">
        <x:f t="shared" si="110"/>
        <x:v/>
      </x:c>
      <x:c r="D42" s="2767" t="str">
        <x:f t="shared" si="111"/>
        <x:v/>
      </x:c>
      <x:c r="E42" s="2768" t="str">
        <x:f t="shared" si="112"/>
        <x:v/>
      </x:c>
      <x:c r="F42" s="2776" t="str">
        <x:f t="shared" si="1"/>
        <x:v/>
      </x:c>
      <x:c r="G42" s="2771" t="str">
        <x:f t="shared" si="2"/>
        <x:v/>
      </x:c>
      <x:c r="H42" s="2842" t="str">
        <x:f t="shared" si="3"/>
        <x:v/>
      </x:c>
      <x:c r="I42" s="2767" t="str">
        <x:f t="shared" si="4"/>
        <x:v/>
      </x:c>
      <x:c r="J42" s="2771" t="str">
        <x:f t="shared" si="5"/>
        <x:v/>
      </x:c>
      <x:c r="K42" s="2855" t="str">
        <x:f t="shared" si="6"/>
        <x:v/>
      </x:c>
      <x:c r="L42" s="2774" t="str">
        <x:f t="shared" si="113"/>
        <x:v/>
      </x:c>
      <x:c r="M42" s="2775" t="str">
        <x:f t="shared" si="113"/>
        <x:v/>
      </x:c>
      <x:c r="N42" s="2770" t="str">
        <x:f t="shared" si="7"/>
        <x:v/>
      </x:c>
      <x:c r="O42" s="2771" t="str">
        <x:f t="shared" si="8"/>
        <x:v/>
      </x:c>
      <x:c r="P42" s="2772" t="str">
        <x:f t="shared" si="9"/>
        <x:v/>
      </x:c>
      <x:c r="Q42" s="2767" t="str">
        <x:f t="shared" si="10"/>
        <x:v/>
      </x:c>
      <x:c r="R42" s="2771" t="str">
        <x:f t="shared" si="11"/>
        <x:v/>
      </x:c>
      <x:c r="S42" s="2773" t="str">
        <x:f t="shared" si="12"/>
        <x:v/>
      </x:c>
      <x:c r="T42" s="2776" t="str">
        <x:f t="shared" si="114"/>
        <x:v/>
      </x:c>
      <x:c r="U42" s="2771" t="str">
        <x:f t="shared" si="115"/>
        <x:v/>
      </x:c>
      <x:c r="V42" s="2767" t="str">
        <x:f t="shared" si="116"/>
        <x:v/>
      </x:c>
      <x:c r="W42" s="2771" t="str">
        <x:f t="shared" si="117"/>
        <x:v/>
      </x:c>
      <x:c r="X42" s="2775">
        <x:f t="shared" si="118"/>
        <x:v>0</x:v>
      </x:c>
      <x:c r="Y42" s="2844" t="str">
        <x:f t="shared" si="13"/>
        <x:v/>
      </x:c>
      <x:c r="Z42" s="2845" t="str">
        <x:f t="shared" si="14"/>
        <x:v/>
      </x:c>
      <x:c r="AA42" s="2846" t="s">
        <x:v>116</x:v>
      </x:c>
      <x:c r="AB42" s="1413"/>
      <x:c r="AC42" s="964" t="b">
        <x:v>0</x:v>
      </x:c>
      <x:c r="AD42" s="441">
        <x:f t="shared" si="15"/>
        <x:v>0</x:v>
      </x:c>
      <x:c r="AE42" s="442">
        <x:f t="shared" si="16"/>
        <x:v>0</x:v>
      </x:c>
      <x:c r="AF42" s="442">
        <x:f t="shared" si="17"/>
        <x:v>0</x:v>
      </x:c>
      <x:c r="AG42" s="442">
        <x:f t="shared" si="18"/>
        <x:v>0</x:v>
      </x:c>
      <x:c r="AH42" s="443">
        <x:f t="shared" si="19"/>
        <x:v>0</x:v>
      </x:c>
      <x:c r="AI42" s="444" t="b">
        <x:v>0</x:v>
      </x:c>
      <x:c r="AJ42" s="238">
        <x:f t="shared" si="20"/>
        <x:v>0</x:v>
      </x:c>
      <x:c r="AK42" s="830" t="str">
        <x:f t="shared" si="21"/>
        <x:v/>
      </x:c>
      <x:c r="AL42" s="945" t="str">
        <x:f t="shared" si="22"/>
        <x:v/>
      </x:c>
      <x:c r="AM42" s="830" t="str">
        <x:f t="shared" si="23"/>
        <x:v/>
      </x:c>
      <x:c r="AN42" s="830" t="str">
        <x:f t="shared" si="24"/>
        <x:v/>
      </x:c>
      <x:c r="AO42" s="830" t="str">
        <x:f t="shared" si="25"/>
        <x:v/>
      </x:c>
      <x:c r="AP42" s="830" t="b">
        <x:f>IF(ISERROR(AJ42),FALSE,IF(OR(AJ42=0,ISERROR(AL42),ISERROR(AM42),ISERROR(AN42),ISERROR(AO42)),FALSE,IF(AL42&lt;&gt;"",IF(ISERROR(VLOOKUP(SUBSTITUTE(SUBSTITUTE(C42,"R",""),"A",""),TblJoistSize!$A:$A,1,FALSE)),FALSE,TRUE),TRUE)))</x:f>
        <x:v>0</x:v>
      </x:c>
      <x:c r="AQ42" s="1038" t="e">
        <x:f t="shared" si="26"/>
        <x:v>#N/A</x:v>
      </x:c>
      <x:c r="AR42" s="945" t="b">
        <x:f t="shared" si="27"/>
        <x:v>0</x:v>
      </x:c>
      <x:c r="AS42" s="1038" t="e">
        <x:f t="shared" si="28"/>
        <x:v>#N/A</x:v>
      </x:c>
      <x:c r="AT42" s="945" t="b">
        <x:f t="shared" si="29"/>
        <x:v>0</x:v>
      </x:c>
      <x:c r="AU42" s="946" t="str">
        <x:f t="shared" si="30"/>
        <x:v/>
      </x:c>
      <x:c r="AV42" s="830" t="str">
        <x:f t="shared" si="31"/>
        <x:v/>
      </x:c>
      <x:c r="AW42" s="830" t="str">
        <x:f t="shared" si="32"/>
        <x:v/>
      </x:c>
      <x:c r="AX42" s="830" t="str">
        <x:f t="shared" si="106"/>
        <x:v/>
      </x:c>
      <x:c r="AY42" s="1039" t="b">
        <x:f t="shared" si="33"/>
        <x:v>0</x:v>
      </x:c>
      <x:c r="AZ42" s="856" t="str">
        <x:f t="shared" si="34"/>
        <x:v/>
      </x:c>
      <x:c r="BA42" s="549"/>
      <x:c r="BB42" s="672"/>
      <x:c r="BC42" s="1684"/>
      <x:c r="BD42" s="733"/>
      <x:c r="BE42" s="734"/>
      <x:c r="BF42" s="735"/>
      <x:c r="BG42" s="672"/>
      <x:c r="BH42" s="982"/>
      <x:c r="BI42" s="983"/>
      <x:c r="BJ42" s="1625"/>
      <x:c r="BK42" s="713"/>
      <x:c r="BL42" s="714"/>
      <x:c r="BM42" s="715"/>
      <x:c r="BN42" s="716"/>
      <x:c r="BO42" s="672" t="str">
        <x:f>IF(ISERROR(CU42),"",IF(CU42="","",IF(VLOOKUP(BG42,SectInfo!$B:$N,10,FALSE)="","","X")))</x:f>
        <x:v/>
      </x:c>
      <x:c r="BP42" s="738"/>
      <x:c r="BQ42" s="1551" t="str">
        <x:f t="shared" si="35"/>
        <x:v/>
      </x:c>
      <x:c r="BR42" s="910"/>
      <x:c r="BS42" s="672"/>
      <x:c r="BT42" s="713"/>
      <x:c r="BU42" s="714"/>
      <x:c r="BV42" s="1625"/>
      <x:c r="BW42" s="713"/>
      <x:c r="BX42" s="714"/>
      <x:c r="BY42" s="715"/>
      <x:c r="BZ42" s="716"/>
      <x:c r="CA42" s="680" t="str">
        <x:f>IF(ISERROR(DE42),"",IF(DE42="","",IF(VLOOKUP(BS42,SectInfo!$B:$N,10,FALSE)="","","X")))</x:f>
        <x:v/>
      </x:c>
      <x:c r="CB42" s="738"/>
      <x:c r="CC42" s="1551" t="str">
        <x:f t="shared" si="36"/>
        <x:v/>
      </x:c>
      <x:c r="CD42" s="910"/>
      <x:c r="CE42" s="717"/>
      <x:c r="CF42" s="736"/>
      <x:c r="CG42" s="737"/>
      <x:c r="CH42" s="591" t="str">
        <x:f t="shared" si="37"/>
        <x:v/>
      </x:c>
      <x:c r="CI42" s="592" t="str">
        <x:f t="shared" si="38"/>
        <x:v/>
      </x:c>
      <x:c r="CJ42" s="593" t="str">
        <x:f t="shared" si="39"/>
        <x:v/>
      </x:c>
      <x:c r="CK42" s="594" t="str">
        <x:f t="shared" si="40"/>
        <x:v/>
      </x:c>
      <x:c r="CL42" s="595" t="str">
        <x:f t="shared" si="41"/>
        <x:v/>
      </x:c>
      <x:c r="CM42" s="596" t="str">
        <x:f t="shared" si="42"/>
        <x:v/>
      </x:c>
      <x:c r="CN42" s="597" t="str">
        <x:f t="shared" si="43"/>
        <x:v/>
      </x:c>
      <x:c r="CO42" s="598" t="str">
        <x:f t="shared" si="44"/>
        <x:v/>
      </x:c>
      <x:c r="CP42" s="615" t="str">
        <x:f t="shared" si="45"/>
        <x:v/>
      </x:c>
      <x:c r="CQ42" s="616" t="str">
        <x:f t="shared" si="46"/>
        <x:v/>
      </x:c>
      <x:c r="CR42" s="750" t="str">
        <x:f t="shared" si="47"/>
        <x:v/>
      </x:c>
      <x:c r="CS42" s="751" t="str">
        <x:f t="shared" si="48"/>
        <x:v/>
      </x:c>
      <x:c r="CU42" s="817" t="str">
        <x:f>IF(BG42="","",VLOOKUP(BG42,SectInfo!$B:$N,12,FALSE))</x:f>
        <x:v/>
      </x:c>
      <x:c r="CV42" s="815" t="str">
        <x:f>IF(BG42="","",IF(ISBLANK(BP42),VLOOKUP(BG42,SectInfo!$B:$N,13,FALSE),BP42))</x:f>
        <x:v/>
      </x:c>
      <x:c r="CW42" s="815" t="str">
        <x:f>IF(BG42="","",IF(VLOOKUP(BG42,SectInfo!$B:$N,5,FALSE)="","R",UPPER(VLOOKUP(BG42,SectInfo!$B:$N,5,FALSE))))</x:f>
        <x:v/>
      </x:c>
      <x:c r="CX42" s="815" t="str">
        <x:f>IF(BG42="","",IF(ISBLANK(BR42),VLOOKUP(BG42,SectInfo!$B:$N,6,FALSE),BR42))</x:f>
        <x:v/>
      </x:c>
      <x:c r="CY42" s="1286" t="str">
        <x:f>IF(BG42="","",IF(VLOOKUP(BG42,SectInfo!$B:$N,10,FALSE)="","",(IF(BO42="X",VLOOKUP(BG42,SectInfo!$B:$N,10,FALSE),VALUE(BO42))*-1)))</x:f>
        <x:v/>
      </x:c>
      <x:c r="CZ42" s="1122" t="str">
        <x:f>IF(BG42="","",IF(VLOOKUP(BG42,SectInfo!$B:$N,11,FALSE)="","2",(VLOOKUP(BG42,SectInfo!$B:$N,11,FALSE))))</x:f>
        <x:v/>
      </x:c>
      <x:c r="DA42" s="815" t="str">
        <x:f>IF(BG42="","",IF(VLOOKUP(BG42,SectInfo!$B:$N,7,FALSE)="","",(VLOOKUP(BG42,SectInfo!$B:$N,7,FALSE)*-1)))</x:f>
        <x:v/>
      </x:c>
      <x:c r="DB42" s="815" t="str">
        <x:f>IF(BG42="","",IF(VLOOKUP(BG42,SectInfo!$B:$N,8,FALSE)="",VLOOKUP(AU42,$DF$2:$DN$9,6,FALSE),(VLOOKUP(BG42,SectInfo!$B:$N,8,FALSE))))</x:f>
        <x:v/>
      </x:c>
      <x:c r="DC42" s="815" t="str">
        <x:f>IF(BG42="","",VLOOKUP(BG42,SectInfo!$B:$N,9,FALSE))</x:f>
        <x:v/>
      </x:c>
      <x:c r="DD42" s="816">
        <x:f t="shared" si="49"/>
        <x:v>0</x:v>
      </x:c>
      <x:c r="DE42" s="817" t="str">
        <x:f>IF(BS42="","",VLOOKUP(BS42,SectInfo!$B:$N,12,FALSE))</x:f>
        <x:v/>
      </x:c>
      <x:c r="DF42" s="815" t="str">
        <x:f>IF(BS42="","",IF(ISBLANK(CB42),VLOOKUP(BS42,SectInfo!$B:$N,13,FALSE),CB42))</x:f>
        <x:v/>
      </x:c>
      <x:c r="DG42" s="815" t="str">
        <x:f>IF(BS42="","",IF(VLOOKUP(BS42,SectInfo!$B:$N,5,FALSE)="","R",UPPER(VLOOKUP(BS42,SectInfo!$B:$N,5,FALSE))))</x:f>
        <x:v/>
      </x:c>
      <x:c r="DH42" s="815" t="str">
        <x:f>IF(BS42="","",IF(ISBLANK(CD42),VLOOKUP(BS42,SectInfo!$B:$N,6,FALSE),CD42))</x:f>
        <x:v/>
      </x:c>
      <x:c r="DI42" s="1286" t="str">
        <x:f>IF(BS42="","",IF(VLOOKUP(BS42,SectInfo!$B:$N,10,FALSE)="","",(IF(CA42="X",VLOOKUP(BS42,SectInfo!$B:$N,10,FALSE),VALUE(CA42))*-1)))</x:f>
        <x:v/>
      </x:c>
      <x:c r="DJ42" s="1122" t="str">
        <x:f>IF(BS42="","",IF(VLOOKUP(BS42,SectInfo!$B:$N,11,FALSE)="","2",(VLOOKUP(BS42,SectInfo!$B:$N,11,FALSE))))</x:f>
        <x:v/>
      </x:c>
      <x:c r="DK42" s="815" t="str">
        <x:f>IF(BS42="","",IF(VLOOKUP(BS42,SectInfo!$B:$N,7,FALSE)="","",(VLOOKUP(BS42,SectInfo!$B:$N,7,FALSE)*-1)))</x:f>
        <x:v/>
      </x:c>
      <x:c r="DL42" s="815" t="str">
        <x:f>IF(BS42="","",IF(VLOOKUP(BS42,SectInfo!$B:$N,8,FALSE)="",VLOOKUP(AU42,$DF$2:$DN$9,6,FALSE),(VLOOKUP(BS42,SectInfo!$B:$N,8,FALSE))))</x:f>
        <x:v/>
      </x:c>
      <x:c r="DM42" s="815" t="str">
        <x:f>IF(BS42="","",VLOOKUP(BS42,SectInfo!$B:$N,9,FALSE))</x:f>
        <x:v/>
      </x:c>
      <x:c r="DN42" s="816">
        <x:f t="shared" si="50"/>
        <x:v>0</x:v>
      </x:c>
      <x:c r="DO42" s="818">
        <x:f t="shared" si="51"/>
        <x:v>0</x:v>
      </x:c>
      <x:c r="DP42" s="822" t="str">
        <x:f t="shared" si="52"/>
        <x:v/>
      </x:c>
      <x:c r="DQ42" s="822" t="str">
        <x:f t="shared" si="53"/>
        <x:v/>
      </x:c>
      <x:c r="DR42" s="822" t="str">
        <x:f t="shared" si="54"/>
        <x:v/>
      </x:c>
      <x:c r="DS42" s="821">
        <x:f t="shared" si="55"/>
        <x:v>0</x:v>
      </x:c>
      <x:c r="DT42" s="821">
        <x:f t="shared" si="56"/>
        <x:v>0</x:v>
      </x:c>
      <x:c r="DU42" s="821" t="str">
        <x:f t="shared" si="57"/>
        <x:v/>
      </x:c>
      <x:c r="DV42" s="822" t="str">
        <x:f t="shared" si="58"/>
        <x:v/>
      </x:c>
      <x:c r="DW42" s="856" t="str">
        <x:f t="shared" si="59"/>
        <x:v/>
      </x:c>
      <x:c r="DX42" s="1006">
        <x:f t="shared" si="60"/>
        <x:v>0</x:v>
      </x:c>
      <x:c r="DY42" s="822">
        <x:f t="shared" si="61"/>
        <x:v>0</x:v>
      </x:c>
      <x:c r="DZ42" s="821">
        <x:f t="shared" si="62"/>
        <x:v>0</x:v>
      </x:c>
      <x:c r="EA42" s="821" t="str">
        <x:f t="shared" si="63"/>
        <x:v/>
      </x:c>
      <x:c r="EB42" s="822" t="str">
        <x:f t="shared" si="64"/>
        <x:v/>
      </x:c>
      <x:c r="EC42" s="856" t="str">
        <x:f t="shared" si="65"/>
        <x:v/>
      </x:c>
      <x:c r="ED42" s="1006">
        <x:f t="shared" si="66"/>
        <x:v>0</x:v>
      </x:c>
      <x:c r="EE42" s="1293" t="str">
        <x:f t="shared" si="67"/>
        <x:v/>
      </x:c>
      <x:c r="EF42" s="1293" t="str">
        <x:f t="shared" si="68"/>
        <x:v/>
      </x:c>
      <x:c r="EG42" s="1293" t="str">
        <x:f t="shared" si="69"/>
        <x:v/>
      </x:c>
      <x:c r="EH42" s="856" t="e">
        <x:f t="shared" si="70"/>
        <x:v>#N/A</x:v>
      </x:c>
      <x:c r="EI42" s="856" t="e">
        <x:f t="shared" si="71"/>
        <x:v>#N/A</x:v>
      </x:c>
      <x:c r="EJ42" s="822" t="str">
        <x:f t="shared" si="72"/>
        <x:v/>
      </x:c>
      <x:c r="EK42" s="822" t="str">
        <x:f t="shared" si="72"/>
        <x:v/>
      </x:c>
      <x:c r="EL42" s="1293" t="str">
        <x:f t="shared" si="73"/>
        <x:v/>
      </x:c>
      <x:c r="EM42" s="822" t="str">
        <x:f t="shared" si="74"/>
        <x:v/>
      </x:c>
      <x:c r="EN42" s="822" t="str">
        <x:f t="shared" si="75"/>
        <x:v/>
      </x:c>
      <x:c r="EO42" s="856" t="e">
        <x:f t="shared" si="76"/>
        <x:v>#N/A</x:v>
      </x:c>
      <x:c r="EP42" s="856" t="e">
        <x:f t="shared" si="77"/>
        <x:v>#N/A</x:v>
      </x:c>
      <x:c r="EQ42" s="1293" t="str">
        <x:f t="shared" si="78"/>
        <x:v/>
      </x:c>
      <x:c r="ER42" s="822" t="str">
        <x:f t="shared" si="78"/>
        <x:v/>
      </x:c>
      <x:c r="ES42" s="822" t="str">
        <x:f t="shared" si="79"/>
        <x:v/>
      </x:c>
      <x:c r="ET42" s="822" t="str">
        <x:f t="shared" si="80"/>
        <x:v/>
      </x:c>
      <x:c r="EU42" s="829" t="str">
        <x:f t="shared" si="81"/>
        <x:v/>
      </x:c>
      <x:c r="EV42" s="824" t="str">
        <x:f t="shared" si="82"/>
        <x:v/>
      </x:c>
      <x:c r="EW42" s="829"/>
      <x:c r="EX42" s="829" t="str">
        <x:f>IF(AND(CU42="G", ISBLANK(BK42), ISBLANK(BL42)),VLOOKUP(MIN(BH42:BI42),TblJoistSize!$M$3:$N$10,2),IF(OR(CU42="B",CU42="G"),MIN(BK42:BL42),""))</x:f>
        <x:v/>
      </x:c>
      <x:c r="EY42" s="829" t="str">
        <x:f>IF(AND(CU42="G", ISBLANK(BK42), ISBLANK(BL42)),VLOOKUP(MAX(BH42:BI42),TblJoistSize!$M$3:$N$10,2),IF(OR(CU42="B",CU42="G"),MAX(BK42:BL42),""))</x:f>
        <x:v/>
      </x:c>
      <x:c r="EZ42" s="829" t="str">
        <x:f t="shared" si="83"/>
        <x:v/>
      </x:c>
      <x:c r="FA42" s="829" t="str">
        <x:f>IF(AND(DE42="G", ISBLANK(BW42), ISBLANK(BX42)),VLOOKUP(MIN(BT42:BU42),TblJoistSize!$M$3:$N$10,2),IF(OR(DE42="B", DE42="G"),MIN(BW42:BX42),""))</x:f>
        <x:v/>
      </x:c>
      <x:c r="FB42" s="829" t="str">
        <x:f>IF(AND(DE42="G", ISBLANK(BW42), ISBLANK(BX42)),VLOOKUP(MAX(BT42:BU42),TblJoistSize!$M$3:$N$10,2),IF(OR(DE42="B", DE42="G"),MAX(BW42:BX42),""))</x:f>
        <x:v/>
      </x:c>
      <x:c r="FC42" s="829" t="str">
        <x:f t="shared" si="84"/>
        <x:v/>
      </x:c>
      <x:c r="FD42" s="821">
        <x:f t="shared" si="107"/>
        <x:v>0</x:v>
      </x:c>
      <x:c r="FE42" s="821">
        <x:f t="shared" si="85"/>
        <x:v>0</x:v>
      </x:c>
      <x:c r="FF42" s="821">
        <x:f t="shared" si="86"/>
        <x:v>0</x:v>
      </x:c>
      <x:c r="FG42" s="821" t="str">
        <x:f t="shared" si="87"/>
        <x:v/>
      </x:c>
      <x:c r="FH42" s="822" t="str">
        <x:f t="shared" si="88"/>
        <x:v/>
      </x:c>
      <x:c r="FI42" s="821">
        <x:f t="shared" si="108"/>
        <x:v>0</x:v>
      </x:c>
      <x:c r="FJ42" s="821">
        <x:f t="shared" si="89"/>
        <x:v>0</x:v>
      </x:c>
      <x:c r="FK42" s="821">
        <x:f t="shared" si="90"/>
        <x:v>0</x:v>
      </x:c>
      <x:c r="FL42" s="821" t="str">
        <x:f t="shared" si="91"/>
        <x:v/>
      </x:c>
      <x:c r="FM42" s="822" t="str">
        <x:f t="shared" si="92"/>
        <x:v/>
      </x:c>
      <x:c r="FN42" s="822" t="e">
        <x:f t="shared" si="93"/>
        <x:v>#VALUE!</x:v>
      </x:c>
      <x:c r="FO42" s="940" t="e">
        <x:f t="shared" si="94"/>
        <x:v>#VALUE!</x:v>
      </x:c>
      <x:c r="FP42" s="940" t="e">
        <x:f t="shared" si="95"/>
        <x:v>#VALUE!</x:v>
      </x:c>
      <x:c r="FQ42" s="830" t="e">
        <x:f t="shared" si="96"/>
        <x:v>#VALUE!</x:v>
      </x:c>
      <x:c r="FR42" s="831" t="e">
        <x:f t="shared" si="97"/>
        <x:v>#VALUE!</x:v>
      </x:c>
      <x:c r="FS42" s="832" t="str">
        <x:f t="shared" si="98"/>
        <x:v/>
      </x:c>
      <x:c r="FT42" s="833" t="str">
        <x:f t="shared" si="99"/>
        <x:v/>
      </x:c>
      <x:c r="FU42" s="870">
        <x:f t="shared" si="100"/>
        <x:v>0</x:v>
      </x:c>
      <x:c r="FV42" s="871">
        <x:f t="shared" si="101"/>
        <x:v>0</x:v>
      </x:c>
      <x:c r="GA42" s="1791" t="str">
        <x:f t="shared" si="119"/>
        <x:v/>
      </x:c>
      <x:c r="GB42" s="1792" t="str">
        <x:f t="shared" si="120"/>
        <x:v/>
      </x:c>
      <x:c r="GC42" s="1793" t="str">
        <x:f t="shared" si="121"/>
        <x:v/>
      </x:c>
      <x:c r="GD42" s="1794" t="str">
        <x:f t="shared" si="122"/>
        <x:v/>
      </x:c>
      <x:c r="GE42" s="1795" t="str">
        <x:f t="shared" si="102"/>
        <x:v/>
      </x:c>
      <x:c r="GF42" s="600" t="str">
        <x:f t="shared" si="103"/>
        <x:v/>
      </x:c>
      <x:c r="GG42" s="1130"/>
      <x:c r="GH42" s="1131"/>
      <x:c r="GI42" s="1130"/>
      <x:c r="GJ42" s="1131"/>
      <x:c r="GK42" s="1638">
        <x:f t="shared" si="104"/>
        <x:v>0</x:v>
      </x:c>
      <x:c r="GL42" s="1636" t="e">
        <x:f t="shared" si="105"/>
        <x:v>#VALUE!</x:v>
      </x:c>
      <x:c r="GM42" s="1637" t="e">
        <x:f>IF(ABS(GK42-GL42)&gt;='Job Info.'!$L$22,ABS(GK42-GL42),0)</x:f>
        <x:v>#VALUE!</x:v>
      </x:c>
      <x:c r="HA42" s="1269"/>
      <x:c r="HB42" s="1270"/>
      <x:c r="HC42" s="1270"/>
      <x:c r="HD42" s="1271"/>
      <x:c r="HE42" s="1272"/>
      <x:c r="HF42" s="1270"/>
      <x:c r="HG42" s="1270"/>
      <x:c r="HH42" s="1270"/>
      <x:c r="HI42" s="1273"/>
      <x:c r="HJ42" s="1270"/>
      <x:c r="HK42" s="1270"/>
      <x:c r="HL42" s="1270"/>
      <x:c r="HM42" s="1270"/>
      <x:c r="HN42" s="1270"/>
      <x:c r="HO42" s="1270"/>
      <x:c r="HP42" s="1270"/>
      <x:c r="HQ42" s="1273"/>
      <x:c r="HR42" s="1270"/>
      <x:c r="HS42" s="1270"/>
      <x:c r="HT42" s="1270"/>
      <x:c r="HU42" s="1270"/>
      <x:c r="HV42" s="1270"/>
      <x:c r="HW42" s="1272"/>
      <x:c r="HX42" s="1272"/>
      <x:c r="HY42" s="1272"/>
      <x:c r="HZ42" s="1272"/>
      <x:c r="IA42" s="1272"/>
      <x:c r="IB42" s="1272"/>
      <x:c r="IC42" s="1272"/>
      <x:c r="ID42" s="1272"/>
      <x:c r="IE42" s="1272"/>
      <x:c r="IF42" s="1274"/>
    </x:row>
    <x:row r="43" spans="1:240" ht="12.6" customHeight="1" x14ac:dyDescent="0.25">
      <x:c r="A43" s="2764" t="str">
        <x:f t="shared" si="109"/>
        <x:v/>
      </x:c>
      <x:c r="B43" s="2765"/>
      <x:c r="C43" s="2766" t="str">
        <x:f t="shared" si="110"/>
        <x:v/>
      </x:c>
      <x:c r="D43" s="2767" t="str">
        <x:f t="shared" si="111"/>
        <x:v/>
      </x:c>
      <x:c r="E43" s="2768" t="str">
        <x:f t="shared" si="112"/>
        <x:v/>
      </x:c>
      <x:c r="F43" s="2776" t="str">
        <x:f t="shared" si="1"/>
        <x:v/>
      </x:c>
      <x:c r="G43" s="2771" t="str">
        <x:f t="shared" si="2"/>
        <x:v/>
      </x:c>
      <x:c r="H43" s="2842" t="str">
        <x:f t="shared" si="3"/>
        <x:v/>
      </x:c>
      <x:c r="I43" s="2767" t="str">
        <x:f t="shared" si="4"/>
        <x:v/>
      </x:c>
      <x:c r="J43" s="2771" t="str">
        <x:f t="shared" si="5"/>
        <x:v/>
      </x:c>
      <x:c r="K43" s="2855" t="str">
        <x:f t="shared" si="6"/>
        <x:v/>
      </x:c>
      <x:c r="L43" s="2774" t="str">
        <x:f t="shared" si="113"/>
        <x:v/>
      </x:c>
      <x:c r="M43" s="2775" t="str">
        <x:f t="shared" si="113"/>
        <x:v/>
      </x:c>
      <x:c r="N43" s="2770" t="str">
        <x:f t="shared" si="7"/>
        <x:v/>
      </x:c>
      <x:c r="O43" s="2771" t="str">
        <x:f t="shared" si="8"/>
        <x:v/>
      </x:c>
      <x:c r="P43" s="2772" t="str">
        <x:f t="shared" si="9"/>
        <x:v/>
      </x:c>
      <x:c r="Q43" s="2767" t="str">
        <x:f t="shared" si="10"/>
        <x:v/>
      </x:c>
      <x:c r="R43" s="2771" t="str">
        <x:f t="shared" si="11"/>
        <x:v/>
      </x:c>
      <x:c r="S43" s="2773" t="str">
        <x:f t="shared" si="12"/>
        <x:v/>
      </x:c>
      <x:c r="T43" s="2776" t="str">
        <x:f t="shared" si="114"/>
        <x:v/>
      </x:c>
      <x:c r="U43" s="2771" t="str">
        <x:f t="shared" si="115"/>
        <x:v/>
      </x:c>
      <x:c r="V43" s="2767" t="str">
        <x:f t="shared" si="116"/>
        <x:v/>
      </x:c>
      <x:c r="W43" s="2771" t="str">
        <x:f t="shared" si="117"/>
        <x:v/>
      </x:c>
      <x:c r="X43" s="2775">
        <x:f t="shared" si="118"/>
        <x:v>0</x:v>
      </x:c>
      <x:c r="Y43" s="2844" t="str">
        <x:f t="shared" si="13"/>
        <x:v/>
      </x:c>
      <x:c r="Z43" s="2845" t="str">
        <x:f t="shared" si="14"/>
        <x:v/>
      </x:c>
      <x:c r="AA43" s="2846" t="s">
        <x:v>116</x:v>
      </x:c>
      <x:c r="AB43" s="1413"/>
      <x:c r="AC43" s="964" t="b">
        <x:v>0</x:v>
      </x:c>
      <x:c r="AD43" s="441">
        <x:f t="shared" si="15"/>
        <x:v>0</x:v>
      </x:c>
      <x:c r="AE43" s="442">
        <x:f t="shared" si="16"/>
        <x:v>0</x:v>
      </x:c>
      <x:c r="AF43" s="442">
        <x:f t="shared" si="17"/>
        <x:v>0</x:v>
      </x:c>
      <x:c r="AG43" s="442">
        <x:f t="shared" si="18"/>
        <x:v>0</x:v>
      </x:c>
      <x:c r="AH43" s="443">
        <x:f t="shared" si="19"/>
        <x:v>0</x:v>
      </x:c>
      <x:c r="AI43" s="444" t="b">
        <x:v>0</x:v>
      </x:c>
      <x:c r="AJ43" s="238">
        <x:f t="shared" si="20"/>
        <x:v>0</x:v>
      </x:c>
      <x:c r="AK43" s="830" t="str">
        <x:f t="shared" si="21"/>
        <x:v/>
      </x:c>
      <x:c r="AL43" s="945" t="str">
        <x:f t="shared" si="22"/>
        <x:v/>
      </x:c>
      <x:c r="AM43" s="830" t="str">
        <x:f t="shared" si="23"/>
        <x:v/>
      </x:c>
      <x:c r="AN43" s="830" t="str">
        <x:f t="shared" si="24"/>
        <x:v/>
      </x:c>
      <x:c r="AO43" s="830" t="str">
        <x:f t="shared" si="25"/>
        <x:v/>
      </x:c>
      <x:c r="AP43" s="830" t="b">
        <x:f>IF(ISERROR(AJ43),FALSE,IF(OR(AJ43=0,ISERROR(AL43),ISERROR(AM43),ISERROR(AN43),ISERROR(AO43)),FALSE,IF(AL43&lt;&gt;"",IF(ISERROR(VLOOKUP(SUBSTITUTE(SUBSTITUTE(C43,"R",""),"A",""),TblJoistSize!$A:$A,1,FALSE)),FALSE,TRUE),TRUE)))</x:f>
        <x:v>0</x:v>
      </x:c>
      <x:c r="AQ43" s="1038" t="e">
        <x:f t="shared" si="26"/>
        <x:v>#N/A</x:v>
      </x:c>
      <x:c r="AR43" s="945" t="b">
        <x:f t="shared" si="27"/>
        <x:v>0</x:v>
      </x:c>
      <x:c r="AS43" s="1038" t="e">
        <x:f t="shared" si="28"/>
        <x:v>#N/A</x:v>
      </x:c>
      <x:c r="AT43" s="945" t="b">
        <x:f t="shared" si="29"/>
        <x:v>0</x:v>
      </x:c>
      <x:c r="AU43" s="946" t="str">
        <x:f t="shared" si="30"/>
        <x:v/>
      </x:c>
      <x:c r="AV43" s="830" t="str">
        <x:f t="shared" si="31"/>
        <x:v/>
      </x:c>
      <x:c r="AW43" s="830" t="str">
        <x:f t="shared" si="32"/>
        <x:v/>
      </x:c>
      <x:c r="AX43" s="830" t="str">
        <x:f t="shared" si="106"/>
        <x:v/>
      </x:c>
      <x:c r="AY43" s="1039" t="b">
        <x:f t="shared" si="33"/>
        <x:v>0</x:v>
      </x:c>
      <x:c r="AZ43" s="856" t="str">
        <x:f t="shared" si="34"/>
        <x:v/>
      </x:c>
      <x:c r="BA43" s="549"/>
      <x:c r="BB43" s="672"/>
      <x:c r="BC43" s="1684"/>
      <x:c r="BD43" s="733"/>
      <x:c r="BE43" s="734"/>
      <x:c r="BF43" s="735"/>
      <x:c r="BG43" s="672"/>
      <x:c r="BH43" s="982"/>
      <x:c r="BI43" s="983"/>
      <x:c r="BJ43" s="1625"/>
      <x:c r="BK43" s="713"/>
      <x:c r="BL43" s="714"/>
      <x:c r="BM43" s="715"/>
      <x:c r="BN43" s="716"/>
      <x:c r="BO43" s="672" t="str">
        <x:f>IF(ISERROR(CU43),"",IF(CU43="","",IF(VLOOKUP(BG43,SectInfo!$B:$N,10,FALSE)="","","X")))</x:f>
        <x:v/>
      </x:c>
      <x:c r="BP43" s="738"/>
      <x:c r="BQ43" s="1551" t="str">
        <x:f t="shared" si="35"/>
        <x:v/>
      </x:c>
      <x:c r="BR43" s="910"/>
      <x:c r="BS43" s="672"/>
      <x:c r="BT43" s="713"/>
      <x:c r="BU43" s="714"/>
      <x:c r="BV43" s="1625"/>
      <x:c r="BW43" s="713"/>
      <x:c r="BX43" s="714"/>
      <x:c r="BY43" s="715"/>
      <x:c r="BZ43" s="716"/>
      <x:c r="CA43" s="680" t="str">
        <x:f>IF(ISERROR(DE43),"",IF(DE43="","",IF(VLOOKUP(BS43,SectInfo!$B:$N,10,FALSE)="","","X")))</x:f>
        <x:v/>
      </x:c>
      <x:c r="CB43" s="738"/>
      <x:c r="CC43" s="1551" t="str">
        <x:f t="shared" si="36"/>
        <x:v/>
      </x:c>
      <x:c r="CD43" s="910"/>
      <x:c r="CE43" s="717"/>
      <x:c r="CF43" s="736"/>
      <x:c r="CG43" s="737"/>
      <x:c r="CH43" s="591" t="str">
        <x:f t="shared" si="37"/>
        <x:v/>
      </x:c>
      <x:c r="CI43" s="592" t="str">
        <x:f t="shared" si="38"/>
        <x:v/>
      </x:c>
      <x:c r="CJ43" s="593" t="str">
        <x:f t="shared" si="39"/>
        <x:v/>
      </x:c>
      <x:c r="CK43" s="594" t="str">
        <x:f t="shared" si="40"/>
        <x:v/>
      </x:c>
      <x:c r="CL43" s="595" t="str">
        <x:f t="shared" si="41"/>
        <x:v/>
      </x:c>
      <x:c r="CM43" s="596" t="str">
        <x:f t="shared" si="42"/>
        <x:v/>
      </x:c>
      <x:c r="CN43" s="597" t="str">
        <x:f t="shared" si="43"/>
        <x:v/>
      </x:c>
      <x:c r="CO43" s="598" t="str">
        <x:f t="shared" si="44"/>
        <x:v/>
      </x:c>
      <x:c r="CP43" s="615" t="str">
        <x:f t="shared" si="45"/>
        <x:v/>
      </x:c>
      <x:c r="CQ43" s="616" t="str">
        <x:f t="shared" si="46"/>
        <x:v/>
      </x:c>
      <x:c r="CR43" s="750" t="str">
        <x:f t="shared" si="47"/>
        <x:v/>
      </x:c>
      <x:c r="CS43" s="751" t="str">
        <x:f t="shared" si="48"/>
        <x:v/>
      </x:c>
      <x:c r="CU43" s="817" t="str">
        <x:f>IF(BG43="","",VLOOKUP(BG43,SectInfo!$B:$N,12,FALSE))</x:f>
        <x:v/>
      </x:c>
      <x:c r="CV43" s="815" t="str">
        <x:f>IF(BG43="","",IF(ISBLANK(BP43),VLOOKUP(BG43,SectInfo!$B:$N,13,FALSE),BP43))</x:f>
        <x:v/>
      </x:c>
      <x:c r="CW43" s="815" t="str">
        <x:f>IF(BG43="","",IF(VLOOKUP(BG43,SectInfo!$B:$N,5,FALSE)="","R",UPPER(VLOOKUP(BG43,SectInfo!$B:$N,5,FALSE))))</x:f>
        <x:v/>
      </x:c>
      <x:c r="CX43" s="815" t="str">
        <x:f>IF(BG43="","",IF(ISBLANK(BR43),VLOOKUP(BG43,SectInfo!$B:$N,6,FALSE),BR43))</x:f>
        <x:v/>
      </x:c>
      <x:c r="CY43" s="1286" t="str">
        <x:f>IF(BG43="","",IF(VLOOKUP(BG43,SectInfo!$B:$N,10,FALSE)="","",(IF(BO43="X",VLOOKUP(BG43,SectInfo!$B:$N,10,FALSE),VALUE(BO43))*-1)))</x:f>
        <x:v/>
      </x:c>
      <x:c r="CZ43" s="1122" t="str">
        <x:f>IF(BG43="","",IF(VLOOKUP(BG43,SectInfo!$B:$N,11,FALSE)="","2",(VLOOKUP(BG43,SectInfo!$B:$N,11,FALSE))))</x:f>
        <x:v/>
      </x:c>
      <x:c r="DA43" s="815" t="str">
        <x:f>IF(BG43="","",IF(VLOOKUP(BG43,SectInfo!$B:$N,7,FALSE)="","",(VLOOKUP(BG43,SectInfo!$B:$N,7,FALSE)*-1)))</x:f>
        <x:v/>
      </x:c>
      <x:c r="DB43" s="815" t="str">
        <x:f>IF(BG43="","",IF(VLOOKUP(BG43,SectInfo!$B:$N,8,FALSE)="",VLOOKUP(AU43,$DF$2:$DN$9,6,FALSE),(VLOOKUP(BG43,SectInfo!$B:$N,8,FALSE))))</x:f>
        <x:v/>
      </x:c>
      <x:c r="DC43" s="815" t="str">
        <x:f>IF(BG43="","",VLOOKUP(BG43,SectInfo!$B:$N,9,FALSE))</x:f>
        <x:v/>
      </x:c>
      <x:c r="DD43" s="816">
        <x:f t="shared" si="49"/>
        <x:v>0</x:v>
      </x:c>
      <x:c r="DE43" s="817" t="str">
        <x:f>IF(BS43="","",VLOOKUP(BS43,SectInfo!$B:$N,12,FALSE))</x:f>
        <x:v/>
      </x:c>
      <x:c r="DF43" s="815" t="str">
        <x:f>IF(BS43="","",IF(ISBLANK(CB43),VLOOKUP(BS43,SectInfo!$B:$N,13,FALSE),CB43))</x:f>
        <x:v/>
      </x:c>
      <x:c r="DG43" s="815" t="str">
        <x:f>IF(BS43="","",IF(VLOOKUP(BS43,SectInfo!$B:$N,5,FALSE)="","R",UPPER(VLOOKUP(BS43,SectInfo!$B:$N,5,FALSE))))</x:f>
        <x:v/>
      </x:c>
      <x:c r="DH43" s="815" t="str">
        <x:f>IF(BS43="","",IF(ISBLANK(CD43),VLOOKUP(BS43,SectInfo!$B:$N,6,FALSE),CD43))</x:f>
        <x:v/>
      </x:c>
      <x:c r="DI43" s="1286" t="str">
        <x:f>IF(BS43="","",IF(VLOOKUP(BS43,SectInfo!$B:$N,10,FALSE)="","",(IF(CA43="X",VLOOKUP(BS43,SectInfo!$B:$N,10,FALSE),VALUE(CA43))*-1)))</x:f>
        <x:v/>
      </x:c>
      <x:c r="DJ43" s="1122" t="str">
        <x:f>IF(BS43="","",IF(VLOOKUP(BS43,SectInfo!$B:$N,11,FALSE)="","2",(VLOOKUP(BS43,SectInfo!$B:$N,11,FALSE))))</x:f>
        <x:v/>
      </x:c>
      <x:c r="DK43" s="815" t="str">
        <x:f>IF(BS43="","",IF(VLOOKUP(BS43,SectInfo!$B:$N,7,FALSE)="","",(VLOOKUP(BS43,SectInfo!$B:$N,7,FALSE)*-1)))</x:f>
        <x:v/>
      </x:c>
      <x:c r="DL43" s="815" t="str">
        <x:f>IF(BS43="","",IF(VLOOKUP(BS43,SectInfo!$B:$N,8,FALSE)="",VLOOKUP(AU43,$DF$2:$DN$9,6,FALSE),(VLOOKUP(BS43,SectInfo!$B:$N,8,FALSE))))</x:f>
        <x:v/>
      </x:c>
      <x:c r="DM43" s="815" t="str">
        <x:f>IF(BS43="","",VLOOKUP(BS43,SectInfo!$B:$N,9,FALSE))</x:f>
        <x:v/>
      </x:c>
      <x:c r="DN43" s="816">
        <x:f t="shared" si="50"/>
        <x:v>0</x:v>
      </x:c>
      <x:c r="DO43" s="818">
        <x:f t="shared" si="51"/>
        <x:v>0</x:v>
      </x:c>
      <x:c r="DP43" s="822" t="str">
        <x:f t="shared" si="52"/>
        <x:v/>
      </x:c>
      <x:c r="DQ43" s="822" t="str">
        <x:f t="shared" si="53"/>
        <x:v/>
      </x:c>
      <x:c r="DR43" s="822" t="str">
        <x:f t="shared" si="54"/>
        <x:v/>
      </x:c>
      <x:c r="DS43" s="821">
        <x:f t="shared" si="55"/>
        <x:v>0</x:v>
      </x:c>
      <x:c r="DT43" s="821">
        <x:f t="shared" si="56"/>
        <x:v>0</x:v>
      </x:c>
      <x:c r="DU43" s="821" t="str">
        <x:f t="shared" si="57"/>
        <x:v/>
      </x:c>
      <x:c r="DV43" s="822" t="str">
        <x:f t="shared" si="58"/>
        <x:v/>
      </x:c>
      <x:c r="DW43" s="856" t="str">
        <x:f t="shared" si="59"/>
        <x:v/>
      </x:c>
      <x:c r="DX43" s="1006">
        <x:f t="shared" si="60"/>
        <x:v>0</x:v>
      </x:c>
      <x:c r="DY43" s="822">
        <x:f t="shared" si="61"/>
        <x:v>0</x:v>
      </x:c>
      <x:c r="DZ43" s="821">
        <x:f t="shared" si="62"/>
        <x:v>0</x:v>
      </x:c>
      <x:c r="EA43" s="821" t="str">
        <x:f t="shared" si="63"/>
        <x:v/>
      </x:c>
      <x:c r="EB43" s="822" t="str">
        <x:f t="shared" si="64"/>
        <x:v/>
      </x:c>
      <x:c r="EC43" s="856" t="str">
        <x:f t="shared" si="65"/>
        <x:v/>
      </x:c>
      <x:c r="ED43" s="1006">
        <x:f t="shared" si="66"/>
        <x:v>0</x:v>
      </x:c>
      <x:c r="EE43" s="1293" t="str">
        <x:f t="shared" si="67"/>
        <x:v/>
      </x:c>
      <x:c r="EF43" s="1293" t="str">
        <x:f t="shared" si="68"/>
        <x:v/>
      </x:c>
      <x:c r="EG43" s="1293" t="str">
        <x:f t="shared" si="69"/>
        <x:v/>
      </x:c>
      <x:c r="EH43" s="856" t="e">
        <x:f t="shared" si="70"/>
        <x:v>#N/A</x:v>
      </x:c>
      <x:c r="EI43" s="856" t="e">
        <x:f t="shared" si="71"/>
        <x:v>#N/A</x:v>
      </x:c>
      <x:c r="EJ43" s="822" t="str">
        <x:f t="shared" si="72"/>
        <x:v/>
      </x:c>
      <x:c r="EK43" s="822" t="str">
        <x:f t="shared" si="72"/>
        <x:v/>
      </x:c>
      <x:c r="EL43" s="1293" t="str">
        <x:f t="shared" si="73"/>
        <x:v/>
      </x:c>
      <x:c r="EM43" s="822" t="str">
        <x:f t="shared" si="74"/>
        <x:v/>
      </x:c>
      <x:c r="EN43" s="822" t="str">
        <x:f t="shared" si="75"/>
        <x:v/>
      </x:c>
      <x:c r="EO43" s="856" t="e">
        <x:f t="shared" si="76"/>
        <x:v>#N/A</x:v>
      </x:c>
      <x:c r="EP43" s="856" t="e">
        <x:f t="shared" si="77"/>
        <x:v>#N/A</x:v>
      </x:c>
      <x:c r="EQ43" s="1293" t="str">
        <x:f t="shared" si="78"/>
        <x:v/>
      </x:c>
      <x:c r="ER43" s="822" t="str">
        <x:f t="shared" si="78"/>
        <x:v/>
      </x:c>
      <x:c r="ES43" s="822" t="str">
        <x:f t="shared" si="79"/>
        <x:v/>
      </x:c>
      <x:c r="ET43" s="822" t="str">
        <x:f t="shared" si="80"/>
        <x:v/>
      </x:c>
      <x:c r="EU43" s="829" t="str">
        <x:f t="shared" si="81"/>
        <x:v/>
      </x:c>
      <x:c r="EV43" s="824" t="str">
        <x:f t="shared" si="82"/>
        <x:v/>
      </x:c>
      <x:c r="EW43" s="829"/>
      <x:c r="EX43" s="829" t="str">
        <x:f>IF(AND(CU43="G", ISBLANK(BK43), ISBLANK(BL43)),VLOOKUP(MIN(BH43:BI43),TblJoistSize!$M$3:$N$10,2),IF(OR(CU43="B",CU43="G"),MIN(BK43:BL43),""))</x:f>
        <x:v/>
      </x:c>
      <x:c r="EY43" s="829" t="str">
        <x:f>IF(AND(CU43="G", ISBLANK(BK43), ISBLANK(BL43)),VLOOKUP(MAX(BH43:BI43),TblJoistSize!$M$3:$N$10,2),IF(OR(CU43="B",CU43="G"),MAX(BK43:BL43),""))</x:f>
        <x:v/>
      </x:c>
      <x:c r="EZ43" s="829" t="str">
        <x:f t="shared" si="83"/>
        <x:v/>
      </x:c>
      <x:c r="FA43" s="829" t="str">
        <x:f>IF(AND(DE43="G", ISBLANK(BW43), ISBLANK(BX43)),VLOOKUP(MIN(BT43:BU43),TblJoistSize!$M$3:$N$10,2),IF(OR(DE43="B", DE43="G"),MIN(BW43:BX43),""))</x:f>
        <x:v/>
      </x:c>
      <x:c r="FB43" s="829" t="str">
        <x:f>IF(AND(DE43="G", ISBLANK(BW43), ISBLANK(BX43)),VLOOKUP(MAX(BT43:BU43),TblJoistSize!$M$3:$N$10,2),IF(OR(DE43="B", DE43="G"),MAX(BW43:BX43),""))</x:f>
        <x:v/>
      </x:c>
      <x:c r="FC43" s="829" t="str">
        <x:f t="shared" si="84"/>
        <x:v/>
      </x:c>
      <x:c r="FD43" s="821">
        <x:f t="shared" si="107"/>
        <x:v>0</x:v>
      </x:c>
      <x:c r="FE43" s="821">
        <x:f t="shared" si="85"/>
        <x:v>0</x:v>
      </x:c>
      <x:c r="FF43" s="821">
        <x:f t="shared" si="86"/>
        <x:v>0</x:v>
      </x:c>
      <x:c r="FG43" s="821" t="str">
        <x:f t="shared" si="87"/>
        <x:v/>
      </x:c>
      <x:c r="FH43" s="822" t="str">
        <x:f t="shared" si="88"/>
        <x:v/>
      </x:c>
      <x:c r="FI43" s="821">
        <x:f t="shared" si="108"/>
        <x:v>0</x:v>
      </x:c>
      <x:c r="FJ43" s="821">
        <x:f t="shared" si="89"/>
        <x:v>0</x:v>
      </x:c>
      <x:c r="FK43" s="821">
        <x:f t="shared" si="90"/>
        <x:v>0</x:v>
      </x:c>
      <x:c r="FL43" s="821" t="str">
        <x:f t="shared" si="91"/>
        <x:v/>
      </x:c>
      <x:c r="FM43" s="822" t="str">
        <x:f t="shared" si="92"/>
        <x:v/>
      </x:c>
      <x:c r="FN43" s="822" t="e">
        <x:f t="shared" si="93"/>
        <x:v>#VALUE!</x:v>
      </x:c>
      <x:c r="FO43" s="940" t="e">
        <x:f t="shared" si="94"/>
        <x:v>#VALUE!</x:v>
      </x:c>
      <x:c r="FP43" s="940" t="e">
        <x:f t="shared" si="95"/>
        <x:v>#VALUE!</x:v>
      </x:c>
      <x:c r="FQ43" s="830" t="e">
        <x:f t="shared" si="96"/>
        <x:v>#VALUE!</x:v>
      </x:c>
      <x:c r="FR43" s="831" t="e">
        <x:f t="shared" si="97"/>
        <x:v>#VALUE!</x:v>
      </x:c>
      <x:c r="FS43" s="832" t="str">
        <x:f t="shared" si="98"/>
        <x:v/>
      </x:c>
      <x:c r="FT43" s="833" t="str">
        <x:f t="shared" si="99"/>
        <x:v/>
      </x:c>
      <x:c r="FU43" s="870">
        <x:f t="shared" si="100"/>
        <x:v>0</x:v>
      </x:c>
      <x:c r="FV43" s="871">
        <x:f t="shared" si="101"/>
        <x:v>0</x:v>
      </x:c>
      <x:c r="GA43" s="1791" t="str">
        <x:f t="shared" si="119"/>
        <x:v/>
      </x:c>
      <x:c r="GB43" s="1792" t="str">
        <x:f t="shared" si="120"/>
        <x:v/>
      </x:c>
      <x:c r="GC43" s="1793" t="str">
        <x:f t="shared" si="121"/>
        <x:v/>
      </x:c>
      <x:c r="GD43" s="1794" t="str">
        <x:f t="shared" si="122"/>
        <x:v/>
      </x:c>
      <x:c r="GE43" s="1795" t="str">
        <x:f t="shared" si="102"/>
        <x:v/>
      </x:c>
      <x:c r="GF43" s="600" t="str">
        <x:f t="shared" si="103"/>
        <x:v/>
      </x:c>
      <x:c r="GG43" s="1130"/>
      <x:c r="GH43" s="1131"/>
      <x:c r="GI43" s="1130"/>
      <x:c r="GJ43" s="1131"/>
      <x:c r="GK43" s="1638">
        <x:f t="shared" si="104"/>
        <x:v>0</x:v>
      </x:c>
      <x:c r="GL43" s="1636" t="e">
        <x:f t="shared" si="105"/>
        <x:v>#VALUE!</x:v>
      </x:c>
      <x:c r="GM43" s="1637" t="e">
        <x:f>IF(ABS(GK43-GL43)&gt;='Job Info.'!$L$22,ABS(GK43-GL43),0)</x:f>
        <x:v>#VALUE!</x:v>
      </x:c>
      <x:c r="HA43" s="1269"/>
      <x:c r="HB43" s="1270"/>
      <x:c r="HC43" s="1270"/>
      <x:c r="HD43" s="1271"/>
      <x:c r="HE43" s="1272"/>
      <x:c r="HF43" s="1270"/>
      <x:c r="HG43" s="1270"/>
      <x:c r="HH43" s="1270"/>
      <x:c r="HI43" s="1273"/>
      <x:c r="HJ43" s="1270"/>
      <x:c r="HK43" s="1270"/>
      <x:c r="HL43" s="1270"/>
      <x:c r="HM43" s="1270"/>
      <x:c r="HN43" s="1270"/>
      <x:c r="HO43" s="1270"/>
      <x:c r="HP43" s="1270"/>
      <x:c r="HQ43" s="1273"/>
      <x:c r="HR43" s="1270"/>
      <x:c r="HS43" s="1270"/>
      <x:c r="HT43" s="1270"/>
      <x:c r="HU43" s="1270"/>
      <x:c r="HV43" s="1270"/>
      <x:c r="HW43" s="1272"/>
      <x:c r="HX43" s="1272"/>
      <x:c r="HY43" s="1272"/>
      <x:c r="HZ43" s="1272"/>
      <x:c r="IA43" s="1272"/>
      <x:c r="IB43" s="1272"/>
      <x:c r="IC43" s="1272"/>
      <x:c r="ID43" s="1272"/>
      <x:c r="IE43" s="1272"/>
      <x:c r="IF43" s="1274"/>
    </x:row>
    <x:row r="44" spans="1:240" ht="12.6" customHeight="1" x14ac:dyDescent="0.25">
      <x:c r="A44" s="2764" t="str">
        <x:f t="shared" si="109"/>
        <x:v/>
      </x:c>
      <x:c r="B44" s="2765"/>
      <x:c r="C44" s="2766" t="str">
        <x:f t="shared" si="110"/>
        <x:v/>
      </x:c>
      <x:c r="D44" s="2767" t="str">
        <x:f t="shared" si="111"/>
        <x:v/>
      </x:c>
      <x:c r="E44" s="2768" t="str">
        <x:f t="shared" si="112"/>
        <x:v/>
      </x:c>
      <x:c r="F44" s="2776" t="str">
        <x:f t="shared" si="1"/>
        <x:v/>
      </x:c>
      <x:c r="G44" s="2771" t="str">
        <x:f t="shared" si="2"/>
        <x:v/>
      </x:c>
      <x:c r="H44" s="2842" t="str">
        <x:f t="shared" si="3"/>
        <x:v/>
      </x:c>
      <x:c r="I44" s="2767" t="str">
        <x:f t="shared" si="4"/>
        <x:v/>
      </x:c>
      <x:c r="J44" s="2771" t="str">
        <x:f t="shared" si="5"/>
        <x:v/>
      </x:c>
      <x:c r="K44" s="2855" t="str">
        <x:f t="shared" si="6"/>
        <x:v/>
      </x:c>
      <x:c r="L44" s="2774" t="str">
        <x:f t="shared" si="113"/>
        <x:v/>
      </x:c>
      <x:c r="M44" s="2775" t="str">
        <x:f t="shared" si="113"/>
        <x:v/>
      </x:c>
      <x:c r="N44" s="2770" t="str">
        <x:f t="shared" si="7"/>
        <x:v/>
      </x:c>
      <x:c r="O44" s="2771" t="str">
        <x:f t="shared" si="8"/>
        <x:v/>
      </x:c>
      <x:c r="P44" s="2772" t="str">
        <x:f t="shared" si="9"/>
        <x:v/>
      </x:c>
      <x:c r="Q44" s="2767" t="str">
        <x:f t="shared" si="10"/>
        <x:v/>
      </x:c>
      <x:c r="R44" s="2771" t="str">
        <x:f t="shared" si="11"/>
        <x:v/>
      </x:c>
      <x:c r="S44" s="2773" t="str">
        <x:f t="shared" si="12"/>
        <x:v/>
      </x:c>
      <x:c r="T44" s="2776" t="str">
        <x:f t="shared" si="114"/>
        <x:v/>
      </x:c>
      <x:c r="U44" s="2771" t="str">
        <x:f t="shared" si="115"/>
        <x:v/>
      </x:c>
      <x:c r="V44" s="2767" t="str">
        <x:f t="shared" si="116"/>
        <x:v/>
      </x:c>
      <x:c r="W44" s="2771" t="str">
        <x:f t="shared" si="117"/>
        <x:v/>
      </x:c>
      <x:c r="X44" s="2775">
        <x:f t="shared" si="118"/>
        <x:v>0</x:v>
      </x:c>
      <x:c r="Y44" s="2844" t="str">
        <x:f t="shared" si="13"/>
        <x:v/>
      </x:c>
      <x:c r="Z44" s="2845" t="str">
        <x:f t="shared" si="14"/>
        <x:v/>
      </x:c>
      <x:c r="AA44" s="2846" t="s">
        <x:v>116</x:v>
      </x:c>
      <x:c r="AB44" s="1413"/>
      <x:c r="AC44" s="964" t="b">
        <x:v>0</x:v>
      </x:c>
      <x:c r="AD44" s="441">
        <x:f t="shared" si="15"/>
        <x:v>0</x:v>
      </x:c>
      <x:c r="AE44" s="442">
        <x:f t="shared" si="16"/>
        <x:v>0</x:v>
      </x:c>
      <x:c r="AF44" s="442">
        <x:f t="shared" si="17"/>
        <x:v>0</x:v>
      </x:c>
      <x:c r="AG44" s="442">
        <x:f t="shared" si="18"/>
        <x:v>0</x:v>
      </x:c>
      <x:c r="AH44" s="443">
        <x:f t="shared" si="19"/>
        <x:v>0</x:v>
      </x:c>
      <x:c r="AI44" s="444" t="b">
        <x:v>0</x:v>
      </x:c>
      <x:c r="AJ44" s="238">
        <x:f t="shared" si="20"/>
        <x:v>0</x:v>
      </x:c>
      <x:c r="AK44" s="830" t="str">
        <x:f t="shared" si="21"/>
        <x:v/>
      </x:c>
      <x:c r="AL44" s="945" t="str">
        <x:f t="shared" si="22"/>
        <x:v/>
      </x:c>
      <x:c r="AM44" s="830" t="str">
        <x:f t="shared" si="23"/>
        <x:v/>
      </x:c>
      <x:c r="AN44" s="830" t="str">
        <x:f t="shared" si="24"/>
        <x:v/>
      </x:c>
      <x:c r="AO44" s="830" t="str">
        <x:f t="shared" si="25"/>
        <x:v/>
      </x:c>
      <x:c r="AP44" s="830" t="b">
        <x:f>IF(ISERROR(AJ44),FALSE,IF(OR(AJ44=0,ISERROR(AL44),ISERROR(AM44),ISERROR(AN44),ISERROR(AO44)),FALSE,IF(AL44&lt;&gt;"",IF(ISERROR(VLOOKUP(SUBSTITUTE(SUBSTITUTE(C44,"R",""),"A",""),TblJoistSize!$A:$A,1,FALSE)),FALSE,TRUE),TRUE)))</x:f>
        <x:v>0</x:v>
      </x:c>
      <x:c r="AQ44" s="1038" t="e">
        <x:f t="shared" si="26"/>
        <x:v>#N/A</x:v>
      </x:c>
      <x:c r="AR44" s="945" t="b">
        <x:f t="shared" si="27"/>
        <x:v>0</x:v>
      </x:c>
      <x:c r="AS44" s="1038" t="e">
        <x:f t="shared" si="28"/>
        <x:v>#N/A</x:v>
      </x:c>
      <x:c r="AT44" s="945" t="b">
        <x:f t="shared" si="29"/>
        <x:v>0</x:v>
      </x:c>
      <x:c r="AU44" s="946" t="str">
        <x:f t="shared" si="30"/>
        <x:v/>
      </x:c>
      <x:c r="AV44" s="830" t="str">
        <x:f t="shared" si="31"/>
        <x:v/>
      </x:c>
      <x:c r="AW44" s="830" t="str">
        <x:f t="shared" si="32"/>
        <x:v/>
      </x:c>
      <x:c r="AX44" s="830" t="str">
        <x:f t="shared" si="106"/>
        <x:v/>
      </x:c>
      <x:c r="AY44" s="1039" t="b">
        <x:f t="shared" si="33"/>
        <x:v>0</x:v>
      </x:c>
      <x:c r="AZ44" s="856" t="str">
        <x:f t="shared" si="34"/>
        <x:v/>
      </x:c>
      <x:c r="BA44" s="549"/>
      <x:c r="BB44" s="672"/>
      <x:c r="BC44" s="1684"/>
      <x:c r="BD44" s="733"/>
      <x:c r="BE44" s="734"/>
      <x:c r="BF44" s="735"/>
      <x:c r="BG44" s="672"/>
      <x:c r="BH44" s="982"/>
      <x:c r="BI44" s="983"/>
      <x:c r="BJ44" s="1625"/>
      <x:c r="BK44" s="713"/>
      <x:c r="BL44" s="714"/>
      <x:c r="BM44" s="715"/>
      <x:c r="BN44" s="716"/>
      <x:c r="BO44" s="672" t="str">
        <x:f>IF(ISERROR(CU44),"",IF(CU44="","",IF(VLOOKUP(BG44,SectInfo!$B:$N,10,FALSE)="","","X")))</x:f>
        <x:v/>
      </x:c>
      <x:c r="BP44" s="738"/>
      <x:c r="BQ44" s="1551" t="str">
        <x:f t="shared" si="35"/>
        <x:v/>
      </x:c>
      <x:c r="BR44" s="910"/>
      <x:c r="BS44" s="672"/>
      <x:c r="BT44" s="713"/>
      <x:c r="BU44" s="714"/>
      <x:c r="BV44" s="1625"/>
      <x:c r="BW44" s="713"/>
      <x:c r="BX44" s="714"/>
      <x:c r="BY44" s="715"/>
      <x:c r="BZ44" s="716"/>
      <x:c r="CA44" s="680" t="str">
        <x:f>IF(ISERROR(DE44),"",IF(DE44="","",IF(VLOOKUP(BS44,SectInfo!$B:$N,10,FALSE)="","","X")))</x:f>
        <x:v/>
      </x:c>
      <x:c r="CB44" s="738"/>
      <x:c r="CC44" s="1551" t="str">
        <x:f t="shared" si="36"/>
        <x:v/>
      </x:c>
      <x:c r="CD44" s="910"/>
      <x:c r="CE44" s="717"/>
      <x:c r="CF44" s="736"/>
      <x:c r="CG44" s="737"/>
      <x:c r="CH44" s="591" t="str">
        <x:f t="shared" si="37"/>
        <x:v/>
      </x:c>
      <x:c r="CI44" s="592" t="str">
        <x:f t="shared" si="38"/>
        <x:v/>
      </x:c>
      <x:c r="CJ44" s="593" t="str">
        <x:f t="shared" si="39"/>
        <x:v/>
      </x:c>
      <x:c r="CK44" s="594" t="str">
        <x:f t="shared" si="40"/>
        <x:v/>
      </x:c>
      <x:c r="CL44" s="595" t="str">
        <x:f t="shared" si="41"/>
        <x:v/>
      </x:c>
      <x:c r="CM44" s="596" t="str">
        <x:f t="shared" si="42"/>
        <x:v/>
      </x:c>
      <x:c r="CN44" s="597" t="str">
        <x:f t="shared" si="43"/>
        <x:v/>
      </x:c>
      <x:c r="CO44" s="598" t="str">
        <x:f t="shared" si="44"/>
        <x:v/>
      </x:c>
      <x:c r="CP44" s="615" t="str">
        <x:f t="shared" si="45"/>
        <x:v/>
      </x:c>
      <x:c r="CQ44" s="616" t="str">
        <x:f t="shared" si="46"/>
        <x:v/>
      </x:c>
      <x:c r="CR44" s="750" t="str">
        <x:f t="shared" si="47"/>
        <x:v/>
      </x:c>
      <x:c r="CS44" s="751" t="str">
        <x:f t="shared" si="48"/>
        <x:v/>
      </x:c>
      <x:c r="CU44" s="817" t="str">
        <x:f>IF(BG44="","",VLOOKUP(BG44,SectInfo!$B:$N,12,FALSE))</x:f>
        <x:v/>
      </x:c>
      <x:c r="CV44" s="815" t="str">
        <x:f>IF(BG44="","",IF(ISBLANK(BP44),VLOOKUP(BG44,SectInfo!$B:$N,13,FALSE),BP44))</x:f>
        <x:v/>
      </x:c>
      <x:c r="CW44" s="815" t="str">
        <x:f>IF(BG44="","",IF(VLOOKUP(BG44,SectInfo!$B:$N,5,FALSE)="","R",UPPER(VLOOKUP(BG44,SectInfo!$B:$N,5,FALSE))))</x:f>
        <x:v/>
      </x:c>
      <x:c r="CX44" s="815" t="str">
        <x:f>IF(BG44="","",IF(ISBLANK(BR44),VLOOKUP(BG44,SectInfo!$B:$N,6,FALSE),BR44))</x:f>
        <x:v/>
      </x:c>
      <x:c r="CY44" s="1286" t="str">
        <x:f>IF(BG44="","",IF(VLOOKUP(BG44,SectInfo!$B:$N,10,FALSE)="","",(IF(BO44="X",VLOOKUP(BG44,SectInfo!$B:$N,10,FALSE),VALUE(BO44))*-1)))</x:f>
        <x:v/>
      </x:c>
      <x:c r="CZ44" s="1122" t="str">
        <x:f>IF(BG44="","",IF(VLOOKUP(BG44,SectInfo!$B:$N,11,FALSE)="","2",(VLOOKUP(BG44,SectInfo!$B:$N,11,FALSE))))</x:f>
        <x:v/>
      </x:c>
      <x:c r="DA44" s="815" t="str">
        <x:f>IF(BG44="","",IF(VLOOKUP(BG44,SectInfo!$B:$N,7,FALSE)="","",(VLOOKUP(BG44,SectInfo!$B:$N,7,FALSE)*-1)))</x:f>
        <x:v/>
      </x:c>
      <x:c r="DB44" s="815" t="str">
        <x:f>IF(BG44="","",IF(VLOOKUP(BG44,SectInfo!$B:$N,8,FALSE)="",VLOOKUP(AU44,$DF$2:$DN$9,6,FALSE),(VLOOKUP(BG44,SectInfo!$B:$N,8,FALSE))))</x:f>
        <x:v/>
      </x:c>
      <x:c r="DC44" s="815" t="str">
        <x:f>IF(BG44="","",VLOOKUP(BG44,SectInfo!$B:$N,9,FALSE))</x:f>
        <x:v/>
      </x:c>
      <x:c r="DD44" s="816">
        <x:f t="shared" si="49"/>
        <x:v>0</x:v>
      </x:c>
      <x:c r="DE44" s="817" t="str">
        <x:f>IF(BS44="","",VLOOKUP(BS44,SectInfo!$B:$N,12,FALSE))</x:f>
        <x:v/>
      </x:c>
      <x:c r="DF44" s="815" t="str">
        <x:f>IF(BS44="","",IF(ISBLANK(CB44),VLOOKUP(BS44,SectInfo!$B:$N,13,FALSE),CB44))</x:f>
        <x:v/>
      </x:c>
      <x:c r="DG44" s="815" t="str">
        <x:f>IF(BS44="","",IF(VLOOKUP(BS44,SectInfo!$B:$N,5,FALSE)="","R",UPPER(VLOOKUP(BS44,SectInfo!$B:$N,5,FALSE))))</x:f>
        <x:v/>
      </x:c>
      <x:c r="DH44" s="815" t="str">
        <x:f>IF(BS44="","",IF(ISBLANK(CD44),VLOOKUP(BS44,SectInfo!$B:$N,6,FALSE),CD44))</x:f>
        <x:v/>
      </x:c>
      <x:c r="DI44" s="1286" t="str">
        <x:f>IF(BS44="","",IF(VLOOKUP(BS44,SectInfo!$B:$N,10,FALSE)="","",(IF(CA44="X",VLOOKUP(BS44,SectInfo!$B:$N,10,FALSE),VALUE(CA44))*-1)))</x:f>
        <x:v/>
      </x:c>
      <x:c r="DJ44" s="1122" t="str">
        <x:f>IF(BS44="","",IF(VLOOKUP(BS44,SectInfo!$B:$N,11,FALSE)="","2",(VLOOKUP(BS44,SectInfo!$B:$N,11,FALSE))))</x:f>
        <x:v/>
      </x:c>
      <x:c r="DK44" s="815" t="str">
        <x:f>IF(BS44="","",IF(VLOOKUP(BS44,SectInfo!$B:$N,7,FALSE)="","",(VLOOKUP(BS44,SectInfo!$B:$N,7,FALSE)*-1)))</x:f>
        <x:v/>
      </x:c>
      <x:c r="DL44" s="815" t="str">
        <x:f>IF(BS44="","",IF(VLOOKUP(BS44,SectInfo!$B:$N,8,FALSE)="",VLOOKUP(AU44,$DF$2:$DN$9,6,FALSE),(VLOOKUP(BS44,SectInfo!$B:$N,8,FALSE))))</x:f>
        <x:v/>
      </x:c>
      <x:c r="DM44" s="815" t="str">
        <x:f>IF(BS44="","",VLOOKUP(BS44,SectInfo!$B:$N,9,FALSE))</x:f>
        <x:v/>
      </x:c>
      <x:c r="DN44" s="816">
        <x:f t="shared" si="50"/>
        <x:v>0</x:v>
      </x:c>
      <x:c r="DO44" s="818">
        <x:f t="shared" si="51"/>
        <x:v>0</x:v>
      </x:c>
      <x:c r="DP44" s="822" t="str">
        <x:f t="shared" si="52"/>
        <x:v/>
      </x:c>
      <x:c r="DQ44" s="822" t="str">
        <x:f t="shared" si="53"/>
        <x:v/>
      </x:c>
      <x:c r="DR44" s="822" t="str">
        <x:f t="shared" si="54"/>
        <x:v/>
      </x:c>
      <x:c r="DS44" s="821">
        <x:f t="shared" si="55"/>
        <x:v>0</x:v>
      </x:c>
      <x:c r="DT44" s="821">
        <x:f t="shared" si="56"/>
        <x:v>0</x:v>
      </x:c>
      <x:c r="DU44" s="821" t="str">
        <x:f t="shared" si="57"/>
        <x:v/>
      </x:c>
      <x:c r="DV44" s="822" t="str">
        <x:f t="shared" si="58"/>
        <x:v/>
      </x:c>
      <x:c r="DW44" s="856" t="str">
        <x:f t="shared" si="59"/>
        <x:v/>
      </x:c>
      <x:c r="DX44" s="1006">
        <x:f t="shared" si="60"/>
        <x:v>0</x:v>
      </x:c>
      <x:c r="DY44" s="822">
        <x:f t="shared" si="61"/>
        <x:v>0</x:v>
      </x:c>
      <x:c r="DZ44" s="821">
        <x:f t="shared" si="62"/>
        <x:v>0</x:v>
      </x:c>
      <x:c r="EA44" s="821" t="str">
        <x:f t="shared" si="63"/>
        <x:v/>
      </x:c>
      <x:c r="EB44" s="822" t="str">
        <x:f t="shared" si="64"/>
        <x:v/>
      </x:c>
      <x:c r="EC44" s="856" t="str">
        <x:f t="shared" si="65"/>
        <x:v/>
      </x:c>
      <x:c r="ED44" s="1006">
        <x:f t="shared" si="66"/>
        <x:v>0</x:v>
      </x:c>
      <x:c r="EE44" s="1293" t="str">
        <x:f t="shared" si="67"/>
        <x:v/>
      </x:c>
      <x:c r="EF44" s="1293" t="str">
        <x:f t="shared" si="68"/>
        <x:v/>
      </x:c>
      <x:c r="EG44" s="1293" t="str">
        <x:f t="shared" si="69"/>
        <x:v/>
      </x:c>
      <x:c r="EH44" s="856" t="e">
        <x:f t="shared" si="70"/>
        <x:v>#N/A</x:v>
      </x:c>
      <x:c r="EI44" s="856" t="e">
        <x:f t="shared" si="71"/>
        <x:v>#N/A</x:v>
      </x:c>
      <x:c r="EJ44" s="822" t="str">
        <x:f t="shared" si="72"/>
        <x:v/>
      </x:c>
      <x:c r="EK44" s="822" t="str">
        <x:f t="shared" si="72"/>
        <x:v/>
      </x:c>
      <x:c r="EL44" s="1293" t="str">
        <x:f t="shared" si="73"/>
        <x:v/>
      </x:c>
      <x:c r="EM44" s="822" t="str">
        <x:f t="shared" si="74"/>
        <x:v/>
      </x:c>
      <x:c r="EN44" s="822" t="str">
        <x:f t="shared" si="75"/>
        <x:v/>
      </x:c>
      <x:c r="EO44" s="856" t="e">
        <x:f t="shared" si="76"/>
        <x:v>#N/A</x:v>
      </x:c>
      <x:c r="EP44" s="856" t="e">
        <x:f t="shared" si="77"/>
        <x:v>#N/A</x:v>
      </x:c>
      <x:c r="EQ44" s="1293" t="str">
        <x:f t="shared" si="78"/>
        <x:v/>
      </x:c>
      <x:c r="ER44" s="822" t="str">
        <x:f t="shared" si="78"/>
        <x:v/>
      </x:c>
      <x:c r="ES44" s="822" t="str">
        <x:f t="shared" si="79"/>
        <x:v/>
      </x:c>
      <x:c r="ET44" s="822" t="str">
        <x:f t="shared" si="80"/>
        <x:v/>
      </x:c>
      <x:c r="EU44" s="829" t="str">
        <x:f t="shared" si="81"/>
        <x:v/>
      </x:c>
      <x:c r="EV44" s="824" t="str">
        <x:f t="shared" si="82"/>
        <x:v/>
      </x:c>
      <x:c r="EW44" s="829"/>
      <x:c r="EX44" s="829" t="str">
        <x:f>IF(AND(CU44="G", ISBLANK(BK44), ISBLANK(BL44)),VLOOKUP(MIN(BH44:BI44),TblJoistSize!$M$3:$N$10,2),IF(OR(CU44="B",CU44="G"),MIN(BK44:BL44),""))</x:f>
        <x:v/>
      </x:c>
      <x:c r="EY44" s="829" t="str">
        <x:f>IF(AND(CU44="G", ISBLANK(BK44), ISBLANK(BL44)),VLOOKUP(MAX(BH44:BI44),TblJoistSize!$M$3:$N$10,2),IF(OR(CU44="B",CU44="G"),MAX(BK44:BL44),""))</x:f>
        <x:v/>
      </x:c>
      <x:c r="EZ44" s="829" t="str">
        <x:f t="shared" si="83"/>
        <x:v/>
      </x:c>
      <x:c r="FA44" s="829" t="str">
        <x:f>IF(AND(DE44="G", ISBLANK(BW44), ISBLANK(BX44)),VLOOKUP(MIN(BT44:BU44),TblJoistSize!$M$3:$N$10,2),IF(OR(DE44="B", DE44="G"),MIN(BW44:BX44),""))</x:f>
        <x:v/>
      </x:c>
      <x:c r="FB44" s="829" t="str">
        <x:f>IF(AND(DE44="G", ISBLANK(BW44), ISBLANK(BX44)),VLOOKUP(MAX(BT44:BU44),TblJoistSize!$M$3:$N$10,2),IF(OR(DE44="B", DE44="G"),MAX(BW44:BX44),""))</x:f>
        <x:v/>
      </x:c>
      <x:c r="FC44" s="829" t="str">
        <x:f t="shared" si="84"/>
        <x:v/>
      </x:c>
      <x:c r="FD44" s="821">
        <x:f t="shared" si="107"/>
        <x:v>0</x:v>
      </x:c>
      <x:c r="FE44" s="821">
        <x:f t="shared" si="85"/>
        <x:v>0</x:v>
      </x:c>
      <x:c r="FF44" s="821">
        <x:f t="shared" si="86"/>
        <x:v>0</x:v>
      </x:c>
      <x:c r="FG44" s="821" t="str">
        <x:f t="shared" si="87"/>
        <x:v/>
      </x:c>
      <x:c r="FH44" s="822" t="str">
        <x:f t="shared" si="88"/>
        <x:v/>
      </x:c>
      <x:c r="FI44" s="821">
        <x:f t="shared" si="108"/>
        <x:v>0</x:v>
      </x:c>
      <x:c r="FJ44" s="821">
        <x:f t="shared" si="89"/>
        <x:v>0</x:v>
      </x:c>
      <x:c r="FK44" s="821">
        <x:f t="shared" si="90"/>
        <x:v>0</x:v>
      </x:c>
      <x:c r="FL44" s="821" t="str">
        <x:f t="shared" si="91"/>
        <x:v/>
      </x:c>
      <x:c r="FM44" s="822" t="str">
        <x:f t="shared" si="92"/>
        <x:v/>
      </x:c>
      <x:c r="FN44" s="822" t="e">
        <x:f t="shared" si="93"/>
        <x:v>#VALUE!</x:v>
      </x:c>
      <x:c r="FO44" s="940" t="e">
        <x:f t="shared" si="94"/>
        <x:v>#VALUE!</x:v>
      </x:c>
      <x:c r="FP44" s="940" t="e">
        <x:f t="shared" si="95"/>
        <x:v>#VALUE!</x:v>
      </x:c>
      <x:c r="FQ44" s="830" t="e">
        <x:f t="shared" si="96"/>
        <x:v>#VALUE!</x:v>
      </x:c>
      <x:c r="FR44" s="831" t="e">
        <x:f t="shared" si="97"/>
        <x:v>#VALUE!</x:v>
      </x:c>
      <x:c r="FS44" s="832" t="str">
        <x:f t="shared" si="98"/>
        <x:v/>
      </x:c>
      <x:c r="FT44" s="833" t="str">
        <x:f t="shared" si="99"/>
        <x:v/>
      </x:c>
      <x:c r="FU44" s="870">
        <x:f t="shared" si="100"/>
        <x:v>0</x:v>
      </x:c>
      <x:c r="FV44" s="871">
        <x:f t="shared" si="101"/>
        <x:v>0</x:v>
      </x:c>
      <x:c r="GA44" s="1791" t="str">
        <x:f t="shared" si="119"/>
        <x:v/>
      </x:c>
      <x:c r="GB44" s="1792" t="str">
        <x:f t="shared" si="120"/>
        <x:v/>
      </x:c>
      <x:c r="GC44" s="1793" t="str">
        <x:f t="shared" si="121"/>
        <x:v/>
      </x:c>
      <x:c r="GD44" s="1794" t="str">
        <x:f t="shared" si="122"/>
        <x:v/>
      </x:c>
      <x:c r="GE44" s="1795" t="str">
        <x:f t="shared" si="102"/>
        <x:v/>
      </x:c>
      <x:c r="GF44" s="600" t="str">
        <x:f t="shared" si="103"/>
        <x:v/>
      </x:c>
      <x:c r="GG44" s="1130"/>
      <x:c r="GH44" s="1131"/>
      <x:c r="GI44" s="1130"/>
      <x:c r="GJ44" s="1131"/>
      <x:c r="GK44" s="1638">
        <x:f t="shared" si="104"/>
        <x:v>0</x:v>
      </x:c>
      <x:c r="GL44" s="1636" t="e">
        <x:f t="shared" si="105"/>
        <x:v>#VALUE!</x:v>
      </x:c>
      <x:c r="GM44" s="1637" t="e">
        <x:f>IF(ABS(GK44-GL44)&gt;='Job Info.'!$L$22,ABS(GK44-GL44),0)</x:f>
        <x:v>#VALUE!</x:v>
      </x:c>
      <x:c r="HA44" s="1269"/>
      <x:c r="HB44" s="1270"/>
      <x:c r="HC44" s="1270"/>
      <x:c r="HD44" s="1271"/>
      <x:c r="HE44" s="1272"/>
      <x:c r="HF44" s="1270"/>
      <x:c r="HG44" s="1270"/>
      <x:c r="HH44" s="1270"/>
      <x:c r="HI44" s="1273"/>
      <x:c r="HJ44" s="1270"/>
      <x:c r="HK44" s="1270"/>
      <x:c r="HL44" s="1270"/>
      <x:c r="HM44" s="1270"/>
      <x:c r="HN44" s="1270"/>
      <x:c r="HO44" s="1270"/>
      <x:c r="HP44" s="1270"/>
      <x:c r="HQ44" s="1273"/>
      <x:c r="HR44" s="1270"/>
      <x:c r="HS44" s="1270"/>
      <x:c r="HT44" s="1270"/>
      <x:c r="HU44" s="1270"/>
      <x:c r="HV44" s="1270"/>
      <x:c r="HW44" s="1272"/>
      <x:c r="HX44" s="1272"/>
      <x:c r="HY44" s="1272"/>
      <x:c r="HZ44" s="1272"/>
      <x:c r="IA44" s="1272"/>
      <x:c r="IB44" s="1272"/>
      <x:c r="IC44" s="1272"/>
      <x:c r="ID44" s="1272"/>
      <x:c r="IE44" s="1272"/>
      <x:c r="IF44" s="1274"/>
    </x:row>
    <x:row r="45" spans="1:240" ht="12.6" customHeight="1" thickBot="1" x14ac:dyDescent="0.3">
      <x:c r="A45" s="2782" t="str">
        <x:f>IF(BB45="","",UPPER(BB45))</x:f>
        <x:v/>
      </x:c>
      <x:c r="B45" s="2783"/>
      <x:c r="C45" s="2784" t="str">
        <x:f>IF(BD45="","",UPPER(BD45))</x:f>
        <x:v/>
      </x:c>
      <x:c r="D45" s="2785" t="str">
        <x:f>IF(DP45="","",TRUNC(DP45/12))</x:f>
        <x:v/>
      </x:c>
      <x:c r="E45" s="2786" t="str">
        <x:f>IF(DP45="","",DP45-(D45*12))</x:f>
        <x:v/>
      </x:c>
      <x:c r="F45" s="2794" t="str">
        <x:f>IF(DX45=0,"",TRUNC(DX45/12))</x:f>
        <x:v/>
      </x:c>
      <x:c r="G45" s="2789" t="str">
        <x:f>IF(DX45=0,"",DX45-(F45*12))</x:f>
        <x:v/>
      </x:c>
      <x:c r="H45" s="2848" t="str">
        <x:f>IF(DX45=0,"",CW45)</x:f>
        <x:v/>
      </x:c>
      <x:c r="I45" s="2785" t="str">
        <x:f>IF(ED45=0,"",TRUNC(ED45/12))</x:f>
        <x:v/>
      </x:c>
      <x:c r="J45" s="2789" t="str">
        <x:f>IF(ED45=0,"",ED45-(I45*12))</x:f>
        <x:v/>
      </x:c>
      <x:c r="K45" s="2856" t="str">
        <x:f>IF(ED45=0,"",DG45)</x:f>
        <x:v/>
      </x:c>
      <x:c r="L45" s="2792" t="str">
        <x:f>DQ45</x:f>
        <x:v/>
      </x:c>
      <x:c r="M45" s="2793" t="str">
        <x:f>DR45</x:f>
        <x:v/>
      </x:c>
      <x:c r="N45" s="2788" t="str">
        <x:f t="shared" si="7"/>
        <x:v/>
      </x:c>
      <x:c r="O45" s="2789" t="str">
        <x:f t="shared" si="8"/>
        <x:v/>
      </x:c>
      <x:c r="P45" s="2790" t="str">
        <x:f t="shared" si="9"/>
        <x:v/>
      </x:c>
      <x:c r="Q45" s="2785" t="str">
        <x:f t="shared" si="10"/>
        <x:v/>
      </x:c>
      <x:c r="R45" s="2789" t="str">
        <x:f t="shared" si="11"/>
        <x:v/>
      </x:c>
      <x:c r="S45" s="2791" t="str">
        <x:f t="shared" si="12"/>
        <x:v/>
      </x:c>
      <x:c r="T45" s="2794" t="str">
        <x:f t="shared" si="114"/>
        <x:v/>
      </x:c>
      <x:c r="U45" s="2789" t="str">
        <x:f t="shared" si="115"/>
        <x:v/>
      </x:c>
      <x:c r="V45" s="2785" t="str">
        <x:f t="shared" si="116"/>
        <x:v/>
      </x:c>
      <x:c r="W45" s="2789" t="str">
        <x:f t="shared" si="117"/>
        <x:v/>
      </x:c>
      <x:c r="X45" s="2793">
        <x:f>IF(EV45="",0,EV45)</x:f>
        <x:v>0</x:v>
      </x:c>
      <x:c r="Y45" s="2850" t="str">
        <x:f>FG45</x:f>
        <x:v/>
      </x:c>
      <x:c r="Z45" s="2851" t="str">
        <x:f>FL45</x:f>
        <x:v/>
      </x:c>
      <x:c r="AA45" s="2852" t="s">
        <x:v>116</x:v>
      </x:c>
      <x:c r="AB45" s="1413"/>
      <x:c r="AC45" s="964" t="b">
        <x:v>0</x:v>
      </x:c>
      <x:c r="AD45" s="441">
        <x:f t="shared" si="15"/>
        <x:v>0</x:v>
      </x:c>
      <x:c r="AE45" s="442">
        <x:f t="shared" si="16"/>
        <x:v>0</x:v>
      </x:c>
      <x:c r="AF45" s="442">
        <x:f t="shared" si="17"/>
        <x:v>0</x:v>
      </x:c>
      <x:c r="AG45" s="442">
        <x:f t="shared" si="18"/>
        <x:v>0</x:v>
      </x:c>
      <x:c r="AH45" s="443">
        <x:f t="shared" si="19"/>
        <x:v>0</x:v>
      </x:c>
      <x:c r="AI45" s="444" t="b">
        <x:v>0</x:v>
      </x:c>
      <x:c r="AJ45" s="238">
        <x:f t="shared" si="20"/>
        <x:v>0</x:v>
      </x:c>
      <x:c r="AK45" s="830" t="str">
        <x:f t="shared" si="21"/>
        <x:v/>
      </x:c>
      <x:c r="AL45" s="945" t="str">
        <x:f t="shared" si="22"/>
        <x:v/>
      </x:c>
      <x:c r="AM45" s="830" t="str">
        <x:f t="shared" si="23"/>
        <x:v/>
      </x:c>
      <x:c r="AN45" s="830" t="str">
        <x:f t="shared" si="24"/>
        <x:v/>
      </x:c>
      <x:c r="AO45" s="830" t="str">
        <x:f t="shared" si="25"/>
        <x:v/>
      </x:c>
      <x:c r="AP45" s="830" t="b">
        <x:f>IF(ISERROR(AJ45),FALSE,IF(OR(AJ45=0,ISERROR(AL45),ISERROR(AM45),ISERROR(AN45),ISERROR(AO45)),FALSE,IF(AL45&lt;&gt;"",IF(ISERROR(VLOOKUP(SUBSTITUTE(SUBSTITUTE(C45,"R",""),"A",""),TblJoistSize!$A:$A,1,FALSE)),FALSE,TRUE),TRUE)))</x:f>
        <x:v>0</x:v>
      </x:c>
      <x:c r="AQ45" s="1038" t="e">
        <x:f t="shared" si="26"/>
        <x:v>#N/A</x:v>
      </x:c>
      <x:c r="AR45" s="945" t="b">
        <x:f t="shared" si="27"/>
        <x:v>0</x:v>
      </x:c>
      <x:c r="AS45" s="1038" t="e">
        <x:f t="shared" si="28"/>
        <x:v>#N/A</x:v>
      </x:c>
      <x:c r="AT45" s="945" t="b">
        <x:f t="shared" si="29"/>
        <x:v>0</x:v>
      </x:c>
      <x:c r="AU45" s="946" t="str">
        <x:f t="shared" si="30"/>
        <x:v/>
      </x:c>
      <x:c r="AV45" s="830" t="str">
        <x:f t="shared" si="31"/>
        <x:v/>
      </x:c>
      <x:c r="AW45" s="830" t="str">
        <x:f t="shared" si="32"/>
        <x:v/>
      </x:c>
      <x:c r="AX45" s="830" t="str">
        <x:f t="shared" si="106"/>
        <x:v/>
      </x:c>
      <x:c r="AY45" s="1039" t="b">
        <x:f t="shared" si="33"/>
        <x:v>0</x:v>
      </x:c>
      <x:c r="AZ45" s="856" t="str">
        <x:f t="shared" si="34"/>
        <x:v/>
      </x:c>
      <x:c r="BA45" s="549"/>
      <x:c r="BB45" s="681"/>
      <x:c r="BC45" s="1685"/>
      <x:c r="BD45" s="807"/>
      <x:c r="BE45" s="808"/>
      <x:c r="BF45" s="809"/>
      <x:c r="BG45" s="681"/>
      <x:c r="BH45" s="985"/>
      <x:c r="BI45" s="986"/>
      <x:c r="BJ45" s="1626"/>
      <x:c r="BK45" s="718"/>
      <x:c r="BL45" s="719"/>
      <x:c r="BM45" s="720"/>
      <x:c r="BN45" s="721"/>
      <x:c r="BO45" s="681" t="str">
        <x:f>IF(ISERROR(CU45),"",IF(CU45="","",IF(VLOOKUP(BG45,SectInfo!$B:$N,10,FALSE)="","","X")))</x:f>
        <x:v/>
      </x:c>
      <x:c r="BP45" s="741"/>
      <x:c r="BQ45" s="1552" t="str">
        <x:f t="shared" si="35"/>
        <x:v/>
      </x:c>
      <x:c r="BR45" s="911"/>
      <x:c r="BS45" s="681"/>
      <x:c r="BT45" s="718"/>
      <x:c r="BU45" s="719"/>
      <x:c r="BV45" s="1626"/>
      <x:c r="BW45" s="718"/>
      <x:c r="BX45" s="719"/>
      <x:c r="BY45" s="720"/>
      <x:c r="BZ45" s="721"/>
      <x:c r="CA45" s="689" t="str">
        <x:f>IF(ISERROR(DE45),"",IF(DE45="","",IF(VLOOKUP(BS45,SectInfo!$B:$N,10,FALSE)="","","X")))</x:f>
        <x:v/>
      </x:c>
      <x:c r="CB45" s="741"/>
      <x:c r="CC45" s="1552" t="str">
        <x:f t="shared" si="36"/>
        <x:v/>
      </x:c>
      <x:c r="CD45" s="911"/>
      <x:c r="CE45" s="722"/>
      <x:c r="CF45" s="739"/>
      <x:c r="CG45" s="740"/>
      <x:c r="CH45" s="601" t="str">
        <x:f t="shared" si="37"/>
        <x:v/>
      </x:c>
      <x:c r="CI45" s="602" t="str">
        <x:f t="shared" si="38"/>
        <x:v/>
      </x:c>
      <x:c r="CJ45" s="603" t="str">
        <x:f t="shared" si="39"/>
        <x:v/>
      </x:c>
      <x:c r="CK45" s="604" t="str">
        <x:f t="shared" si="40"/>
        <x:v/>
      </x:c>
      <x:c r="CL45" s="605" t="str">
        <x:f t="shared" si="41"/>
        <x:v/>
      </x:c>
      <x:c r="CM45" s="606" t="str">
        <x:f t="shared" si="42"/>
        <x:v/>
      </x:c>
      <x:c r="CN45" s="607" t="str">
        <x:f t="shared" si="43"/>
        <x:v/>
      </x:c>
      <x:c r="CO45" s="608" t="str">
        <x:f t="shared" si="44"/>
        <x:v/>
      </x:c>
      <x:c r="CP45" s="617" t="str">
        <x:f t="shared" si="45"/>
        <x:v/>
      </x:c>
      <x:c r="CQ45" s="618" t="str">
        <x:f t="shared" si="46"/>
        <x:v/>
      </x:c>
      <x:c r="CR45" s="752" t="str">
        <x:f t="shared" si="47"/>
        <x:v/>
      </x:c>
      <x:c r="CS45" s="753" t="str">
        <x:f t="shared" si="48"/>
        <x:v/>
      </x:c>
      <x:c r="CU45" s="817" t="str">
        <x:f>IF(BG45="","",VLOOKUP(BG45,SectInfo!$B:$N,12,FALSE))</x:f>
        <x:v/>
      </x:c>
      <x:c r="CV45" s="815" t="str">
        <x:f>IF(BG45="","",IF(ISBLANK(BP45),VLOOKUP(BG45,SectInfo!$B:$N,13,FALSE),BP45))</x:f>
        <x:v/>
      </x:c>
      <x:c r="CW45" s="815" t="str">
        <x:f>IF(BG45="","",IF(VLOOKUP(BG45,SectInfo!$B:$N,5,FALSE)="","R",UPPER(VLOOKUP(BG45,SectInfo!$B:$N,5,FALSE))))</x:f>
        <x:v/>
      </x:c>
      <x:c r="CX45" s="815" t="str">
        <x:f>IF(BG45="","",IF(ISBLANK(BR45),VLOOKUP(BG45,SectInfo!$B:$N,6,FALSE),BR45))</x:f>
        <x:v/>
      </x:c>
      <x:c r="CY45" s="1286" t="str">
        <x:f>IF(BG45="","",IF(VLOOKUP(BG45,SectInfo!$B:$N,10,FALSE)="","",(IF(BO45="X",VLOOKUP(BG45,SectInfo!$B:$N,10,FALSE),VALUE(BO45))*-1)))</x:f>
        <x:v/>
      </x:c>
      <x:c r="CZ45" s="1122" t="str">
        <x:f>IF(BG45="","",IF(VLOOKUP(BG45,SectInfo!$B:$N,11,FALSE)="","2",(VLOOKUP(BG45,SectInfo!$B:$N,11,FALSE))))</x:f>
        <x:v/>
      </x:c>
      <x:c r="DA45" s="815" t="str">
        <x:f>IF(BG45="","",IF(VLOOKUP(BG45,SectInfo!$B:$N,7,FALSE)="","",(VLOOKUP(BG45,SectInfo!$B:$N,7,FALSE)*-1)))</x:f>
        <x:v/>
      </x:c>
      <x:c r="DB45" s="815" t="str">
        <x:f>IF(BG45="","",IF(VLOOKUP(BG45,SectInfo!$B:$N,8,FALSE)="",VLOOKUP(AU45,$DF$2:$DN$9,6,FALSE),(VLOOKUP(BG45,SectInfo!$B:$N,8,FALSE))))</x:f>
        <x:v/>
      </x:c>
      <x:c r="DC45" s="815" t="str">
        <x:f>IF(BG45="","",VLOOKUP(BG45,SectInfo!$B:$N,9,FALSE))</x:f>
        <x:v/>
      </x:c>
      <x:c r="DD45" s="816">
        <x:f t="shared" si="49"/>
        <x:v>0</x:v>
      </x:c>
      <x:c r="DE45" s="817" t="str">
        <x:f>IF(BS45="","",VLOOKUP(BS45,SectInfo!$B:$N,12,FALSE))</x:f>
        <x:v/>
      </x:c>
      <x:c r="DF45" s="815" t="str">
        <x:f>IF(BS45="","",IF(ISBLANK(CB45),VLOOKUP(BS45,SectInfo!$B:$N,13,FALSE),CB45))</x:f>
        <x:v/>
      </x:c>
      <x:c r="DG45" s="815" t="str">
        <x:f>IF(BS45="","",IF(VLOOKUP(BS45,SectInfo!$B:$N,5,FALSE)="","R",UPPER(VLOOKUP(BS45,SectInfo!$B:$N,5,FALSE))))</x:f>
        <x:v/>
      </x:c>
      <x:c r="DH45" s="815" t="str">
        <x:f>IF(BS45="","",IF(ISBLANK(CD45),VLOOKUP(BS45,SectInfo!$B:$N,6,FALSE),CD45))</x:f>
        <x:v/>
      </x:c>
      <x:c r="DI45" s="1286" t="str">
        <x:f>IF(BS45="","",IF(VLOOKUP(BS45,SectInfo!$B:$N,10,FALSE)="","",(IF(CA45="X",VLOOKUP(BS45,SectInfo!$B:$N,10,FALSE),VALUE(CA45))*-1)))</x:f>
        <x:v/>
      </x:c>
      <x:c r="DJ45" s="1122" t="str">
        <x:f>IF(BS45="","",IF(VLOOKUP(BS45,SectInfo!$B:$N,11,FALSE)="","2",(VLOOKUP(BS45,SectInfo!$B:$N,11,FALSE))))</x:f>
        <x:v/>
      </x:c>
      <x:c r="DK45" s="815" t="str">
        <x:f>IF(BS45="","",IF(VLOOKUP(BS45,SectInfo!$B:$N,7,FALSE)="","",(VLOOKUP(BS45,SectInfo!$B:$N,7,FALSE)*-1)))</x:f>
        <x:v/>
      </x:c>
      <x:c r="DL45" s="815" t="str">
        <x:f>IF(BS45="","",IF(VLOOKUP(BS45,SectInfo!$B:$N,8,FALSE)="",VLOOKUP(AU45,$DF$2:$DN$9,6,FALSE),(VLOOKUP(BS45,SectInfo!$B:$N,8,FALSE))))</x:f>
        <x:v/>
      </x:c>
      <x:c r="DM45" s="815" t="str">
        <x:f>IF(BS45="","",VLOOKUP(BS45,SectInfo!$B:$N,9,FALSE))</x:f>
        <x:v/>
      </x:c>
      <x:c r="DN45" s="816">
        <x:f t="shared" si="50"/>
        <x:v>0</x:v>
      </x:c>
      <x:c r="DO45" s="818">
        <x:f t="shared" si="51"/>
        <x:v>0</x:v>
      </x:c>
      <x:c r="DP45" s="822" t="str">
        <x:f t="shared" si="52"/>
        <x:v/>
      </x:c>
      <x:c r="DQ45" s="822" t="str">
        <x:f t="shared" si="53"/>
        <x:v/>
      </x:c>
      <x:c r="DR45" s="822" t="str">
        <x:f t="shared" si="54"/>
        <x:v/>
      </x:c>
      <x:c r="DS45" s="821">
        <x:f t="shared" si="55"/>
        <x:v>0</x:v>
      </x:c>
      <x:c r="DT45" s="821">
        <x:f t="shared" si="56"/>
        <x:v>0</x:v>
      </x:c>
      <x:c r="DU45" s="821" t="str">
        <x:f t="shared" si="57"/>
        <x:v/>
      </x:c>
      <x:c r="DV45" s="822" t="str">
        <x:f t="shared" si="58"/>
        <x:v/>
      </x:c>
      <x:c r="DW45" s="856" t="str">
        <x:f t="shared" si="59"/>
        <x:v/>
      </x:c>
      <x:c r="DX45" s="1006">
        <x:f t="shared" si="60"/>
        <x:v>0</x:v>
      </x:c>
      <x:c r="DY45" s="822">
        <x:f t="shared" si="61"/>
        <x:v>0</x:v>
      </x:c>
      <x:c r="DZ45" s="821">
        <x:f t="shared" si="62"/>
        <x:v>0</x:v>
      </x:c>
      <x:c r="EA45" s="821" t="str">
        <x:f t="shared" si="63"/>
        <x:v/>
      </x:c>
      <x:c r="EB45" s="822" t="str">
        <x:f t="shared" si="64"/>
        <x:v/>
      </x:c>
      <x:c r="EC45" s="856" t="str">
        <x:f t="shared" si="65"/>
        <x:v/>
      </x:c>
      <x:c r="ED45" s="1006">
        <x:f t="shared" si="66"/>
        <x:v>0</x:v>
      </x:c>
      <x:c r="EE45" s="1293" t="str">
        <x:f t="shared" si="67"/>
        <x:v/>
      </x:c>
      <x:c r="EF45" s="1293" t="str">
        <x:f t="shared" si="68"/>
        <x:v/>
      </x:c>
      <x:c r="EG45" s="1293" t="str">
        <x:f t="shared" si="69"/>
        <x:v/>
      </x:c>
      <x:c r="EH45" s="856" t="e">
        <x:f t="shared" si="70"/>
        <x:v>#N/A</x:v>
      </x:c>
      <x:c r="EI45" s="856" t="e">
        <x:f t="shared" si="71"/>
        <x:v>#N/A</x:v>
      </x:c>
      <x:c r="EJ45" s="822" t="str">
        <x:f t="shared" si="72"/>
        <x:v/>
      </x:c>
      <x:c r="EK45" s="822" t="str">
        <x:f t="shared" si="72"/>
        <x:v/>
      </x:c>
      <x:c r="EL45" s="1293" t="str">
        <x:f t="shared" si="73"/>
        <x:v/>
      </x:c>
      <x:c r="EM45" s="822" t="str">
        <x:f t="shared" si="74"/>
        <x:v/>
      </x:c>
      <x:c r="EN45" s="822" t="str">
        <x:f t="shared" si="75"/>
        <x:v/>
      </x:c>
      <x:c r="EO45" s="856" t="e">
        <x:f t="shared" si="76"/>
        <x:v>#N/A</x:v>
      </x:c>
      <x:c r="EP45" s="856" t="e">
        <x:f t="shared" si="77"/>
        <x:v>#N/A</x:v>
      </x:c>
      <x:c r="EQ45" s="1293" t="str">
        <x:f t="shared" si="78"/>
        <x:v/>
      </x:c>
      <x:c r="ER45" s="822" t="str">
        <x:f t="shared" si="78"/>
        <x:v/>
      </x:c>
      <x:c r="ES45" s="822" t="str">
        <x:f t="shared" si="79"/>
        <x:v/>
      </x:c>
      <x:c r="ET45" s="822" t="str">
        <x:f t="shared" si="80"/>
        <x:v/>
      </x:c>
      <x:c r="EU45" s="829" t="str">
        <x:f t="shared" si="81"/>
        <x:v/>
      </x:c>
      <x:c r="EV45" s="824" t="str">
        <x:f t="shared" si="82"/>
        <x:v/>
      </x:c>
      <x:c r="EW45" s="829"/>
      <x:c r="EX45" s="829" t="str">
        <x:f>IF(AND(CU45="G", ISBLANK(BK45), ISBLANK(BL45)),VLOOKUP(MIN(BH45:BI45),TblJoistSize!$M$3:$N$10,2),IF(OR(CU45="B",CU45="G"),MIN(BK45:BL45),""))</x:f>
        <x:v/>
      </x:c>
      <x:c r="EY45" s="829" t="str">
        <x:f>IF(AND(CU45="G", ISBLANK(BK45), ISBLANK(BL45)),VLOOKUP(MAX(BH45:BI45),TblJoistSize!$M$3:$N$10,2),IF(OR(CU45="B",CU45="G"),MAX(BK45:BL45),""))</x:f>
        <x:v/>
      </x:c>
      <x:c r="EZ45" s="829" t="str">
        <x:f t="shared" si="83"/>
        <x:v/>
      </x:c>
      <x:c r="FA45" s="829" t="str">
        <x:f>IF(AND(DE45="G", ISBLANK(BW45), ISBLANK(BX45)),VLOOKUP(MIN(BT45:BU45),TblJoistSize!$M$3:$N$10,2),IF(OR(DE45="B", DE45="G"),MIN(BW45:BX45),""))</x:f>
        <x:v/>
      </x:c>
      <x:c r="FB45" s="829" t="str">
        <x:f>IF(AND(DE45="G", ISBLANK(BW45), ISBLANK(BX45)),VLOOKUP(MAX(BT45:BU45),TblJoistSize!$M$3:$N$10,2),IF(OR(DE45="B", DE45="G"),MAX(BW45:BX45),""))</x:f>
        <x:v/>
      </x:c>
      <x:c r="FC45" s="829" t="str">
        <x:f t="shared" si="84"/>
        <x:v/>
      </x:c>
      <x:c r="FD45" s="821">
        <x:f t="shared" si="107"/>
        <x:v>0</x:v>
      </x:c>
      <x:c r="FE45" s="821">
        <x:f t="shared" si="85"/>
        <x:v>0</x:v>
      </x:c>
      <x:c r="FF45" s="821">
        <x:f t="shared" si="86"/>
        <x:v>0</x:v>
      </x:c>
      <x:c r="FG45" s="821" t="str">
        <x:f t="shared" si="87"/>
        <x:v/>
      </x:c>
      <x:c r="FH45" s="822" t="str">
        <x:f t="shared" si="88"/>
        <x:v/>
      </x:c>
      <x:c r="FI45" s="821">
        <x:f t="shared" si="108"/>
        <x:v>0</x:v>
      </x:c>
      <x:c r="FJ45" s="821">
        <x:f t="shared" si="89"/>
        <x:v>0</x:v>
      </x:c>
      <x:c r="FK45" s="821">
        <x:f t="shared" si="90"/>
        <x:v>0</x:v>
      </x:c>
      <x:c r="FL45" s="821" t="str">
        <x:f t="shared" si="91"/>
        <x:v/>
      </x:c>
      <x:c r="FM45" s="822" t="str">
        <x:f t="shared" si="92"/>
        <x:v/>
      </x:c>
      <x:c r="FN45" s="822" t="e">
        <x:f t="shared" si="93"/>
        <x:v>#VALUE!</x:v>
      </x:c>
      <x:c r="FO45" s="940" t="e">
        <x:f t="shared" si="94"/>
        <x:v>#VALUE!</x:v>
      </x:c>
      <x:c r="FP45" s="940" t="e">
        <x:f t="shared" si="95"/>
        <x:v>#VALUE!</x:v>
      </x:c>
      <x:c r="FQ45" s="830" t="e">
        <x:f t="shared" si="96"/>
        <x:v>#VALUE!</x:v>
      </x:c>
      <x:c r="FR45" s="831" t="e">
        <x:f t="shared" si="97"/>
        <x:v>#VALUE!</x:v>
      </x:c>
      <x:c r="FS45" s="832" t="str">
        <x:f t="shared" si="98"/>
        <x:v/>
      </x:c>
      <x:c r="FT45" s="833" t="str">
        <x:f t="shared" si="99"/>
        <x:v/>
      </x:c>
      <x:c r="FU45" s="870">
        <x:f t="shared" si="100"/>
        <x:v>0</x:v>
      </x:c>
      <x:c r="FV45" s="871">
        <x:f t="shared" si="101"/>
        <x:v>0</x:v>
      </x:c>
      <x:c r="GA45" s="1791" t="str">
        <x:f t="shared" si="119"/>
        <x:v/>
      </x:c>
      <x:c r="GB45" s="1792" t="str">
        <x:f t="shared" si="120"/>
        <x:v/>
      </x:c>
      <x:c r="GC45" s="1793" t="str">
        <x:f t="shared" si="121"/>
        <x:v/>
      </x:c>
      <x:c r="GD45" s="1794" t="str">
        <x:f t="shared" si="122"/>
        <x:v/>
      </x:c>
      <x:c r="GE45" s="1795" t="str">
        <x:f t="shared" si="102"/>
        <x:v/>
      </x:c>
      <x:c r="GF45" s="600" t="str">
        <x:f t="shared" si="103"/>
        <x:v/>
      </x:c>
      <x:c r="GG45" s="1132"/>
      <x:c r="GH45" s="1133"/>
      <x:c r="GI45" s="1132"/>
      <x:c r="GJ45" s="1133"/>
      <x:c r="GK45" s="1638">
        <x:f t="shared" si="104"/>
        <x:v>0</x:v>
      </x:c>
      <x:c r="GL45" s="1636" t="e">
        <x:f t="shared" si="105"/>
        <x:v>#VALUE!</x:v>
      </x:c>
      <x:c r="GM45" s="1637" t="e">
        <x:f>IF(ABS(GK45-GL45)&gt;='Job Info.'!$L$22,ABS(GK45-GL45),0)</x:f>
        <x:v>#VALUE!</x:v>
      </x:c>
      <x:c r="HA45" s="1275"/>
      <x:c r="HB45" s="1276"/>
      <x:c r="HC45" s="1276"/>
      <x:c r="HD45" s="1277"/>
      <x:c r="HE45" s="1278"/>
      <x:c r="HF45" s="1276"/>
      <x:c r="HG45" s="1276"/>
      <x:c r="HH45" s="1276"/>
      <x:c r="HI45" s="1279"/>
      <x:c r="HJ45" s="1276"/>
      <x:c r="HK45" s="1276"/>
      <x:c r="HL45" s="1276"/>
      <x:c r="HM45" s="1276"/>
      <x:c r="HN45" s="1276"/>
      <x:c r="HO45" s="1276"/>
      <x:c r="HP45" s="1276"/>
      <x:c r="HQ45" s="1279"/>
      <x:c r="HR45" s="1276"/>
      <x:c r="HS45" s="1276"/>
      <x:c r="HT45" s="1276"/>
      <x:c r="HU45" s="1276"/>
      <x:c r="HV45" s="1276"/>
      <x:c r="HW45" s="1278"/>
      <x:c r="HX45" s="1278"/>
      <x:c r="HY45" s="1278"/>
      <x:c r="HZ45" s="1278"/>
      <x:c r="IA45" s="1278"/>
      <x:c r="IB45" s="1278"/>
      <x:c r="IC45" s="1278"/>
      <x:c r="ID45" s="1278"/>
      <x:c r="IE45" s="1278"/>
      <x:c r="IF45" s="1280"/>
    </x:row>
    <x:row r="46" spans="1:240" ht="15" customHeight="1" thickTop="1" thickBot="1" x14ac:dyDescent="0.25">
      <x:c r="A46" s="1146"/>
      <x:c r="B46" s="1146"/>
      <x:c r="C46" s="1146"/>
      <x:c r="D46" s="1146"/>
      <x:c r="E46" s="1146"/>
      <x:c r="F46" s="1146"/>
      <x:c r="G46" s="1146"/>
      <x:c r="H46" s="1146"/>
      <x:c r="I46" s="1146"/>
      <x:c r="J46" s="1146"/>
      <x:c r="K46" s="1146"/>
      <x:c r="L46" s="1146"/>
      <x:c r="M46" s="1146"/>
      <x:c r="N46" s="1146"/>
      <x:c r="O46" s="1146"/>
      <x:c r="P46" s="1146"/>
      <x:c r="Q46" s="1146"/>
      <x:c r="R46" s="1146"/>
      <x:c r="S46" s="1146"/>
      <x:c r="T46" s="1146"/>
      <x:c r="U46" s="1146"/>
      <x:c r="V46" s="1146"/>
      <x:c r="W46" s="1146"/>
      <x:c r="X46" s="1146"/>
      <x:c r="Y46" s="1146"/>
      <x:c r="Z46" s="1146"/>
      <x:c r="AA46" s="1146"/>
      <x:c r="AD46" s="452">
        <x:f>SUM(AD16:AD45)</x:f>
        <x:v>0</x:v>
      </x:c>
      <x:c r="AE46" s="453">
        <x:f>SUM(AE16:AE45)</x:f>
        <x:v>10</x:v>
      </x:c>
      <x:c r="AF46" s="453">
        <x:f>SUM(AF16:AF45)</x:f>
        <x:v>0</x:v>
      </x:c>
      <x:c r="AG46" s="453">
        <x:f>SUM(AG16:AG45)</x:f>
        <x:v>0</x:v>
      </x:c>
      <x:c r="AH46" s="454">
        <x:f>SUM(AH16:AH45)</x:f>
        <x:v>0</x:v>
      </x:c>
      <x:c r="CF46" s="912"/>
      <x:c r="CG46" s="912"/>
      <x:c r="CN46" s="246"/>
      <x:c r="CO46" s="246"/>
      <x:c r="GA46" s="455"/>
      <x:c r="GB46" s="455"/>
      <x:c r="GC46" s="455"/>
      <x:c r="GD46" s="455"/>
      <x:c r="GE46" s="455"/>
      <x:c r="GF46" s="455"/>
    </x:row>
    <x:row r="47" spans="1:240" ht="15" customHeight="1" thickBot="1" x14ac:dyDescent="0.25">
      <x:c r="A47" s="907" t="s">
        <x:v>720</x:v>
      </x:c>
      <x:c r="AD47" s="906">
        <x:f>SUM(AD46:AH46)</x:f>
        <x:v>10</x:v>
      </x:c>
      <x:c r="AK47" s="456"/>
      <x:c r="AL47" s="457"/>
      <x:c r="AM47" s="457"/>
      <x:c r="AN47" s="457"/>
    </x:row>
    <x:row r="48" spans="1:240" s="563" customFormat="1" ht="15" hidden="1" customHeight="1" x14ac:dyDescent="0.2">
      <x:c r="AA48" s="762"/>
      <x:c r="AI48" s="564"/>
      <x:c r="HD48" s="565"/>
      <x:c r="HE48" s="566"/>
    </x:row>
    <x:row r="49" spans="1:192" ht="15" hidden="1" customHeight="1" x14ac:dyDescent="0.2">
      <x:c r="AJ49" s="245" t="s">
        <x:v>414</x:v>
      </x:c>
      <x:c r="AK49" s="456">
        <x:f>$DA$4</x:f>
        <x:v>0.5625</x:v>
      </x:c>
      <x:c r="AL49" s="457">
        <x:f>$DB$4</x:f>
        <x:v>1.5</x:v>
      </x:c>
      <x:c r="AM49" s="457">
        <x:f>$CX$4</x:f>
        <x:v>4</x:v>
      </x:c>
      <x:c r="AN49" s="457">
        <x:f>$CW$4</x:f>
        <x:v>2.5</x:v>
      </x:c>
    </x:row>
    <x:row r="50" spans="1:192" ht="12" hidden="1" thickBot="1" x14ac:dyDescent="0.25"/>
    <x:row r="51" spans="1:192" ht="12" hidden="1" thickBot="1" x14ac:dyDescent="0.25"/>
    <x:row r="52" spans="1:192" ht="15" hidden="1" customHeight="1" x14ac:dyDescent="0.2">
      <x:c r="AJ52" s="245" t="s">
        <x:v>416</x:v>
      </x:c>
      <x:c r="AK52" s="456">
        <x:f>$DA$5</x:f>
        <x:v>0.5625</x:v>
      </x:c>
      <x:c r="AL52" s="457">
        <x:f>$DB$5</x:f>
        <x:v>1.5</x:v>
      </x:c>
      <x:c r="AM52" s="457">
        <x:f>$CX$5</x:f>
        <x:v>4</x:v>
      </x:c>
      <x:c r="AN52" s="457">
        <x:f>$CW$5</x:f>
        <x:v>2.5</x:v>
      </x:c>
    </x:row>
    <x:row r="53" spans="1:192" ht="15" hidden="1" customHeight="1" x14ac:dyDescent="0.2">
      <x:c r="AJ53" s="245" t="s">
        <x:v>75</x:v>
      </x:c>
      <x:c r="AK53" s="456">
        <x:f>$DA$4</x:f>
        <x:v>0.5625</x:v>
      </x:c>
      <x:c r="AL53" s="457">
        <x:f>$DB$4</x:f>
        <x:v>1.5</x:v>
      </x:c>
      <x:c r="AM53" s="457">
        <x:f>$CX$4</x:f>
        <x:v>4</x:v>
      </x:c>
      <x:c r="AN53" s="457">
        <x:f>$CW$4</x:f>
        <x:v>2.5</x:v>
      </x:c>
    </x:row>
    <x:row r="54" spans="1:192" ht="15" hidden="1" customHeight="1" x14ac:dyDescent="0.2">
      <x:c r="AJ54" s="245" t="s">
        <x:v>114</x:v>
      </x:c>
      <x:c r="AK54" s="456">
        <x:f>$DA$5</x:f>
        <x:v>0.5625</x:v>
      </x:c>
      <x:c r="AL54" s="457">
        <x:f>$DB$5</x:f>
        <x:v>1.5</x:v>
      </x:c>
      <x:c r="AM54" s="457">
        <x:f>$CX$5</x:f>
        <x:v>4</x:v>
      </x:c>
      <x:c r="AN54" s="457">
        <x:f>$CW$5</x:f>
        <x:v>2.5</x:v>
      </x:c>
    </x:row>
    <x:row r="55" spans="1:192" ht="15" hidden="1" customHeight="1" x14ac:dyDescent="0.2"/>
    <x:row r="56" spans="1:192" ht="15" hidden="1" customHeight="1" x14ac:dyDescent="0.2">
      <x:c r="AA56" s="1144"/>
    </x:row>
    <x:row r="57" spans="1:192" ht="15" hidden="1" customHeight="1" x14ac:dyDescent="0.25">
      <x:c r="A57" s="1001" t="str">
        <x:f>IF(BB57="","",UPPER(BB57))</x:f>
        <x:v/>
      </x:c>
      <x:c r="B57" s="1002" t="str">
        <x:f>IF(BC57="","",BC57)</x:f>
        <x:v/>
      </x:c>
      <x:c r="C57" s="1002" t="str">
        <x:f>IF(BD57="","",UPPER(BD57))</x:f>
        <x:v/>
      </x:c>
      <x:c r="D57" s="998" t="str">
        <x:f>IF(DP57="","",TRUNC(DP57/12))</x:f>
        <x:v/>
      </x:c>
      <x:c r="E57" s="1061" t="str">
        <x:f>IF(DP57="","",DP57-(D57*12))</x:f>
        <x:v/>
      </x:c>
      <x:c r="F57" s="1046" t="str">
        <x:f>IF(DX57=0,"",TRUNC(DX57/12))</x:f>
        <x:v/>
      </x:c>
      <x:c r="G57" s="999" t="str">
        <x:f>IF(DX57=0,"",DX57-(F57*12))</x:f>
        <x:v/>
      </x:c>
      <x:c r="H57" s="1003" t="str">
        <x:f>IF(DX57=0,"",CW57)</x:f>
        <x:v/>
      </x:c>
      <x:c r="I57" s="998" t="str">
        <x:f>IF(ED57=0,"",TRUNC(ED57/12))</x:f>
        <x:v/>
      </x:c>
      <x:c r="J57" s="999" t="str">
        <x:f>IF(ED57=0,"",ED57-(I57*12))</x:f>
        <x:v/>
      </x:c>
      <x:c r="K57" s="1064" t="str">
        <x:f>IF(ED57=0,"",DG57)</x:f>
        <x:v/>
      </x:c>
      <x:c r="L57" s="1045">
        <x:f>DQ57</x:f>
        <x:v>0</x:v>
      </x:c>
      <x:c r="M57" s="1047">
        <x:f>DR57</x:f>
        <x:v>0</x:v>
      </x:c>
      <x:c r="N57" s="1000" t="str">
        <x:f>IF(ES57="","",IF(AND(ES57&lt;0,ES57&gt;-12),TRUNC(ES57/12)-0.0000001,TRUNC(ES57/12)))</x:f>
        <x:v/>
      </x:c>
      <x:c r="O57" s="999" t="str">
        <x:f>IF(ES57="","",IF(AND(ES57-(N57*12)=0,ES57&lt;0),-0.000001,ES57-(N57*12)))</x:f>
        <x:v/>
      </x:c>
      <x:c r="P57" s="997" t="str">
        <x:f>IF(ES57="","",IF(OR(CW57="Q",CW57="C"),3,CZ57))</x:f>
        <x:v/>
      </x:c>
      <x:c r="Q57" s="998" t="str">
        <x:f>IF(ET57="","",IF(AND(ET57&lt;0,ET57&gt;-12),TRUNC(ET57/12)-0.0000001,TRUNC(ET57/12)))</x:f>
        <x:v/>
      </x:c>
      <x:c r="R57" s="999" t="str">
        <x:f>IF(ET57="","",IF(AND(ET57-(Q57*12)=0,ET57&lt;0),-0.000001,ET57-(Q57*12)))</x:f>
        <x:v/>
      </x:c>
      <x:c r="S57" s="1067" t="str">
        <x:f>IF(ET57="","",IF(OR(DG57="Q",DG57="C"),3,DJ57))</x:f>
        <x:v/>
      </x:c>
      <x:c r="T57" s="1046"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47">
        <x:f>IF(EV57="",0,EV57)</x:f>
        <x:v>0</x:v>
      </x:c>
      <x:c r="Y57" s="1069">
        <x:f>FG57</x:f>
        <x:v>0</x:v>
      </x:c>
      <x:c r="Z57" s="1070">
        <x:f>FL57</x:f>
        <x:v>0</x:v>
      </x:c>
      <x:c r="AA57" s="1068" t="str">
        <x:f>CONCATENATE(IF(BY57="","",CONCATENATE("[",SUBSTITUTE(BY57," ",""),"]")),IF(BX57="","",CONCATENATE("(",SUBSTITUTE(BX57," ",""),") ")))</x:f>
        <x:v/>
      </x:c>
      <x:c r="AH57" s="256" t="s">
        <x:v>1130</x:v>
      </x:c>
      <x:c r="AI57" s="444" t="b">
        <x:v>0</x:v>
      </x:c>
      <x:c r="AJ57" s="238">
        <x:f>IF(OR(ISERROR(VALUE(LEFT(C57,SEARCH(AK57,C57)-1))),AK57=""),0,VALUE(LEFT(C57,SEARCH(AK57,C57)-1)))</x:f>
        <x:v>0</x:v>
      </x:c>
      <x:c r="AK57" s="830" t="str">
        <x:f>IF(AV57="",AW57,AV57)</x:f>
        <x:v/>
      </x:c>
      <x:c r="AL57" s="830" t="str">
        <x:f>IF(AK57="","",IF(ISERROR(SEARCH("/",C57)),IF(VALUE(MID(C57,SEARCH(AK57,C57)+LEN(AK57),LEN(C57)))&gt;25,"",VALUE(MID(C57,SEARCH(AK57,C57)+LEN(AK57),LEN(C57)))),""))</x:f>
        <x:v/>
      </x:c>
      <x:c r="AM57" s="830" t="str">
        <x:f>IF(AK57="","",IF(ISERROR(SEARCH("/",C57)),IF(VALUE(MID(C57,SEARCH(AK57,C57)+LEN(AK57),LEN(C57)))&lt;26,"",VALUE(MID(C57,SEARCH(AK57,C57)+LEN(AK57),LEN(C57)))),VALUE(MID(C57,SEARCH(AK57,C57)+LEN(AK57),SEARCH("/",C57)-SEARCH(AK57,C57)-LEN(AK57)))))</x:f>
        <x:v/>
      </x:c>
      <x:c r="AN57" s="830" t="str">
        <x:f>IF(AK57="","",IF(AK57="CJ",MID(MID(C57,SEARCH("/",C57)+1,LEN(C57)),1,SEARCH("/",MID(C57,SEARCH("/",C57)+1,LEN(C57)))-1),IF(ISERROR(SEARCH("/",C57)),"",VALUE(MID(C57,SEARCH("/",C57)+1,LEN(C57))))))</x:f>
        <x:v/>
      </x:c>
      <x:c r="AO57" s="830" t="str">
        <x:f>IF(AK57="CJ",VALUE(MID(MID(C57,SEARCH("/",C57)+1,LEN(C57)),SEARCH("/",MID(C57,SEARCH("/",C57)+1,LEN(C57)))+1,LEN(MID(C57,SEARCH("/",C57)+1,LEN(C57))))),"")</x:f>
        <x:v/>
      </x:c>
      <x:c r="AP57" s="830" t="b">
        <x:f>IF(ISERROR(AJ57),FALSE,IF(OR(AJ57=0,ISERROR(AL57),ISERROR(AM57),ISERROR(AN57),ISERROR(AO57)),FALSE,IF(AL57&lt;&gt;"",IF(ISERROR(VLOOKUP(SUBSTITUTE(SUBSTITUTE(C57,"R",""),"A",""),TblJoistSize!$A:$A,1,FALSE)),FALSE,TRUE),TRUE)))</x:f>
        <x:v>0</x:v>
      </x:c>
      <x:c r="AQ57" s="1038" t="e">
        <x:f>VLOOKUP(AK57,$DF$2:$DN$9,4,FALSE)+IF(LEFT(H57,1)="R",IF(ISNUMBER(F57),F57*12,0)+IF(ISNUMBER(G57),G57,0),0)</x:f>
        <x:v>#N/A</x:v>
      </x:c>
      <x:c r="AR57" s="1038" t="b">
        <x:f>IF(IF(ISNUMBER(T57),T57*12,0)+IF(ISNUMBER(U57),U57,0)&gt;0,IF(AND((IF(ISNUMBER(T57),T57*12,0)+IF(ISNUMBER(U57),U57,0))&gt;=1,(IF(ISNUMBER(T57),T57*12,0)+IF(ISNUMBER(U57),U57,0))&lt;=(AQ57-1)+IF(H57="X",2,0)),TRUE,FALSE),FALSE)</x:f>
        <x:v>0</x:v>
      </x:c>
      <x:c r="AS57" s="1038" t="e">
        <x:f>VLOOKUP(AK57,$DF$2:$DN$9,4,FALSE)+IF(LEFT(K57,1)="R",(IF(ISNUMBER(I57),I57*12,0)+IF(ISNUMBER(J57),J57,0)),0)</x:f>
        <x:v>#N/A</x:v>
      </x:c>
      <x:c r="AT57" s="1038" t="b">
        <x:f>IF(IF(ISNUMBER(V57),V57*12,0)+IF(ISNUMBER(W57),W57,0)&gt;0,IF(AND((IF(ISNUMBER(V57),V57*12,0)+IF(ISNUMBER(W57),W57,0))&gt;=1,(IF(ISNUMBER(V57),V57*12,0)+IF(ISNUMBER(W57),W57,0))&lt;=(AS57-1)+IF(K57="X",2,0)),TRUE,FALSE),FALSE)</x:f>
        <x:v>0</x:v>
      </x:c>
      <x:c r="AU57" s="830" t="str">
        <x:f>IF(ISERROR(AJ57),IF(AK57&lt;&gt;"HDR","",AK57),IF(AND(AJ57=2.5,AK57="K"),"JS",IF(OR(AK57="KCSR",AK57="KCSA",AK57="KCS"),"KCS",IF(OR(AK57="KR",AK57="KA",AK57="K"),"K",IF(AND(AK57="LH",AL57&lt;7),"LH&lt;7",AK57)))))</x:f>
        <x:v/>
      </x:c>
      <x:c r="AV57" s="830" t="str">
        <x:f>IF(NOT(ISERROR(SEARCH("KCSR",C57))),"KCSR",IF(NOT(ISERROR(SEARCH("KCSA",C57))),"KCSA",IF(NOT(ISERROR(SEARCH("KCS",C57))),"KCS",IF(NOT(ISERROR(SEARCH("KR",C57))),"KR",IF(NOT(ISERROR(SEARCH("KA",C57))),"KA",IF(NOT(ISERROR(SEARCH("K",C57))),"K",IF(NOT(ISERROR(SEARCH("CJ",C57))),"CJ","")))))))</x:f>
        <x:v/>
      </x:c>
      <x:c r="AW57" s="830" t="str">
        <x:f>IF(NOT(ISERROR(SEARCH("HDR",C57))),"HDR",IF(NOT(ISERROR(SEARCH("JS",C57))),"JS",IF(NOT(ISERROR(SEARCH("SLH",C57))),"SLH",IF(NOT(ISERROR(SEARCH("DLH",C57))),"DLH",IF(NOT(ISERROR(SEARCH("LH",C57))),"LH","")))))</x:f>
        <x:v/>
      </x:c>
      <x:c r="AX57" s="830" t="str">
        <x:f>IF(AND(OR(ISBLANK(A57),A57=""),AA57&lt;&gt;""),AX56,IF(OR(ISBLANK(A57),A57=""),"",A57))</x:f>
        <x:v/>
      </x:c>
      <x:c r="AY57" s="1039" t="b">
        <x:f>IF($AE$1,IF(AX57=AX56,AY56,IF(AND(AX57&lt;&gt;"",OR(B57=0,B57="")),TRUE,FALSE)),FALSE)</x:f>
        <x:v>0</x:v>
      </x:c>
      <x:c r="AZ57" s="822" t="str">
        <x:f>IF(AP57,((IF(D57="",0,D57)*12+IF(E57="",0,E57))-(IF(F57="",0,F57)*12+IF(G57="",0,G57))-(IF(I57="",0,I57)*12+IF(J57="",0,J57)))&gt;AJ57*24,"")</x:f>
        <x:v/>
      </x:c>
      <x:c r="CP57" s="2323"/>
      <x:c r="CQ57" s="2324"/>
      <x:c r="CR57" s="114"/>
      <x:c r="CS57" s="115"/>
      <x:c r="CT57" s="115"/>
      <x:c r="CU57" s="115"/>
      <x:c r="CV57" s="115"/>
      <x:c r="CW57" s="118"/>
      <x:c r="CX57" s="115"/>
      <x:c r="CY57" s="115"/>
      <x:c r="CZ57" s="115"/>
      <x:c r="DA57" s="107"/>
      <x:c r="DB57" s="114"/>
      <x:c r="DC57" s="115"/>
      <x:c r="DD57" s="115"/>
      <x:c r="DE57" s="115"/>
      <x:c r="DF57" s="115"/>
      <x:c r="DG57" s="118"/>
      <x:c r="DH57" s="115"/>
      <x:c r="DI57" s="115"/>
      <x:c r="DJ57" s="115"/>
      <x:c r="DK57" s="107"/>
      <x:c r="DL57" s="116"/>
      <x:c r="DM57" s="125"/>
      <x:c r="DN57" s="109"/>
      <x:c r="DO57" s="108"/>
      <x:c r="DP57" s="109"/>
      <x:c r="DQ57" s="109"/>
      <x:c r="DR57" s="110"/>
      <x:c r="DS57" s="110"/>
      <x:c r="DT57" s="110"/>
      <x:c r="DU57" s="109"/>
      <x:c r="DV57" s="109"/>
      <x:c r="DW57" s="111"/>
      <x:c r="DX57" s="109"/>
      <x:c r="DY57" s="110"/>
      <x:c r="DZ57" s="110"/>
      <x:c r="EA57" s="109"/>
      <x:c r="EB57" s="109"/>
      <x:c r="EC57" s="111"/>
      <x:c r="ED57" s="109"/>
      <x:c r="EE57" s="109"/>
      <x:c r="EF57" s="109"/>
      <x:c r="EG57" s="109"/>
      <x:c r="EH57" s="109"/>
      <x:c r="EI57" s="109"/>
      <x:c r="EJ57" s="109"/>
      <x:c r="EK57" s="109"/>
      <x:c r="EL57" s="109"/>
      <x:c r="EM57" s="109"/>
      <x:c r="EN57" s="109"/>
      <x:c r="EO57" s="109"/>
      <x:c r="EP57" s="109"/>
      <x:c r="EQ57" s="109"/>
      <x:c r="ER57" s="109"/>
      <x:c r="ES57" s="109"/>
      <x:c r="ET57" s="109"/>
      <x:c r="EU57" s="112"/>
      <x:c r="EV57" s="113"/>
      <x:c r="EW57" s="112"/>
      <x:c r="EX57" s="112"/>
      <x:c r="EY57" s="112"/>
      <x:c r="EZ57" s="112"/>
      <x:c r="FA57" s="112"/>
      <x:c r="FB57" s="112"/>
      <x:c r="FC57" s="112"/>
      <x:c r="FD57" s="110"/>
      <x:c r="FE57" s="110"/>
      <x:c r="FF57" s="110"/>
      <x:c r="FG57" s="110"/>
      <x:c r="FH57" s="109"/>
      <x:c r="FI57" s="110"/>
      <x:c r="FJ57" s="110"/>
      <x:c r="FK57" s="110"/>
      <x:c r="FL57" s="110"/>
      <x:c r="FM57" s="109"/>
      <x:c r="FN57" s="109"/>
      <x:c r="FO57" s="134"/>
      <x:c r="FP57" s="134"/>
      <x:c r="FQ57" s="238"/>
      <x:c r="FR57" s="449"/>
      <x:c r="FS57" s="450"/>
      <x:c r="FT57" s="451"/>
      <x:c r="GA57" s="599" t="str">
        <x:f t="shared" ref="GA57" si="123">IF(GF57="","",BE57)</x:f>
        <x:v/>
      </x:c>
      <x:c r="GB57" s="619" t="str">
        <x:f t="shared" ref="GB57" si="124">IF(GF57="","",BF57)</x:f>
        <x:v/>
      </x:c>
      <x:c r="GC57" s="621" t="str">
        <x:f t="shared" ref="GC57" si="125">IF(GF57="","",IF(CV57="",0,CV57))</x:f>
        <x:v/>
      </x:c>
      <x:c r="GD57" s="622" t="str">
        <x:f t="shared" ref="GD57" si="126">IF(GF57="","",IF(DF57="",0,DF57))</x:f>
        <x:v/>
      </x:c>
      <x:c r="GE57" s="620" t="str">
        <x:f>IF(GF57="","",IF(ISBLANK(BW57),IF(Y57=Z57,0,MAX(ABS(Y57),ABS(Z57))*IF(Y57&lt;0,-1,1)),BW57))</x:f>
        <x:v/>
      </x:c>
      <x:c r="GF57" s="600" t="str">
        <x:f>IF(A57=0,"",A57)</x:f>
        <x:v/>
      </x:c>
      <x:c r="GG57" s="1130"/>
      <x:c r="GH57" s="1131"/>
      <x:c r="GI57" s="1130"/>
      <x:c r="GJ57" s="1131"/>
    </x:row>
    <x:row r="58" spans="1:192" ht="15" hidden="1" customHeight="1" x14ac:dyDescent="0.2">
      <x:c r="AA58" s="1145"/>
    </x:row>
    <x:row r="59" spans="1:192" ht="15" hidden="1" customHeight="1" x14ac:dyDescent="0.2"/>
    <x:row r="60" spans="1:192" ht="15" hidden="1" customHeight="1" x14ac:dyDescent="0.2">
      <x:c r="A60" s="892" t="s">
        <x:v>1175</x:v>
      </x:c>
    </x:row>
    <x:row r="61" spans="1:192" ht="15" hidden="1" customHeight="1" x14ac:dyDescent="0.2">
      <x:c r="A61" s="894" t="s">
        <x:v>1688</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907" t="s">
        <x:v>721</x:v>
      </x:c>
      <x:c r="EL71" s="2326" t="s">
        <x:v>524</x:v>
      </x:c>
      <x:c r="EM71" s="2327"/>
      <x:c r="EN71" s="2327"/>
      <x:c r="EO71" s="2328"/>
    </x:row>
    <x:row r="72" spans="1:145" ht="15" customHeight="1" thickBot="1" x14ac:dyDescent="0.25">
      <x:c r="EL72" s="2479" t="s">
        <x:v>535</x:v>
      </x:c>
      <x:c r="EM72" s="2482" t="s">
        <x:v>536</x:v>
      </x:c>
      <x:c r="EN72" s="2482" t="s">
        <x:v>537</x:v>
      </x:c>
      <x:c r="EO72" s="2485" t="s">
        <x:v>538</x:v>
      </x:c>
    </x:row>
    <x:row r="73" spans="1:145" ht="15" customHeight="1" thickBot="1" x14ac:dyDescent="0.25">
      <x:c r="EJ73" s="2486" t="s">
        <x:v>542</x:v>
      </x:c>
      <x:c r="EL73" s="2480"/>
      <x:c r="EM73" s="2483"/>
      <x:c r="EN73" s="2483"/>
      <x:c r="EO73" s="2387"/>
    </x:row>
    <x:row r="74" spans="1:145" ht="15" customHeight="1" thickBot="1" x14ac:dyDescent="0.25">
      <x:c r="EJ74" s="2487"/>
      <x:c r="EL74" s="2481"/>
      <x:c r="EM74" s="2484"/>
      <x:c r="EN74" s="2484"/>
      <x:c r="EO74" s="2388"/>
    </x:row>
    <x:row r="75" spans="1:145" ht="15" customHeight="1" thickTop="1" x14ac:dyDescent="0.2">
      <x:c r="EJ75" s="507">
        <x:f t="shared" ref="EJ75:EJ104" si="127">IF(AU16="","",IF(OR(AU16="K",AU16="KCS"),(BE16*12+BF16+IF(CU16="M",MAX(CV16,$CX$4),0)+IF(DE16="M",MAX(DF16,$CX$4),0))/12,IF(OR(AU16="LH",AU16="DLH"),(BE16*12+BF16+8-MAX(MAX(BH16,BI16)/2,DC16)-MAX(MAX(BT16,BU16)/2,DM16))/12,IF(OR(AU16="JS",AU16="HDR"),""))))</x:f>
        <x:v>0.66666666666666663</x:v>
      </x:c>
      <x:c r="EL75" s="445"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446" t="str">
        <x:f t="shared" ref="EM75:EM104" si="128">IF(BD16="","",IF(EL75="-","-",IF(EO75="No",0,IF(AZ16/12&lt;60,1,IF(AZ16/12&lt;100,2,EL75)))))</x:f>
        <x:v/>
      </x:c>
      <x:c r="EN75" s="447" t="str">
        <x:f>IF(BD16="","",IF(ISERROR(VLOOKUP(BD16,TblJoistSize!$A$1:$G$274,2,FALSE)),"-",VLOOKUP(BD16,TblJoistSize!$A$1:$G$274,2,FALSE)))</x:f>
        <x:v/>
      </x:c>
      <x:c r="EO75" s="448" t="str">
        <x:f t="shared" ref="EO75:EO104" si="129">IF(BD16="","",IF(EN75="-","-",IF(EN75="NM","No",IF(EN75&lt;=AZ16/12,"Yes","No"))))</x:f>
        <x:v/>
      </x:c>
    </x:row>
    <x:row r="76" spans="1:145" ht="15" customHeight="1" x14ac:dyDescent="0.2">
      <x:c r="EJ76" s="507">
        <x:f t="shared" si="127"/>
        <x:v>0.66666666666666663</x:v>
      </x:c>
      <x:c r="EL76" s="445"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446" t="str">
        <x:f t="shared" si="128"/>
        <x:v/>
      </x:c>
      <x:c r="EN76" s="447" t="str">
        <x:f>IF(BD17="","",IF(ISERROR(VLOOKUP(BD17,TblJoistSize!$A$1:$G$274,2,FALSE)),"-",VLOOKUP(BD17,TblJoistSize!$A$1:$G$274,2,FALSE)))</x:f>
        <x:v/>
      </x:c>
      <x:c r="EO76" s="448" t="str">
        <x:f t="shared" si="129"/>
        <x:v/>
      </x:c>
    </x:row>
    <x:row r="77" spans="1:145" ht="15" customHeight="1" x14ac:dyDescent="0.2">
      <x:c r="EJ77" s="507">
        <x:f t="shared" si="127"/>
        <x:v>0.66666666666666663</x:v>
      </x:c>
      <x:c r="EL77" s="445"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446" t="str">
        <x:f t="shared" si="128"/>
        <x:v/>
      </x:c>
      <x:c r="EN77" s="447" t="str">
        <x:f>IF(BD18="","",IF(ISERROR(VLOOKUP(BD18,TblJoistSize!$A$1:$G$274,2,FALSE)),"-",VLOOKUP(BD18,TblJoistSize!$A$1:$G$274,2,FALSE)))</x:f>
        <x:v/>
      </x:c>
      <x:c r="EO77" s="448" t="str">
        <x:f t="shared" si="129"/>
        <x:v/>
      </x:c>
    </x:row>
    <x:row r="78" spans="1:145" ht="15" customHeight="1" x14ac:dyDescent="0.2">
      <x:c r="EJ78" s="507">
        <x:f t="shared" si="127"/>
        <x:v>0.66666666666666663</x:v>
      </x:c>
      <x:c r="EL78" s="445"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446" t="str">
        <x:f t="shared" si="128"/>
        <x:v/>
      </x:c>
      <x:c r="EN78" s="447" t="str">
        <x:f>IF(BD19="","",IF(ISERROR(VLOOKUP(BD19,TblJoistSize!$A$1:$G$274,2,FALSE)),"-",VLOOKUP(BD19,TblJoistSize!$A$1:$G$274,2,FALSE)))</x:f>
        <x:v/>
      </x:c>
      <x:c r="EO78" s="448" t="str">
        <x:f t="shared" si="129"/>
        <x:v/>
      </x:c>
    </x:row>
    <x:row r="79" spans="1:145" ht="15" customHeight="1" x14ac:dyDescent="0.2">
      <x:c r="EJ79" s="507">
        <x:f t="shared" si="127"/>
        <x:v>0.66666666666666663</x:v>
      </x:c>
      <x:c r="EL79" s="445"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446" t="str">
        <x:f t="shared" si="128"/>
        <x:v/>
      </x:c>
      <x:c r="EN79" s="447" t="str">
        <x:f>IF(BD20="","",IF(ISERROR(VLOOKUP(BD20,TblJoistSize!$A$1:$G$274,2,FALSE)),"-",VLOOKUP(BD20,TblJoistSize!$A$1:$G$274,2,FALSE)))</x:f>
        <x:v/>
      </x:c>
      <x:c r="EO79" s="448" t="str">
        <x:f t="shared" si="129"/>
        <x:v/>
      </x:c>
    </x:row>
    <x:row r="80" spans="1:145" ht="15" customHeight="1" x14ac:dyDescent="0.2">
      <x:c r="EJ80" s="507">
        <x:f t="shared" si="127"/>
        <x:v>0.66666666666666663</x:v>
      </x:c>
      <x:c r="EL80" s="445"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446" t="str">
        <x:f t="shared" si="128"/>
        <x:v/>
      </x:c>
      <x:c r="EN80" s="447" t="str">
        <x:f>IF(BD21="","",IF(ISERROR(VLOOKUP(BD21,TblJoistSize!$A$1:$G$274,2,FALSE)),"-",VLOOKUP(BD21,TblJoistSize!$A$1:$G$274,2,FALSE)))</x:f>
        <x:v/>
      </x:c>
      <x:c r="EO80" s="448" t="str">
        <x:f t="shared" si="129"/>
        <x:v/>
      </x:c>
    </x:row>
    <x:row r="81" spans="140:145" ht="15" customHeight="1" x14ac:dyDescent="0.2">
      <x:c r="EJ81" s="507">
        <x:f t="shared" si="127"/>
        <x:v>0.66666666666666663</x:v>
      </x:c>
      <x:c r="EL81" s="445"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446" t="str">
        <x:f t="shared" si="128"/>
        <x:v/>
      </x:c>
      <x:c r="EN81" s="447" t="str">
        <x:f>IF(BD22="","",IF(ISERROR(VLOOKUP(BD22,TblJoistSize!$A$1:$G$274,2,FALSE)),"-",VLOOKUP(BD22,TblJoistSize!$A$1:$G$274,2,FALSE)))</x:f>
        <x:v/>
      </x:c>
      <x:c r="EO81" s="448" t="str">
        <x:f t="shared" si="129"/>
        <x:v/>
      </x:c>
    </x:row>
    <x:row r="82" spans="140:145" ht="15" customHeight="1" x14ac:dyDescent="0.2">
      <x:c r="EJ82" s="507" t="str">
        <x:f t="shared" si="127"/>
        <x:v/>
      </x:c>
      <x:c r="EL82" s="445" t="str">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
      </x:c>
      <x:c r="EM82" s="446" t="str">
        <x:f t="shared" si="128"/>
        <x:v/>
      </x:c>
      <x:c r="EN82" s="447" t="str">
        <x:f>IF(BD23="","",IF(ISERROR(VLOOKUP(BD23,TblJoistSize!$A$1:$G$274,2,FALSE)),"-",VLOOKUP(BD23,TblJoistSize!$A$1:$G$274,2,FALSE)))</x:f>
        <x:v/>
      </x:c>
      <x:c r="EO82" s="448" t="str">
        <x:f t="shared" si="129"/>
        <x:v/>
      </x:c>
    </x:row>
    <x:row r="83" spans="140:145" ht="15" customHeight="1" x14ac:dyDescent="0.2">
      <x:c r="EJ83" s="507" t="str">
        <x:f t="shared" si="127"/>
        <x:v/>
      </x:c>
      <x:c r="EL83" s="445" t="str">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
      </x:c>
      <x:c r="EM83" s="446" t="str">
        <x:f t="shared" si="128"/>
        <x:v/>
      </x:c>
      <x:c r="EN83" s="447" t="str">
        <x:f>IF(BD24="","",IF(ISERROR(VLOOKUP(BD24,TblJoistSize!$A$1:$G$274,2,FALSE)),"-",VLOOKUP(BD24,TblJoistSize!$A$1:$G$274,2,FALSE)))</x:f>
        <x:v/>
      </x:c>
      <x:c r="EO83" s="448" t="str">
        <x:f t="shared" si="129"/>
        <x:v/>
      </x:c>
    </x:row>
    <x:row r="84" spans="140:145" ht="15" customHeight="1" x14ac:dyDescent="0.2">
      <x:c r="EJ84" s="507" t="str">
        <x:f t="shared" si="127"/>
        <x:v/>
      </x:c>
      <x:c r="EL84" s="445" t="str">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
      </x:c>
      <x:c r="EM84" s="446" t="str">
        <x:f t="shared" si="128"/>
        <x:v/>
      </x:c>
      <x:c r="EN84" s="447" t="str">
        <x:f>IF(BD25="","",IF(ISERROR(VLOOKUP(BD25,TblJoistSize!$A$1:$G$274,2,FALSE)),"-",VLOOKUP(BD25,TblJoistSize!$A$1:$G$274,2,FALSE)))</x:f>
        <x:v/>
      </x:c>
      <x:c r="EO84" s="448" t="str">
        <x:f t="shared" si="129"/>
        <x:v/>
      </x:c>
    </x:row>
    <x:row r="85" spans="140:145" ht="15" customHeight="1" x14ac:dyDescent="0.2">
      <x:c r="EJ85" s="507" t="str">
        <x:f t="shared" si="127"/>
        <x:v/>
      </x:c>
      <x:c r="EL85" s="445" t="str">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
      </x:c>
      <x:c r="EM85" s="446" t="str">
        <x:f t="shared" si="128"/>
        <x:v/>
      </x:c>
      <x:c r="EN85" s="447" t="str">
        <x:f>IF(BD26="","",IF(ISERROR(VLOOKUP(BD26,TblJoistSize!$A$1:$G$274,2,FALSE)),"-",VLOOKUP(BD26,TblJoistSize!$A$1:$G$274,2,FALSE)))</x:f>
        <x:v/>
      </x:c>
      <x:c r="EO85" s="448" t="str">
        <x:f t="shared" si="129"/>
        <x:v/>
      </x:c>
    </x:row>
    <x:row r="86" spans="140:145" ht="15" customHeight="1" x14ac:dyDescent="0.2">
      <x:c r="EJ86" s="507" t="str">
        <x:f t="shared" si="127"/>
        <x:v/>
      </x:c>
      <x:c r="EL86" s="445" t="str">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
      </x:c>
      <x:c r="EM86" s="446" t="str">
        <x:f t="shared" si="128"/>
        <x:v/>
      </x:c>
      <x:c r="EN86" s="447" t="str">
        <x:f>IF(BD27="","",IF(ISERROR(VLOOKUP(BD27,TblJoistSize!$A$1:$G$274,2,FALSE)),"-",VLOOKUP(BD27,TblJoistSize!$A$1:$G$274,2,FALSE)))</x:f>
        <x:v/>
      </x:c>
      <x:c r="EO86" s="448" t="str">
        <x:f t="shared" si="129"/>
        <x:v/>
      </x:c>
    </x:row>
    <x:row r="87" spans="140:145" ht="15" customHeight="1" x14ac:dyDescent="0.2">
      <x:c r="EJ87" s="507" t="str">
        <x:f t="shared" si="127"/>
        <x:v/>
      </x:c>
      <x:c r="EL87" s="445" t="str">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
      </x:c>
      <x:c r="EM87" s="446" t="str">
        <x:f t="shared" si="128"/>
        <x:v/>
      </x:c>
      <x:c r="EN87" s="447" t="str">
        <x:f>IF(BD28="","",IF(ISERROR(VLOOKUP(BD28,TblJoistSize!$A$1:$G$274,2,FALSE)),"-",VLOOKUP(BD28,TblJoistSize!$A$1:$G$274,2,FALSE)))</x:f>
        <x:v/>
      </x:c>
      <x:c r="EO87" s="448" t="str">
        <x:f t="shared" si="129"/>
        <x:v/>
      </x:c>
    </x:row>
    <x:row r="88" spans="140:145" ht="15" customHeight="1" x14ac:dyDescent="0.2">
      <x:c r="EJ88" s="507" t="str">
        <x:f t="shared" si="127"/>
        <x:v/>
      </x:c>
      <x:c r="EL88" s="445" t="str">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
      </x:c>
      <x:c r="EM88" s="446" t="str">
        <x:f t="shared" si="128"/>
        <x:v/>
      </x:c>
      <x:c r="EN88" s="447" t="str">
        <x:f>IF(BD29="","",IF(ISERROR(VLOOKUP(BD29,TblJoistSize!$A$1:$G$274,2,FALSE)),"-",VLOOKUP(BD29,TblJoistSize!$A$1:$G$274,2,FALSE)))</x:f>
        <x:v/>
      </x:c>
      <x:c r="EO88" s="448" t="str">
        <x:f t="shared" si="129"/>
        <x:v/>
      </x:c>
    </x:row>
    <x:row r="89" spans="140:145" ht="15" customHeight="1" x14ac:dyDescent="0.2">
      <x:c r="EJ89" s="507" t="str">
        <x:f t="shared" si="127"/>
        <x:v/>
      </x:c>
      <x:c r="EL89" s="445" t="str">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
      </x:c>
      <x:c r="EM89" s="446" t="str">
        <x:f t="shared" si="128"/>
        <x:v/>
      </x:c>
      <x:c r="EN89" s="447" t="str">
        <x:f>IF(BD30="","",IF(ISERROR(VLOOKUP(BD30,TblJoistSize!$A$1:$G$274,2,FALSE)),"-",VLOOKUP(BD30,TblJoistSize!$A$1:$G$274,2,FALSE)))</x:f>
        <x:v/>
      </x:c>
      <x:c r="EO89" s="448" t="str">
        <x:f t="shared" si="129"/>
        <x:v/>
      </x:c>
    </x:row>
    <x:row r="90" spans="140:145" ht="15" customHeight="1" x14ac:dyDescent="0.2">
      <x:c r="EJ90" s="507" t="str">
        <x:f t="shared" si="127"/>
        <x:v/>
      </x:c>
      <x:c r="EL90" s="445" t="str">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
      </x:c>
      <x:c r="EM90" s="446" t="str">
        <x:f t="shared" si="128"/>
        <x:v/>
      </x:c>
      <x:c r="EN90" s="447" t="str">
        <x:f>IF(BD31="","",IF(ISERROR(VLOOKUP(BD31,TblJoistSize!$A$1:$G$274,2,FALSE)),"-",VLOOKUP(BD31,TblJoistSize!$A$1:$G$274,2,FALSE)))</x:f>
        <x:v/>
      </x:c>
      <x:c r="EO90" s="448" t="str">
        <x:f t="shared" si="129"/>
        <x:v/>
      </x:c>
    </x:row>
    <x:row r="91" spans="140:145" ht="15" customHeight="1" x14ac:dyDescent="0.2">
      <x:c r="EJ91" s="507" t="str">
        <x:f t="shared" si="127"/>
        <x:v/>
      </x:c>
      <x:c r="EL91" s="445" t="str">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
      </x:c>
      <x:c r="EM91" s="446" t="str">
        <x:f t="shared" si="128"/>
        <x:v/>
      </x:c>
      <x:c r="EN91" s="447" t="str">
        <x:f>IF(BD32="","",IF(ISERROR(VLOOKUP(BD32,TblJoistSize!$A$1:$G$274,2,FALSE)),"-",VLOOKUP(BD32,TblJoistSize!$A$1:$G$274,2,FALSE)))</x:f>
        <x:v/>
      </x:c>
      <x:c r="EO91" s="448" t="str">
        <x:f t="shared" si="129"/>
        <x:v/>
      </x:c>
    </x:row>
    <x:row r="92" spans="140:145" ht="15" customHeight="1" x14ac:dyDescent="0.2">
      <x:c r="EJ92" s="507" t="str">
        <x:f t="shared" si="127"/>
        <x:v/>
      </x:c>
      <x:c r="EL92" s="445" t="str">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
      </x:c>
      <x:c r="EM92" s="446" t="str">
        <x:f t="shared" si="128"/>
        <x:v/>
      </x:c>
      <x:c r="EN92" s="447" t="str">
        <x:f>IF(BD33="","",IF(ISERROR(VLOOKUP(BD33,TblJoistSize!$A$1:$G$274,2,FALSE)),"-",VLOOKUP(BD33,TblJoistSize!$A$1:$G$274,2,FALSE)))</x:f>
        <x:v/>
      </x:c>
      <x:c r="EO92" s="448" t="str">
        <x:f t="shared" si="129"/>
        <x:v/>
      </x:c>
    </x:row>
    <x:row r="93" spans="140:145" ht="15" customHeight="1" x14ac:dyDescent="0.2">
      <x:c r="EJ93" s="507" t="str">
        <x:f t="shared" si="127"/>
        <x:v/>
      </x:c>
      <x:c r="EL93" s="445" t="str">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
      </x:c>
      <x:c r="EM93" s="446" t="str">
        <x:f t="shared" si="128"/>
        <x:v/>
      </x:c>
      <x:c r="EN93" s="447" t="str">
        <x:f>IF(BD34="","",IF(ISERROR(VLOOKUP(BD34,TblJoistSize!$A$1:$G$274,2,FALSE)),"-",VLOOKUP(BD34,TblJoistSize!$A$1:$G$274,2,FALSE)))</x:f>
        <x:v/>
      </x:c>
      <x:c r="EO93" s="448" t="str">
        <x:f t="shared" si="129"/>
        <x:v/>
      </x:c>
    </x:row>
    <x:row r="94" spans="140:145" ht="15" customHeight="1" x14ac:dyDescent="0.2">
      <x:c r="EJ94" s="507" t="str">
        <x:f t="shared" si="127"/>
        <x:v/>
      </x:c>
      <x:c r="EL94" s="445" t="str">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
      </x:c>
      <x:c r="EM94" s="446" t="str">
        <x:f t="shared" si="128"/>
        <x:v/>
      </x:c>
      <x:c r="EN94" s="447" t="str">
        <x:f>IF(BD35="","",IF(ISERROR(VLOOKUP(BD35,TblJoistSize!$A$1:$G$274,2,FALSE)),"-",VLOOKUP(BD35,TblJoistSize!$A$1:$G$274,2,FALSE)))</x:f>
        <x:v/>
      </x:c>
      <x:c r="EO94" s="448" t="str">
        <x:f t="shared" si="129"/>
        <x:v/>
      </x:c>
    </x:row>
    <x:row r="95" spans="140:145" ht="15" customHeight="1" x14ac:dyDescent="0.2">
      <x:c r="EJ95" s="507" t="str">
        <x:f t="shared" si="127"/>
        <x:v/>
      </x:c>
      <x:c r="EL95" s="445" t="str">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
      </x:c>
      <x:c r="EM95" s="446" t="str">
        <x:f t="shared" si="128"/>
        <x:v/>
      </x:c>
      <x:c r="EN95" s="447" t="str">
        <x:f>IF(BD36="","",IF(ISERROR(VLOOKUP(BD36,TblJoistSize!$A$1:$G$274,2,FALSE)),"-",VLOOKUP(BD36,TblJoistSize!$A$1:$G$274,2,FALSE)))</x:f>
        <x:v/>
      </x:c>
      <x:c r="EO95" s="448" t="str">
        <x:f t="shared" si="129"/>
        <x:v/>
      </x:c>
    </x:row>
    <x:row r="96" spans="140:145" ht="15" customHeight="1" x14ac:dyDescent="0.2">
      <x:c r="EJ96" s="507" t="str">
        <x:f t="shared" si="127"/>
        <x:v/>
      </x:c>
      <x:c r="EL96" s="445" t="str">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
      </x:c>
      <x:c r="EM96" s="446" t="str">
        <x:f t="shared" si="128"/>
        <x:v/>
      </x:c>
      <x:c r="EN96" s="447" t="str">
        <x:f>IF(BD37="","",IF(ISERROR(VLOOKUP(BD37,TblJoistSize!$A$1:$G$274,2,FALSE)),"-",VLOOKUP(BD37,TblJoistSize!$A$1:$G$274,2,FALSE)))</x:f>
        <x:v/>
      </x:c>
      <x:c r="EO96" s="448" t="str">
        <x:f t="shared" si="129"/>
        <x:v/>
      </x:c>
    </x:row>
    <x:row r="97" spans="140:145" ht="15" customHeight="1" x14ac:dyDescent="0.2">
      <x:c r="EJ97" s="507" t="str">
        <x:f t="shared" si="127"/>
        <x:v/>
      </x:c>
      <x:c r="EL97" s="445" t="str">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
      </x:c>
      <x:c r="EM97" s="446" t="str">
        <x:f t="shared" si="128"/>
        <x:v/>
      </x:c>
      <x:c r="EN97" s="447" t="str">
        <x:f>IF(BD38="","",IF(ISERROR(VLOOKUP(BD38,TblJoistSize!$A$1:$G$274,2,FALSE)),"-",VLOOKUP(BD38,TblJoistSize!$A$1:$G$274,2,FALSE)))</x:f>
        <x:v/>
      </x:c>
      <x:c r="EO97" s="448" t="str">
        <x:f t="shared" si="129"/>
        <x:v/>
      </x:c>
    </x:row>
    <x:row r="98" spans="140:145" ht="15" customHeight="1" x14ac:dyDescent="0.2">
      <x:c r="EJ98" s="507" t="str">
        <x:f t="shared" si="127"/>
        <x:v/>
      </x:c>
      <x:c r="EL98" s="445" t="str">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
      </x:c>
      <x:c r="EM98" s="446" t="str">
        <x:f t="shared" si="128"/>
        <x:v/>
      </x:c>
      <x:c r="EN98" s="447" t="str">
        <x:f>IF(BD39="","",IF(ISERROR(VLOOKUP(BD39,TblJoistSize!$A$1:$G$274,2,FALSE)),"-",VLOOKUP(BD39,TblJoistSize!$A$1:$G$274,2,FALSE)))</x:f>
        <x:v/>
      </x:c>
      <x:c r="EO98" s="448" t="str">
        <x:f t="shared" si="129"/>
        <x:v/>
      </x:c>
    </x:row>
    <x:row r="99" spans="140:145" ht="15" customHeight="1" x14ac:dyDescent="0.2">
      <x:c r="EJ99" s="507" t="str">
        <x:f t="shared" si="127"/>
        <x:v/>
      </x:c>
      <x:c r="EL99" s="445" t="str">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
      </x:c>
      <x:c r="EM99" s="446" t="str">
        <x:f t="shared" si="128"/>
        <x:v/>
      </x:c>
      <x:c r="EN99" s="447" t="str">
        <x:f>IF(BD40="","",IF(ISERROR(VLOOKUP(BD40,TblJoistSize!$A$1:$G$274,2,FALSE)),"-",VLOOKUP(BD40,TblJoistSize!$A$1:$G$274,2,FALSE)))</x:f>
        <x:v/>
      </x:c>
      <x:c r="EO99" s="448" t="str">
        <x:f t="shared" si="129"/>
        <x:v/>
      </x:c>
    </x:row>
    <x:row r="100" spans="140:145" ht="15" customHeight="1" x14ac:dyDescent="0.2">
      <x:c r="EJ100" s="507" t="str">
        <x:f t="shared" si="127"/>
        <x:v/>
      </x:c>
      <x:c r="EL100" s="445"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446" t="str">
        <x:f t="shared" si="128"/>
        <x:v/>
      </x:c>
      <x:c r="EN100" s="447" t="str">
        <x:f>IF(BD41="","",IF(ISERROR(VLOOKUP(BD41,TblJoistSize!$A$1:$G$274,2,FALSE)),"-",VLOOKUP(BD41,TblJoistSize!$A$1:$G$274,2,FALSE)))</x:f>
        <x:v/>
      </x:c>
      <x:c r="EO100" s="448" t="str">
        <x:f t="shared" si="129"/>
        <x:v/>
      </x:c>
    </x:row>
    <x:row r="101" spans="140:145" x14ac:dyDescent="0.2">
      <x:c r="EJ101" s="507" t="str">
        <x:f t="shared" si="127"/>
        <x:v/>
      </x:c>
      <x:c r="EL101" s="445"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446" t="str">
        <x:f t="shared" si="128"/>
        <x:v/>
      </x:c>
      <x:c r="EN101" s="447" t="str">
        <x:f>IF(BD42="","",IF(ISERROR(VLOOKUP(BD42,TblJoistSize!$A$1:$G$274,2,FALSE)),"-",VLOOKUP(BD42,TblJoistSize!$A$1:$G$274,2,FALSE)))</x:f>
        <x:v/>
      </x:c>
      <x:c r="EO101" s="448" t="str">
        <x:f t="shared" si="129"/>
        <x:v/>
      </x:c>
    </x:row>
    <x:row r="102" spans="140:145" x14ac:dyDescent="0.2">
      <x:c r="EJ102" s="507" t="str">
        <x:f t="shared" si="127"/>
        <x:v/>
      </x:c>
      <x:c r="EL102" s="445"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446" t="str">
        <x:f t="shared" si="128"/>
        <x:v/>
      </x:c>
      <x:c r="EN102" s="447" t="str">
        <x:f>IF(BD43="","",IF(ISERROR(VLOOKUP(BD43,TblJoistSize!$A$1:$G$274,2,FALSE)),"-",VLOOKUP(BD43,TblJoistSize!$A$1:$G$274,2,FALSE)))</x:f>
        <x:v/>
      </x:c>
      <x:c r="EO102" s="448" t="str">
        <x:f t="shared" si="129"/>
        <x:v/>
      </x:c>
    </x:row>
    <x:row r="103" spans="140:145" x14ac:dyDescent="0.2">
      <x:c r="EJ103" s="507" t="str">
        <x:f t="shared" si="127"/>
        <x:v/>
      </x:c>
      <x:c r="EL103" s="445"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446" t="str">
        <x:f t="shared" si="128"/>
        <x:v/>
      </x:c>
      <x:c r="EN103" s="447" t="str">
        <x:f>IF(BD44="","",IF(ISERROR(VLOOKUP(BD44,TblJoistSize!$A$1:$G$274,2,FALSE)),"-",VLOOKUP(BD44,TblJoistSize!$A$1:$G$274,2,FALSE)))</x:f>
        <x:v/>
      </x:c>
      <x:c r="EO103" s="448" t="str">
        <x:f t="shared" si="129"/>
        <x:v/>
      </x:c>
    </x:row>
    <x:row r="104" spans="140:145" x14ac:dyDescent="0.2">
      <x:c r="EJ104" s="507" t="str">
        <x:f t="shared" si="127"/>
        <x:v/>
      </x:c>
      <x:c r="EL104" s="445"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446" t="str">
        <x:f t="shared" si="128"/>
        <x:v/>
      </x:c>
      <x:c r="EN104" s="447" t="str">
        <x:f>IF(BD45="","",IF(ISERROR(VLOOKUP(BD45,TblJoistSize!$A$1:$G$274,2,FALSE)),"-",VLOOKUP(BD45,TblJoistSize!$A$1:$G$274,2,FALSE)))</x:f>
        <x:v/>
      </x:c>
      <x:c r="EO104" s="448" t="str">
        <x:f t="shared" si="129"/>
        <x:v/>
      </x:c>
    </x:row>
  </x:sheetData>
  <x:sheetProtection algorithmName="SHA-512" hashValue="BJ9eGafFBI60LskdO28SdvMNz8CBlOoAIXM0Rr1D58KrmrgkAGR6zgjnAlzKSLLnosgHtUeFTKNzvH1kOFJWuA==" saltValue="XobtcbnvaAwVPwoy3DNPXg==" spinCount="100000" sheet="1" objects="1" scenarios="1" selectLockedCells="1"/>
  <x:dataConsolidate link="1"/>
  <x:mergeCells count="190">
    <x:mergeCell ref="CC6:CF6"/>
    <x:mergeCell ref="M7:S7"/>
    <x:mergeCell ref="C9:O9"/>
    <x:mergeCell ref="S9:AA9"/>
    <x:mergeCell ref="C10:O10"/>
    <x:mergeCell ref="S10:W10"/>
    <x:mergeCell ref="Z10:AA10"/>
    <x:mergeCell ref="P1:S1"/>
    <x:mergeCell ref="P2:S3"/>
    <x:mergeCell ref="P4:S4"/>
    <x:mergeCell ref="A5:M5"/>
    <x:mergeCell ref="M6:T6"/>
    <x:mergeCell ref="Y6:Z6"/>
    <x:mergeCell ref="HA12:IF13"/>
    <x:mergeCell ref="AU13:AU15"/>
    <x:mergeCell ref="AV13:AW15"/>
    <x:mergeCell ref="BB13:BF13"/>
    <x:mergeCell ref="BG13:BR13"/>
    <x:mergeCell ref="BS13:CD13"/>
    <x:mergeCell ref="CE13:CE15"/>
    <x:mergeCell ref="CF13:CG14"/>
    <x:mergeCell ref="FH12:FH15"/>
    <x:mergeCell ref="FI12:FI15"/>
    <x:mergeCell ref="FJ12:FJ15"/>
    <x:mergeCell ref="FK12:FK15"/>
    <x:mergeCell ref="FL12:FL15"/>
    <x:mergeCell ref="FM12:FM15"/>
    <x:mergeCell ref="FB12:FB15"/>
    <x:mergeCell ref="FC12:FC15"/>
    <x:mergeCell ref="FD12:FD15"/>
    <x:mergeCell ref="FE12:FE15"/>
    <x:mergeCell ref="FF12:FF15"/>
    <x:mergeCell ref="FG12:FG15"/>
    <x:mergeCell ref="EV12:EV15"/>
    <x:mergeCell ref="EW12:EW15"/>
    <x:mergeCell ref="EX12:EX15"/>
    <x:mergeCell ref="EY12:EY15"/>
    <x:mergeCell ref="CU13:DD13"/>
    <x:mergeCell ref="DE13:DN13"/>
    <x:mergeCell ref="GA13:GJ13"/>
    <x:mergeCell ref="A14:A15"/>
    <x:mergeCell ref="B14:B15"/>
    <x:mergeCell ref="C14:C15"/>
    <x:mergeCell ref="D14:E15"/>
    <x:mergeCell ref="F14:H14"/>
    <x:mergeCell ref="I14:K14"/>
    <x:mergeCell ref="L14:M14"/>
    <x:mergeCell ref="FN12:FN15"/>
    <x:mergeCell ref="FQ12:FR13"/>
    <x:mergeCell ref="EZ12:EZ15"/>
    <x:mergeCell ref="FA12:FA15"/>
    <x:mergeCell ref="BB11:CB12"/>
    <x:mergeCell ref="CD11:CG12"/>
    <x:mergeCell ref="CN12:CO14"/>
    <x:mergeCell ref="CP12:CQ14"/>
    <x:mergeCell ref="CR12:CR15"/>
    <x:mergeCell ref="CS12:CS15"/>
    <x:mergeCell ref="BC14:BC15"/>
    <x:mergeCell ref="BD14:BD15"/>
    <x:mergeCell ref="BE14:BF15"/>
    <x:mergeCell ref="BG14:BG15"/>
    <x:mergeCell ref="BH14:BI15"/>
    <x:mergeCell ref="BJ14:BJ15"/>
    <x:mergeCell ref="BK14:BL15"/>
    <x:mergeCell ref="BM14:BM15"/>
    <x:mergeCell ref="BN14:BN15"/>
    <x:mergeCell ref="BO14:BO15"/>
    <x:mergeCell ref="N14:P14"/>
    <x:mergeCell ref="Q14:S14"/>
    <x:mergeCell ref="T14:X14"/>
    <x:mergeCell ref="Y14:Z14"/>
    <x:mergeCell ref="AZ14:AZ15"/>
    <x:mergeCell ref="BB14:BB15"/>
    <x:mergeCell ref="BZ14:BZ15"/>
    <x:mergeCell ref="CA14:CA15"/>
    <x:mergeCell ref="CB14:CD14"/>
    <x:mergeCell ref="CH14:CJ14"/>
    <x:mergeCell ref="CK14:CK15"/>
    <x:mergeCell ref="CL14:CM14"/>
    <x:mergeCell ref="BP14:BR14"/>
    <x:mergeCell ref="BS14:BS15"/>
    <x:mergeCell ref="BT14:BU15"/>
    <x:mergeCell ref="BV14:BV15"/>
    <x:mergeCell ref="BW14:BX15"/>
    <x:mergeCell ref="BY14:BY15"/>
    <x:mergeCell ref="DA14:DA15"/>
    <x:mergeCell ref="DB14:DB15"/>
    <x:mergeCell ref="DC14:DC15"/>
    <x:mergeCell ref="DD14:DD15"/>
    <x:mergeCell ref="DE14:DE15"/>
    <x:mergeCell ref="DF14:DF15"/>
    <x:mergeCell ref="CU14:CU15"/>
    <x:mergeCell ref="CV14:CV15"/>
    <x:mergeCell ref="CW14:CW15"/>
    <x:mergeCell ref="CX14:CX15"/>
    <x:mergeCell ref="CY14:CY15"/>
    <x:mergeCell ref="CZ14:CZ15"/>
    <x:mergeCell ref="DM14:DM15"/>
    <x:mergeCell ref="DN14:DN15"/>
    <x:mergeCell ref="DO14:DO15"/>
    <x:mergeCell ref="DP14:DP15"/>
    <x:mergeCell ref="DQ14:DQ15"/>
    <x:mergeCell ref="DR14:DR15"/>
    <x:mergeCell ref="DG14:DG15"/>
    <x:mergeCell ref="DH14:DH15"/>
    <x:mergeCell ref="DI14:DI15"/>
    <x:mergeCell ref="DJ14:DJ15"/>
    <x:mergeCell ref="DK14:DK15"/>
    <x:mergeCell ref="DL14:DL15"/>
    <x:mergeCell ref="DZ14:EA14"/>
    <x:mergeCell ref="EB14:EB15"/>
    <x:mergeCell ref="EC14:EC15"/>
    <x:mergeCell ref="ED14:ED15"/>
    <x:mergeCell ref="EE14:EE15"/>
    <x:mergeCell ref="EF14:EG14"/>
    <x:mergeCell ref="DS14:DS15"/>
    <x:mergeCell ref="DT14:DU14"/>
    <x:mergeCell ref="DV14:DV15"/>
    <x:mergeCell ref="DW14:DW15"/>
    <x:mergeCell ref="DX14:DX15"/>
    <x:mergeCell ref="DY14:DY15"/>
    <x:mergeCell ref="ES14:ES15"/>
    <x:mergeCell ref="ET14:ET15"/>
    <x:mergeCell ref="EU14:EU15"/>
    <x:mergeCell ref="FO14:FO15"/>
    <x:mergeCell ref="FP14:FP15"/>
    <x:mergeCell ref="FQ14:FQ15"/>
    <x:mergeCell ref="EH14:EI14"/>
    <x:mergeCell ref="EJ14:EK14"/>
    <x:mergeCell ref="EL14:EL15"/>
    <x:mergeCell ref="EM14:EN14"/>
    <x:mergeCell ref="EO14:EP14"/>
    <x:mergeCell ref="EQ14:ER14"/>
    <x:mergeCell ref="GI14:GJ14"/>
    <x:mergeCell ref="GK14:GK15"/>
    <x:mergeCell ref="GL14:GL15"/>
    <x:mergeCell ref="FR14:FR15"/>
    <x:mergeCell ref="FS14:FS15"/>
    <x:mergeCell ref="FT14:FT15"/>
    <x:mergeCell ref="FU14:FV14"/>
    <x:mergeCell ref="GA14:GB14"/>
    <x:mergeCell ref="GC14:GD14"/>
    <x:mergeCell ref="F15:G15"/>
    <x:mergeCell ref="I15:J15"/>
    <x:mergeCell ref="N15:O15"/>
    <x:mergeCell ref="Q15:R15"/>
    <x:mergeCell ref="T15:U15"/>
    <x:mergeCell ref="V15:W15"/>
    <x:mergeCell ref="HY14:HY15"/>
    <x:mergeCell ref="HZ14:HZ15"/>
    <x:mergeCell ref="IA14:IA15"/>
    <x:mergeCell ref="HS14:HS15"/>
    <x:mergeCell ref="HT14:HT15"/>
    <x:mergeCell ref="HU14:HU15"/>
    <x:mergeCell ref="HV14:HV15"/>
    <x:mergeCell ref="HW14:HW15"/>
    <x:mergeCell ref="HX14:HX15"/>
    <x:mergeCell ref="HM14:HM15"/>
    <x:mergeCell ref="HN14:HN15"/>
    <x:mergeCell ref="HO14:HO15"/>
    <x:mergeCell ref="HP14:HP15"/>
    <x:mergeCell ref="HQ14:HQ15"/>
    <x:mergeCell ref="HR14:HR15"/>
    <x:mergeCell ref="HG14:HG15"/>
    <x:mergeCell ref="HH14:HH15"/>
    <x:mergeCell ref="HI14:HI15"/>
    <x:mergeCell ref="CP57:CQ57"/>
    <x:mergeCell ref="EL71:EO71"/>
    <x:mergeCell ref="EL72:EL74"/>
    <x:mergeCell ref="EM72:EM74"/>
    <x:mergeCell ref="EN72:EN74"/>
    <x:mergeCell ref="EO72:EO74"/>
    <x:mergeCell ref="EJ73:EJ74"/>
    <x:mergeCell ref="IE14:IE15"/>
    <x:mergeCell ref="IF14:IF15"/>
    <x:mergeCell ref="IB14:IB15"/>
    <x:mergeCell ref="IC14:IC15"/>
    <x:mergeCell ref="ID14:ID15"/>
    <x:mergeCell ref="HJ14:HJ15"/>
    <x:mergeCell ref="HK14:HK15"/>
    <x:mergeCell ref="HL14:HL15"/>
    <x:mergeCell ref="GM14:GM15"/>
    <x:mergeCell ref="HA14:HA15"/>
    <x:mergeCell ref="HB14:HB15"/>
    <x:mergeCell ref="HC14:HC15"/>
    <x:mergeCell ref="HD14:HE15"/>
    <x:mergeCell ref="HF14:HF15"/>
    <x:mergeCell ref="GE14:GE15"/>
    <x:mergeCell ref="GF14:GF15"/>
    <x:mergeCell ref="GG14:GH14"/>
  </x:mergeCells>
  <x:conditionalFormatting sqref="EF57">
    <x:cfRule type="cellIs" dxfId="93" priority="53" stopIfTrue="1" operator="notEqual">
      <x:formula>$EG57</x:formula>
    </x:cfRule>
  </x:conditionalFormatting>
  <x:conditionalFormatting sqref="EM57">
    <x:cfRule type="cellIs" dxfId="92" priority="54" stopIfTrue="1" operator="notEqual">
      <x:formula>$EN57</x:formula>
    </x:cfRule>
  </x:conditionalFormatting>
  <x:conditionalFormatting sqref="P2:S4">
    <x:cfRule type="cellIs" dxfId="91" priority="56" stopIfTrue="1" operator="equal">
      <x:formula>""</x:formula>
    </x:cfRule>
  </x:conditionalFormatting>
  <x:conditionalFormatting sqref="EF16:EF45">
    <x:cfRule type="cellIs" dxfId="90" priority="52" stopIfTrue="1" operator="notEqual">
      <x:formula>$EG16</x:formula>
    </x:cfRule>
  </x:conditionalFormatting>
  <x:conditionalFormatting sqref="CC7">
    <x:cfRule type="expression" dxfId="89" priority="51" stopIfTrue="1">
      <x:formula>ISBLANK($CC$7)</x:formula>
    </x:cfRule>
  </x:conditionalFormatting>
  <x:conditionalFormatting sqref="CC6">
    <x:cfRule type="expression" dxfId="88" priority="50" stopIfTrue="1">
      <x:formula>ISBLANK($CC$6)</x:formula>
    </x:cfRule>
  </x:conditionalFormatting>
  <x:conditionalFormatting sqref="M7">
    <x:cfRule type="expression" dxfId="87" priority="48" stopIfTrue="1">
      <x:formula>OR(ISBLANK($M$7),$M$7="")</x:formula>
    </x:cfRule>
    <x:cfRule type="expression" dxfId="86" priority="49" stopIfTrue="1">
      <x:formula>NOT(OR(COUNTIF(masterFinishList, $M$7) &gt; 0, COUNTIF($M$7, "Other:*") &gt; 0))</x:formula>
    </x:cfRule>
  </x:conditionalFormatting>
  <x:conditionalFormatting sqref="BD16:BD45">
    <x:cfRule type="expression" dxfId="85" priority="47">
      <x:formula>AND(NOT($AY16),NOT($AP16))</x:formula>
    </x:cfRule>
  </x:conditionalFormatting>
  <x:conditionalFormatting sqref="C16:C45">
    <x:cfRule type="expression" dxfId="84" priority="45">
      <x:formula>AND(NOT($AY16),NOT($AP16))</x:formula>
    </x:cfRule>
  </x:conditionalFormatting>
  <x:conditionalFormatting sqref="X16:X45">
    <x:cfRule type="expression" dxfId="83" priority="28">
      <x:formula>$X16=0</x:formula>
    </x:cfRule>
  </x:conditionalFormatting>
  <x:conditionalFormatting sqref="CG16:CG45">
    <x:cfRule type="expression" dxfId="82" priority="55">
      <x:formula>OR(CH16&lt;&gt;"",CI16&lt;&gt;"",CJ16&lt;&gt;"",CK16&lt;&gt;"",CL16&lt;&gt;"",CM16&lt;&gt;"",CP16&lt;&gt;"",CQ16&lt;&gt;"")</x:formula>
    </x:cfRule>
  </x:conditionalFormatting>
  <x:conditionalFormatting sqref="BE16:BF45">
    <x:cfRule type="expression" dxfId="81" priority="57">
      <x:formula>AND(NOT($AY16),AND($AZ16,AND($AK16&lt;&gt;"HDR",$AK16&lt;&gt;"JS",$AJ16&gt;=8)))</x:formula>
    </x:cfRule>
  </x:conditionalFormatting>
  <x:conditionalFormatting sqref="D16:E45">
    <x:cfRule type="expression" dxfId="80" priority="46">
      <x:formula>AND(NOT($AY16),AND($AZ16,AND($AK16&lt;&gt;"HDR",$AK16&lt;&gt;"JS",$AJ16&gt;=8)))</x:formula>
    </x:cfRule>
    <x:cfRule type="expression" dxfId="79" priority="80" stopIfTrue="1">
      <x:formula xml:space="preserve"> AND($GM16 &gt;= 0.125, $GL16 &gt; 0)</x:formula>
    </x:cfRule>
  </x:conditionalFormatting>
  <x:conditionalFormatting sqref="AA12">
    <x:cfRule type="expression" dxfId="78" priority="44">
      <x:formula>OR(ISBLANK(AA12),AA12="")</x:formula>
    </x:cfRule>
  </x:conditionalFormatting>
  <x:conditionalFormatting sqref="A16:S45 X16:AA45 BB16:CD45">
    <x:cfRule type="expression" dxfId="77" priority="58">
      <x:formula>$AC16</x:formula>
    </x:cfRule>
  </x:conditionalFormatting>
  <x:conditionalFormatting sqref="BG16:BG45">
    <x:cfRule type="expression" dxfId="76" priority="29">
      <x:formula>AND(NOT($AY16),ISERROR(CU16))</x:formula>
    </x:cfRule>
    <x:cfRule type="expression" dxfId="75" priority="42">
      <x:formula>AND(NOT($AY16),OR(CP16&lt;&gt;"", CU16=""))</x:formula>
    </x:cfRule>
  </x:conditionalFormatting>
  <x:conditionalFormatting sqref="BH16:BH45">
    <x:cfRule type="expression" dxfId="74" priority="36">
      <x:formula>AND(NOT($AY16),OR($CU16="M",$CU16="C",AND($CU16="B",$DC16&gt;0)))</x:formula>
    </x:cfRule>
    <x:cfRule type="expression" dxfId="73" priority="37">
      <x:formula>AND(NOT($AY16),AND(BH16="",BI16="",OR($CU16="B",$CU16="G")))</x:formula>
    </x:cfRule>
    <x:cfRule type="expression" dxfId="72" priority="38">
      <x:formula>AND(NOT($AY16),(BH16/2)/COS(RADIANS(BM16))+CV16-DW16&lt;VLOOKUP(AU16,$DF$2:$DJ$9,5,FALSE))</x:formula>
    </x:cfRule>
  </x:conditionalFormatting>
  <x:conditionalFormatting sqref="BI16:BI45">
    <x:cfRule type="expression" dxfId="71" priority="39">
      <x:formula>AND(NOT($AY16),OR($CU16="M",$CU16="C",AND($CU16="B",$DC16&gt;0)))</x:formula>
    </x:cfRule>
    <x:cfRule type="expression" dxfId="70" priority="40">
      <x:formula>AND(NOT($AY16),AND(BH16="",BI16="",OR($CU16="B",$CU16="G")))</x:formula>
    </x:cfRule>
    <x:cfRule type="expression" dxfId="69" priority="41">
      <x:formula>AND(NOT($AY16),(BI16/2)/COS(RADIANS(BM16))+CV16-DW16&lt;VLOOKUP(AU16,$DF$2:$DJ$9,5,FALSE))</x:formula>
    </x:cfRule>
  </x:conditionalFormatting>
  <x:conditionalFormatting sqref="BK16:BK45">
    <x:cfRule type="expression" dxfId="68" priority="30">
      <x:formula>AND(NOT($AY16),OR($CU16="M",$CU16="C",AND($CU16="B",$DA16&lt;&gt;"")))</x:formula>
    </x:cfRule>
    <x:cfRule type="expression" dxfId="67" priority="31">
      <x:formula>AND(NOT($AY16),AND(BJ16="X",BK16="",BL16=""))</x:formula>
    </x:cfRule>
    <x:cfRule type="expression" dxfId="66" priority="32">
      <x:formula>AND(NOT($AY16),EZ16="ERR")</x:formula>
    </x:cfRule>
  </x:conditionalFormatting>
  <x:conditionalFormatting sqref="BL16:BL45">
    <x:cfRule type="expression" dxfId="65" priority="33">
      <x:formula>AND(NOT($AY16),OR($CU16="M",$CU16="C",AND($CU16="B",$DA16&lt;&gt;"")))</x:formula>
    </x:cfRule>
    <x:cfRule type="expression" dxfId="64" priority="34">
      <x:formula>AND(NOT($AY16),AND(BJ16="X",BK16="",BL16=""))</x:formula>
    </x:cfRule>
    <x:cfRule type="expression" dxfId="63" priority="35">
      <x:formula>AND(NOT($AY16),EZ16="ERR")</x:formula>
    </x:cfRule>
  </x:conditionalFormatting>
  <x:conditionalFormatting sqref="A16:B45 BB16:BC45">
    <x:cfRule type="expression" dxfId="62" priority="43">
      <x:formula>AND(NOT($AE$1),$B16=0,$AD$1="M")</x:formula>
    </x:cfRule>
  </x:conditionalFormatting>
  <x:conditionalFormatting sqref="AA16:AA45">
    <x:cfRule type="expression" dxfId="61" priority="27">
      <x:formula>AND(NOT($AY16),LEN(AA16)&gt;31)</x:formula>
    </x:cfRule>
  </x:conditionalFormatting>
  <x:conditionalFormatting sqref="GA16:GB45">
    <x:cfRule type="expression" dxfId="60" priority="26" stopIfTrue="1">
      <x:formula>$GM16&gt;=0.125</x:formula>
    </x:cfRule>
  </x:conditionalFormatting>
  <x:conditionalFormatting sqref="BO16:BO45">
    <x:cfRule type="expression" dxfId="59" priority="21">
      <x:formula>AND(BO16="X",CY16="")</x:formula>
    </x:cfRule>
    <x:cfRule type="expression" dxfId="58" priority="22">
      <x:formula>AND(BO16="",CY16&lt;&gt;"")</x:formula>
    </x:cfRule>
  </x:conditionalFormatting>
  <x:conditionalFormatting sqref="CA16:CA45">
    <x:cfRule type="expression" dxfId="57" priority="23">
      <x:formula>AND(CA16="X",DI16="")</x:formula>
    </x:cfRule>
    <x:cfRule type="expression" dxfId="56" priority="24">
      <x:formula>AND(CA16="",DI16&lt;&gt;"")</x:formula>
    </x:cfRule>
  </x:conditionalFormatting>
  <x:conditionalFormatting sqref="CE16:CG45">
    <x:cfRule type="expression" dxfId="55" priority="25">
      <x:formula>$AC16</x:formula>
    </x:cfRule>
  </x:conditionalFormatting>
  <x:conditionalFormatting sqref="EM16:EM45">
    <x:cfRule type="cellIs" dxfId="54" priority="20" stopIfTrue="1" operator="notEqual">
      <x:formula>$EN16</x:formula>
    </x:cfRule>
  </x:conditionalFormatting>
  <x:conditionalFormatting sqref="U16:U45">
    <x:cfRule type="expression" dxfId="53" priority="16">
      <x:formula>AND(NOT($AY16),NOT(AR16),$P16&lt;&gt;3)</x:formula>
    </x:cfRule>
  </x:conditionalFormatting>
  <x:conditionalFormatting sqref="W16:W45">
    <x:cfRule type="expression" dxfId="52" priority="18">
      <x:formula>AND(NOT($AY16),NOT(AT16),$S16&lt;&gt;3)</x:formula>
    </x:cfRule>
  </x:conditionalFormatting>
  <x:conditionalFormatting sqref="T16:T45">
    <x:cfRule type="expression" dxfId="51" priority="15">
      <x:formula>AND(NOT($AY16),NOT(AR16),$P16&lt;&gt;3)</x:formula>
    </x:cfRule>
  </x:conditionalFormatting>
  <x:conditionalFormatting sqref="V16:V45">
    <x:cfRule type="expression" dxfId="50" priority="17">
      <x:formula>AND(NOT($AY16),NOT(AT16),$S16&lt;&gt;3)</x:formula>
    </x:cfRule>
  </x:conditionalFormatting>
  <x:conditionalFormatting sqref="T16:W45">
    <x:cfRule type="expression" dxfId="49" priority="19">
      <x:formula>$AC16</x:formula>
    </x:cfRule>
  </x:conditionalFormatting>
  <x:conditionalFormatting sqref="C57">
    <x:cfRule type="expression" dxfId="48" priority="12">
      <x:formula>AND(NOT($AY57),NOT($AP57))</x:formula>
    </x:cfRule>
  </x:conditionalFormatting>
  <x:conditionalFormatting sqref="X57">
    <x:cfRule type="expression" dxfId="47" priority="10">
      <x:formula>$X57=0</x:formula>
    </x:cfRule>
  </x:conditionalFormatting>
  <x:conditionalFormatting sqref="D57:E57">
    <x:cfRule type="expression" dxfId="46" priority="13">
      <x:formula>AND(NOT($AY57),AND($AZ57,AND($AK57&lt;&gt;"HDR",$AK57&lt;&gt;"JS",$AJ57&gt;=8)))</x:formula>
    </x:cfRule>
  </x:conditionalFormatting>
  <x:conditionalFormatting sqref="A57:S57 X57:AA57">
    <x:cfRule type="expression" dxfId="45" priority="14">
      <x:formula>$AC57</x:formula>
    </x:cfRule>
  </x:conditionalFormatting>
  <x:conditionalFormatting sqref="A57:B57">
    <x:cfRule type="expression" dxfId="44" priority="11">
      <x:formula>AND(NOT($AE$1),$B57=0,$AD$1="M")</x:formula>
    </x:cfRule>
  </x:conditionalFormatting>
  <x:conditionalFormatting sqref="AA57">
    <x:cfRule type="expression" dxfId="43" priority="9">
      <x:formula>AND(NOT($AY57),LEN(AA57)&gt;31)</x:formula>
    </x:cfRule>
  </x:conditionalFormatting>
  <x:conditionalFormatting sqref="U57">
    <x:cfRule type="expression" dxfId="42" priority="5">
      <x:formula>AND(NOT($AY57),NOT(AR57),$P57&lt;&gt;3)</x:formula>
    </x:cfRule>
  </x:conditionalFormatting>
  <x:conditionalFormatting sqref="W57">
    <x:cfRule type="expression" dxfId="41" priority="7">
      <x:formula>AND(NOT($AY57),NOT(AT57),$S57&lt;&gt;3)</x:formula>
    </x:cfRule>
  </x:conditionalFormatting>
  <x:conditionalFormatting sqref="T57">
    <x:cfRule type="expression" dxfId="40" priority="4">
      <x:formula>AND(NOT($AY57),NOT(AR57),$P57&lt;&gt;3)</x:formula>
    </x:cfRule>
  </x:conditionalFormatting>
  <x:conditionalFormatting sqref="V57">
    <x:cfRule type="expression" dxfId="39" priority="6">
      <x:formula>AND(NOT($AY57),NOT(AT57),$S57&lt;&gt;3)</x:formula>
    </x:cfRule>
  </x:conditionalFormatting>
  <x:conditionalFormatting sqref="T57:W57">
    <x:cfRule type="expression" dxfId="38" priority="8">
      <x:formula>$AC57</x:formula>
    </x:cfRule>
  </x:conditionalFormatting>
  <x:conditionalFormatting sqref="BQ16:BQ45">
    <x:cfRule type="expression" dxfId="37" priority="3">
      <x:formula>CP16&lt;&gt;""</x:formula>
    </x:cfRule>
  </x:conditionalFormatting>
  <x:conditionalFormatting sqref="CC16:CC45">
    <x:cfRule type="expression" dxfId="36" priority="2">
      <x:formula>CQ16&lt;&gt;""</x:formula>
    </x:cfRule>
  </x:conditionalFormatting>
  <x:conditionalFormatting sqref="BS16:BS45">
    <x:cfRule type="expression" dxfId="35" priority="59">
      <x:formula>AND(NOT($AY16),ISERROR(DE16))</x:formula>
    </x:cfRule>
    <x:cfRule type="expression" dxfId="34" priority="60">
      <x:formula>AND(NOT($AY16),OR(DE16="", CQ16&lt;&gt;""))</x:formula>
    </x:cfRule>
  </x:conditionalFormatting>
  <x:conditionalFormatting sqref="BW16:BW45">
    <x:cfRule type="expression" dxfId="33" priority="61">
      <x:formula>AND(NOT($AY16),OR($DE16="M",$DE16="C",AND($DE16="B",$DK16&lt;&gt;"")))</x:formula>
    </x:cfRule>
    <x:cfRule type="expression" dxfId="32" priority="62">
      <x:formula>AND(NOT($AY16),AND(BV16="X",BW16="",BX16=""))</x:formula>
    </x:cfRule>
    <x:cfRule type="expression" dxfId="31" priority="63">
      <x:formula>AND(NOT($AY16),FC16="ERR")</x:formula>
    </x:cfRule>
  </x:conditionalFormatting>
  <x:conditionalFormatting sqref="BX16:BX45">
    <x:cfRule type="expression" dxfId="30" priority="64">
      <x:formula>AND(NOT($AY16),OR($DE16="M",$DE16="C",AND($DE16="B",$DK16&lt;&gt;"")))</x:formula>
    </x:cfRule>
    <x:cfRule type="expression" dxfId="29" priority="65">
      <x:formula>AND(NOT($AY16),AND(BV16="X",BW16="",BX16=""))</x:formula>
    </x:cfRule>
    <x:cfRule type="expression" dxfId="28" priority="66">
      <x:formula>AND(NOT($AY16),FC16="ERR")</x:formula>
    </x:cfRule>
  </x:conditionalFormatting>
  <x:conditionalFormatting sqref="BT16:BT45">
    <x:cfRule type="expression" dxfId="27" priority="67">
      <x:formula>AND(NOT($AY16),OR($DE16="M",$DE16="C",AND($DE16="B",$DM16&gt;0)))</x:formula>
    </x:cfRule>
    <x:cfRule type="expression" dxfId="26" priority="68">
      <x:formula>AND(NOT($AY16),AND(BT16="",BU16="",OR($DE16="B",$DE16="G")))</x:formula>
    </x:cfRule>
    <x:cfRule type="expression" dxfId="25" priority="69">
      <x:formula>AND(NOT($AY16),(BT16/2)/COS(RADIANS(BY16))+DF16-EC16&lt;VLOOKUP(AU16,$DF$2:$DJ$9,5,FALSE))</x:formula>
    </x:cfRule>
  </x:conditionalFormatting>
  <x:conditionalFormatting sqref="BU16:BU45">
    <x:cfRule type="expression" dxfId="24" priority="70">
      <x:formula>AND(NOT($AY16),OR($DE16="M",$DE16="C",AND($DE16="B",$DM16&gt;0)))</x:formula>
    </x:cfRule>
    <x:cfRule type="expression" dxfId="23" priority="71">
      <x:formula>AND(NOT($AY16),AND(BT16="",BU16="",OR($DE16="B",$DE16="G")))</x:formula>
    </x:cfRule>
    <x:cfRule type="expression" dxfId="22" priority="72">
      <x:formula>AND(NOT($AY16),(BU16/2)/COS(RADIANS(BY16))+DF16-EC16&lt;VLOOKUP(AU16,$DF$2:$DJ$9,5,FALSE))</x:formula>
    </x:cfRule>
  </x:conditionalFormatting>
  <x:conditionalFormatting sqref="BZ16:BZ45 BN16:BN45">
    <x:cfRule type="expression" dxfId="21" priority="73">
      <x:formula>AND(NOT($AY16),AND(ISBLANK(BN16),AND(NOT(ISBLANK(BM16)),$CE16&lt;&gt;0)))</x:formula>
    </x:cfRule>
  </x:conditionalFormatting>
  <x:conditionalFormatting sqref="BJ16:BJ45">
    <x:cfRule type="expression" dxfId="20" priority="74">
      <x:formula>AND(NOT($AY16),OR($CU16="C",AND($CU16="M",$DA16&gt;0)))</x:formula>
    </x:cfRule>
    <x:cfRule type="expression" dxfId="19" priority="75">
      <x:formula>AND(NOT($AY16),OR(NOT(IF(AND(OR(MID($BB16,1,1)="T",($BE16+$BF16/12)/IF(ABS($CE16)&gt;$DQ$1,COS($DO16),1)&gt;=40),OR($CU16="B",$CU16="G")),"X","")="X"),$EZ16="ERR"))</x:formula>
    </x:cfRule>
    <x:cfRule type="expression" dxfId="18" priority="76">
      <x:formula>AND(NOT($AY16),$BJ16&lt;&gt;"X",$BJ16&lt;&gt;IF(AND(OR(MID(BB16,1,1)="T",($BE16+$BF16/12)/IF(ABS($CE16)&gt;$DQ$1,COS($DO16),1)&gt;=40),OR($CU16="B",$CU16="G")),"X",""))</x:formula>
    </x:cfRule>
  </x:conditionalFormatting>
  <x:conditionalFormatting sqref="BV16:BV45">
    <x:cfRule type="expression" dxfId="17" priority="77">
      <x:formula>AND(NOT($AY16),OR($DE16="C",AND($DE16="M",$DK16&gt;0)))</x:formula>
    </x:cfRule>
    <x:cfRule type="expression" dxfId="16" priority="78">
      <x:formula>AND(NOT($AY16),OR(NOT(IF(AND(OR(MID($BB16,1,1)="T",($BE16+$BF16/12)/IF(ABS($CE16)&gt;$DQ$1,COS($DO16),1)&gt;=40),OR($DE16="B",$DE16="G")),"X","")="X"),$FC16="ERR"))</x:formula>
    </x:cfRule>
    <x:cfRule type="expression" dxfId="15" priority="79">
      <x:formula>AND(NOT($AY16),$BV16&lt;&gt;"X",$BV16&lt;&gt;IF(AND(OR(MID(BB16,1,1)="T",($BE16+$BF16/12)/IF(ABS($CE16)&gt;$DQ$1,COS($DO16),1)&gt;=40),OR($DE16="B",$DE16="G")),"X",""))</x:formula>
    </x:cfRule>
  </x:conditionalFormatting>
  <x:conditionalFormatting sqref="GA57:GB57">
    <x:cfRule type="expression" dxfId="14" priority="1" stopIfTrue="1">
      <x:formula>$GM57&gt;=0.125</x:formula>
    </x:cfRule>
  </x:conditionalFormatting>
  <x:dataValidations count="14">
    <x:dataValidation type="whole" operator="greaterThan" allowBlank="1" showInputMessage="1" showErrorMessage="1" errorTitle="Quantity Error" error="Value must be an integer greater than -1000." sqref="B16:B45 BC16:BC45" xr:uid="{552F47FE-B19D-4F2F-8974-5311196D00F9}">
      <x:formula1>-1001</x:formula1>
    </x:dataValidation>
    <x:dataValidation type="decimal" operator="greaterThan" allowBlank="1" showInputMessage="1" showErrorMessage="1" errorTitle="Input Error" error="Positive Numeric Values Only!" sqref="BR16:BR45 CD16:CD45" xr:uid="{482EB459-4B52-45C5-B59F-49EC13FCCAD1}">
      <x:formula1>0</x:formula1>
    </x:dataValidation>
    <x:dataValidation type="decimal" allowBlank="1" showInputMessage="1" showErrorMessage="1" errorTitle="Input Error" error="Numbers from 0&quot; to 11 7/8&quot; only!" sqref="GB16:GB45 GB57" xr:uid="{DD39A368-F57C-409E-B8C8-8288CBA9B04B}">
      <x:formula1>0</x:formula1>
      <x:formula2>11.875</x:formula2>
    </x:dataValidation>
    <x:dataValidation type="whole" operator="greaterThanOrEqual" allowBlank="1" showInputMessage="1" showErrorMessage="1" errorTitle="Input Error" error="Positive Integers Only!" sqref="GA16:GA45 GA57" xr:uid="{8CE50FDC-6FF4-4314-8754-5D0DDA016037}">
      <x:formula1>0</x:formula1>
    </x:dataValidation>
    <x:dataValidation type="decimal" allowBlank="1" showInputMessage="1" showErrorMessage="1" errorTitle="Input Error" error="Numeric Values Only!" sqref="GC16:GD45 GC57:GD57 BP16:BP45 CB16:CB45" xr:uid="{090D8D79-FEC8-4CB8-BD06-0D645DF56711}">
      <x:formula1>-1200</x:formula1>
      <x:formula2>1200</x:formula2>
    </x:dataValidation>
    <x:dataValidation type="decimal" operator="lessThanOrEqual" allowBlank="1" showInputMessage="1" errorTitle="BL Over-Ride Error!" error="Base Length can't be past Joist Overall Length!  See section for Maximum Over-Ride Dimension." sqref="BQ16:BQ45" xr:uid="{CCBA8A94-DB6E-4EE4-916C-6F9A7B6DD4B5}">
      <x:formula1>$CV16</x:formula1>
    </x:dataValidation>
    <x:dataValidation type="decimal" operator="lessThanOrEqual" allowBlank="1" showInputMessage="1" errorTitle="BL Over-Ride Error!" error="Base Length can't be past Joist Overall Length!  See section for Maximum Over-Ride Dimension." sqref="CC16:CC45" xr:uid="{D73C91A7-3158-4D96-9CD1-E3A522E345B6}">
      <x:formula1>$DF16</x:formula1>
    </x:dataValidation>
    <x:dataValidation type="whole" operator="greaterThanOrEqual" allowBlank="1" showInputMessage="1" showErrorMessage="1" sqref="B57" xr:uid="{593F7BD0-EDC9-4EA0-AB89-09860773E6A1}">
      <x:formula1>0</x:formula1>
    </x:dataValidation>
    <x:dataValidation type="decimal" operator="greaterThan" allowBlank="1" showInputMessage="1" showErrorMessage="1" errorTitle="Dimensional Error" error="Only positive numeric values can be entered here." sqref="L16:M45 L57:M57" xr:uid="{CB71D312-E4F8-4C8E-A4A4-7AE74F654BD9}">
      <x:formula1>0</x:formula1>
    </x:dataValidation>
    <x:dataValidation type="decimal" operator="notEqual" allowBlank="1" showInputMessage="1" showErrorMessage="1" errorTitle="input Error" error="Enter + or - Numbers Only._x000a_Do NOT use &quot;&lt;&quot; or &quot;&gt;&quot;." sqref="Y16:Z45 Y57:Z57" xr:uid="{06D4766E-D48A-43DA-9802-9450567F30AC}">
      <x:formula1>0</x:formula1>
    </x:dataValidation>
    <x:dataValidation type="decimal" operator="greaterThanOrEqual" allowBlank="1" showInputMessage="1" showErrorMessage="1" errorTitle="Dimensional Error" error="&quot;Inches&quot; must be a number." sqref="BH16:BI45 BK16:BL45 BT16:BU45 BW16:BX45" xr:uid="{FF49EADB-A32A-44A6-ABA9-44A15B79C03A}">
      <x:formula1>0</x:formula1>
    </x:dataValidation>
    <x:dataValidation type="decimal" allowBlank="1" showInputMessage="1" showErrorMessage="1" errorTitle="Dimensional Error" error="&quot;Inches&quot; must be a number from 0 to 11.875." sqref="BF16:BF45 G16:G45 J16:J45 W16:W45 U16:U45 E16:E45 G57 J57 W57 U57 E57" xr:uid="{C74388EC-9241-41E7-9AE6-976AE3B48BCB}">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r:uid="{F3F346FA-CEBC-48BE-82A5-0D62DB5E6061}">
      <x:formula1>0</x:formula1>
    </x:dataValidation>
    <x:dataValidation type="list" allowBlank="1" showInputMessage="1" sqref="CC6:CF6 M7:S7" xr:uid="{3A31AE13-E7E3-4C73-A879-C51A373B7358}">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drawing r:id="rId2"/>
  <x:legacyDrawing r:id="rId3"/>
</x: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881" t="s">
        <v>1389</v>
      </c>
      <c r="J7" s="2882"/>
      <c r="K7" s="2882"/>
      <c r="L7" s="2828"/>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16"/>
      <c r="B12" s="2516"/>
      <c r="C12" s="2516"/>
      <c r="D12" s="2516"/>
      <c r="E12" s="2516"/>
      <c r="F12" s="1109"/>
      <c r="G12" s="1108"/>
      <c r="H12" s="24"/>
      <c r="I12" s="24"/>
      <c r="J12" s="24"/>
      <c r="K12" s="24"/>
      <c r="L12" s="25"/>
      <c r="M12" s="2516"/>
      <c r="N12" s="2516"/>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17"/>
      <c r="E18" s="2517"/>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15"/>
      <c r="B21" s="2515"/>
      <c r="C21" s="2515"/>
      <c r="D21" s="1113"/>
      <c r="E21" s="28"/>
      <c r="F21" s="29"/>
      <c r="G21" s="28"/>
      <c r="H21" s="28"/>
      <c r="I21" s="28"/>
      <c r="J21" s="28"/>
      <c r="K21" s="28"/>
      <c r="L21" s="28"/>
      <c r="M21" s="28"/>
      <c r="N21" s="28"/>
      <c r="O21" s="28"/>
      <c r="P21" s="19"/>
    </row>
    <row r="22" spans="1:225" ht="12.6" customHeight="1" thickBot="1" x14ac:dyDescent="0.25">
      <c r="A22" s="2514"/>
      <c r="B22" s="2514"/>
      <c r="C22" s="2514"/>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14"/>
      <c r="B23" s="2514"/>
      <c r="C23" s="2514"/>
      <c r="D23" s="1112"/>
      <c r="E23" s="28"/>
      <c r="F23" s="28"/>
      <c r="G23" s="1112"/>
      <c r="H23" s="28"/>
      <c r="I23" s="28"/>
      <c r="J23" s="28"/>
      <c r="K23" s="28"/>
      <c r="L23" s="28"/>
      <c r="M23" s="28"/>
      <c r="N23" s="28"/>
      <c r="O23" s="28"/>
      <c r="P23" s="19"/>
      <c r="HA23" s="2492" t="s">
        <v>621</v>
      </c>
      <c r="HB23" s="1915"/>
      <c r="HC23" s="1915"/>
      <c r="HD23" s="1915"/>
      <c r="HE23" s="1915"/>
      <c r="HF23" s="1915"/>
      <c r="HG23" s="1915"/>
      <c r="HH23" s="1915"/>
      <c r="HI23" s="1915"/>
      <c r="HJ23" s="1915"/>
      <c r="HK23" s="1915"/>
      <c r="HL23" s="1915"/>
      <c r="HM23" s="1915"/>
      <c r="HN23" s="1915"/>
      <c r="HO23" s="1915"/>
      <c r="HP23" s="1916"/>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72"/>
      <c r="HB24" s="2173"/>
      <c r="HC24" s="2173"/>
      <c r="HD24" s="2173"/>
      <c r="HE24" s="2173"/>
      <c r="HF24" s="2173"/>
      <c r="HG24" s="2173"/>
      <c r="HH24" s="2173"/>
      <c r="HI24" s="2173"/>
      <c r="HJ24" s="2173"/>
      <c r="HK24" s="2173"/>
      <c r="HL24" s="2173"/>
      <c r="HM24" s="2173"/>
      <c r="HN24" s="2173"/>
      <c r="HO24" s="2173"/>
      <c r="HP24" s="2174"/>
    </row>
    <row r="25" spans="1:225" s="23" customFormat="1" ht="12.6" customHeight="1" thickTop="1" thickBot="1" x14ac:dyDescent="0.25">
      <c r="A25" s="2504" t="s">
        <v>40</v>
      </c>
      <c r="B25" s="2505"/>
      <c r="C25" s="2510" t="s">
        <v>130</v>
      </c>
      <c r="D25" s="1970" t="s">
        <v>673</v>
      </c>
      <c r="E25" s="2508" t="s">
        <v>674</v>
      </c>
      <c r="F25" s="2501" t="s">
        <v>36</v>
      </c>
      <c r="G25" s="2410" t="s">
        <v>79</v>
      </c>
      <c r="H25" s="2408"/>
      <c r="I25" s="2503" t="s">
        <v>675</v>
      </c>
      <c r="J25" s="2408"/>
      <c r="K25" s="2508" t="s">
        <v>107</v>
      </c>
      <c r="L25" s="2522"/>
      <c r="M25" s="2519" t="s">
        <v>108</v>
      </c>
      <c r="N25" s="2510" t="s">
        <v>109</v>
      </c>
      <c r="O25" s="2501" t="s">
        <v>110</v>
      </c>
      <c r="P25" s="1059" t="s">
        <v>676</v>
      </c>
      <c r="Q25" s="1410"/>
      <c r="R25" s="426"/>
      <c r="S25" s="426"/>
      <c r="T25" s="426"/>
      <c r="U25" s="426">
        <f>COUNTA(U27:U300)</f>
        <v>13</v>
      </c>
      <c r="V25" s="2526" t="s">
        <v>797</v>
      </c>
      <c r="W25" s="426">
        <f>COUNTA(W27:W300)</f>
        <v>9</v>
      </c>
      <c r="X25" s="2524" t="s">
        <v>946</v>
      </c>
      <c r="Y25" s="2525"/>
      <c r="Z25" s="2525"/>
      <c r="AA25" s="2525"/>
      <c r="AB25" s="426"/>
      <c r="AC25" s="2513" t="s">
        <v>1137</v>
      </c>
      <c r="AD25" s="1906"/>
      <c r="AE25" s="426">
        <f>COUNTA(AE27:AE300)</f>
        <v>166</v>
      </c>
      <c r="HA25" s="2493" t="s">
        <v>632</v>
      </c>
      <c r="HB25" s="2495" t="s">
        <v>1148</v>
      </c>
      <c r="HC25" s="2495" t="s">
        <v>1134</v>
      </c>
      <c r="HD25" s="2490" t="s">
        <v>1144</v>
      </c>
      <c r="HE25" s="2490" t="s">
        <v>660</v>
      </c>
      <c r="HF25" s="2497" t="s">
        <v>677</v>
      </c>
      <c r="HG25" s="2497" t="s">
        <v>1149</v>
      </c>
      <c r="HH25" s="2497" t="s">
        <v>1150</v>
      </c>
      <c r="HI25" s="2497" t="s">
        <v>1151</v>
      </c>
      <c r="HJ25" s="2497" t="s">
        <v>1152</v>
      </c>
      <c r="HK25" s="2497" t="s">
        <v>1153</v>
      </c>
      <c r="HL25" s="2497" t="s">
        <v>1154</v>
      </c>
      <c r="HM25" s="2497" t="s">
        <v>1145</v>
      </c>
      <c r="HN25" s="2490" t="s">
        <v>1146</v>
      </c>
      <c r="HO25" s="2490" t="s">
        <v>1147</v>
      </c>
      <c r="HP25" s="2499" t="s">
        <v>480</v>
      </c>
    </row>
    <row r="26" spans="1:225" s="23" customFormat="1" ht="12.6" customHeight="1" thickTop="1" thickBot="1" x14ac:dyDescent="0.25">
      <c r="A26" s="2506"/>
      <c r="B26" s="2507"/>
      <c r="C26" s="2511"/>
      <c r="D26" s="1971"/>
      <c r="E26" s="2509"/>
      <c r="F26" s="2512"/>
      <c r="G26" s="1111" t="s">
        <v>632</v>
      </c>
      <c r="H26" s="1066" t="s">
        <v>171</v>
      </c>
      <c r="I26" s="1071" t="s">
        <v>632</v>
      </c>
      <c r="J26" s="1110" t="s">
        <v>171</v>
      </c>
      <c r="K26" s="2506"/>
      <c r="L26" s="2502"/>
      <c r="M26" s="1966"/>
      <c r="N26" s="2507"/>
      <c r="O26" s="2502"/>
      <c r="P26" s="1060" t="s">
        <v>57</v>
      </c>
      <c r="Q26" s="1408" t="s">
        <v>1101</v>
      </c>
      <c r="R26" s="372" t="s">
        <v>170</v>
      </c>
      <c r="S26" s="372" t="s">
        <v>788</v>
      </c>
      <c r="T26" s="372" t="s">
        <v>1136</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2494"/>
      <c r="HB26" s="2496"/>
      <c r="HC26" s="2496"/>
      <c r="HD26" s="2491"/>
      <c r="HE26" s="2491"/>
      <c r="HF26" s="2498"/>
      <c r="HG26" s="2498"/>
      <c r="HH26" s="2498"/>
      <c r="HI26" s="2498"/>
      <c r="HJ26" s="2498"/>
      <c r="HK26" s="2498"/>
      <c r="HL26" s="2498"/>
      <c r="HM26" s="2498"/>
      <c r="HN26" s="2491"/>
      <c r="HO26" s="2491"/>
      <c r="HP26" s="2500"/>
    </row>
    <row r="27" spans="1:225" ht="12.6" customHeight="1" thickTop="1" x14ac:dyDescent="0.25">
      <c r="A27" s="2764" t="s">
        <v>1505</v>
      </c>
      <c r="B27" s="2766"/>
      <c r="C27" s="2765">
        <v>921</v>
      </c>
      <c r="D27" s="2857">
        <v>1510</v>
      </c>
      <c r="E27" s="2764" t="s">
        <v>658</v>
      </c>
      <c r="F27" s="2858"/>
      <c r="G27" s="2764"/>
      <c r="H27" s="2859"/>
      <c r="I27" s="2860"/>
      <c r="J27" s="2861"/>
      <c r="K27" s="2862">
        <v>20</v>
      </c>
      <c r="L27" s="2863">
        <v>0</v>
      </c>
      <c r="M27" s="2864"/>
      <c r="N27" s="2865"/>
      <c r="O27" s="2866"/>
      <c r="P27" s="2867"/>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2764" t="s">
        <v>1506</v>
      </c>
      <c r="B28" s="2766"/>
      <c r="C28" s="2765">
        <v>64</v>
      </c>
      <c r="D28" s="2857">
        <v>1210</v>
      </c>
      <c r="E28" s="2764" t="s">
        <v>727</v>
      </c>
      <c r="F28" s="2858"/>
      <c r="G28" s="2764"/>
      <c r="H28" s="2859">
        <v>32</v>
      </c>
      <c r="I28" s="2860"/>
      <c r="J28" s="2861">
        <v>32</v>
      </c>
      <c r="K28" s="2862">
        <v>4</v>
      </c>
      <c r="L28" s="2863">
        <v>11</v>
      </c>
      <c r="M28" s="2864"/>
      <c r="N28" s="2865"/>
      <c r="O28" s="2866"/>
      <c r="P28" s="2867"/>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2764" t="s">
        <v>1507</v>
      </c>
      <c r="B29" s="2766"/>
      <c r="C29" s="2765">
        <v>8</v>
      </c>
      <c r="D29" s="2857">
        <v>1210</v>
      </c>
      <c r="E29" s="2764" t="s">
        <v>727</v>
      </c>
      <c r="F29" s="2858"/>
      <c r="G29" s="2764"/>
      <c r="H29" s="2859">
        <v>44</v>
      </c>
      <c r="I29" s="2860"/>
      <c r="J29" s="2861">
        <v>44</v>
      </c>
      <c r="K29" s="2862">
        <v>4</v>
      </c>
      <c r="L29" s="2863">
        <v>11</v>
      </c>
      <c r="M29" s="2864"/>
      <c r="N29" s="2865"/>
      <c r="O29" s="2866"/>
      <c r="P29" s="2867"/>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2764" t="s">
        <v>1508</v>
      </c>
      <c r="B30" s="2766"/>
      <c r="C30" s="2765">
        <v>8</v>
      </c>
      <c r="D30" s="2857">
        <v>1510</v>
      </c>
      <c r="E30" s="2764" t="s">
        <v>665</v>
      </c>
      <c r="F30" s="2858"/>
      <c r="G30" s="2764" t="s">
        <v>1450</v>
      </c>
      <c r="H30" s="2859">
        <v>32</v>
      </c>
      <c r="I30" s="2860"/>
      <c r="J30" s="2861">
        <v>32</v>
      </c>
      <c r="K30" s="2862">
        <v>5</v>
      </c>
      <c r="L30" s="2863">
        <v>5.375</v>
      </c>
      <c r="M30" s="2864"/>
      <c r="N30" s="2865"/>
      <c r="O30" s="2866"/>
      <c r="P30" s="2867"/>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2764" t="s">
        <v>1509</v>
      </c>
      <c r="B31" s="2766"/>
      <c r="C31" s="2765">
        <v>12</v>
      </c>
      <c r="D31" s="2857">
        <v>1210</v>
      </c>
      <c r="E31" s="2764" t="s">
        <v>665</v>
      </c>
      <c r="F31" s="2858" t="s">
        <v>667</v>
      </c>
      <c r="G31" s="2764" t="s">
        <v>1450</v>
      </c>
      <c r="H31" s="2859">
        <v>32</v>
      </c>
      <c r="I31" s="2860"/>
      <c r="J31" s="2861">
        <v>32</v>
      </c>
      <c r="K31" s="2868">
        <v>6</v>
      </c>
      <c r="L31" s="2869">
        <v>2.375</v>
      </c>
      <c r="M31" s="2864"/>
      <c r="N31" s="2865"/>
      <c r="O31" s="2866"/>
      <c r="P31" s="2867"/>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2764" t="s">
        <v>1510</v>
      </c>
      <c r="B32" s="2766"/>
      <c r="C32" s="2765">
        <v>408</v>
      </c>
      <c r="D32" s="2857">
        <v>1210</v>
      </c>
      <c r="E32" s="2764" t="s">
        <v>729</v>
      </c>
      <c r="F32" s="2858" t="s">
        <v>667</v>
      </c>
      <c r="G32" s="2764" t="s">
        <v>1450</v>
      </c>
      <c r="H32" s="2859">
        <v>32</v>
      </c>
      <c r="I32" s="2860" t="s">
        <v>1451</v>
      </c>
      <c r="J32" s="2861">
        <v>32</v>
      </c>
      <c r="K32" s="2862">
        <v>6</v>
      </c>
      <c r="L32" s="2863">
        <v>2.625</v>
      </c>
      <c r="M32" s="2864"/>
      <c r="N32" s="2865"/>
      <c r="O32" s="2866"/>
      <c r="P32" s="2867"/>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2764" t="s">
        <v>1511</v>
      </c>
      <c r="B33" s="2766"/>
      <c r="C33" s="2765">
        <v>8</v>
      </c>
      <c r="D33" s="2857">
        <v>1210</v>
      </c>
      <c r="E33" s="2764" t="s">
        <v>729</v>
      </c>
      <c r="F33" s="2858" t="s">
        <v>667</v>
      </c>
      <c r="G33" s="2764" t="s">
        <v>1459</v>
      </c>
      <c r="H33" s="2859">
        <v>32</v>
      </c>
      <c r="I33" s="2860" t="s">
        <v>1459</v>
      </c>
      <c r="J33" s="2861">
        <v>32</v>
      </c>
      <c r="K33" s="2862">
        <v>4</v>
      </c>
      <c r="L33" s="2863">
        <v>10.625</v>
      </c>
      <c r="M33" s="2864"/>
      <c r="N33" s="2865"/>
      <c r="O33" s="2866"/>
      <c r="P33" s="2867"/>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2764" t="s">
        <v>1512</v>
      </c>
      <c r="B34" s="2766"/>
      <c r="C34" s="2765">
        <v>612</v>
      </c>
      <c r="D34" s="2857">
        <v>1210</v>
      </c>
      <c r="E34" s="2764" t="s">
        <v>729</v>
      </c>
      <c r="F34" s="2858" t="s">
        <v>667</v>
      </c>
      <c r="G34" s="2764" t="s">
        <v>1477</v>
      </c>
      <c r="H34" s="2859">
        <v>44</v>
      </c>
      <c r="I34" s="2860" t="s">
        <v>1478</v>
      </c>
      <c r="J34" s="2861">
        <v>44</v>
      </c>
      <c r="K34" s="2862">
        <v>6</v>
      </c>
      <c r="L34" s="2863">
        <v>2.625</v>
      </c>
      <c r="M34" s="2864"/>
      <c r="N34" s="2865"/>
      <c r="O34" s="2866"/>
      <c r="P34" s="2867"/>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2764" t="s">
        <v>1513</v>
      </c>
      <c r="B35" s="2766"/>
      <c r="C35" s="2765">
        <v>12</v>
      </c>
      <c r="D35" s="2857">
        <v>1210</v>
      </c>
      <c r="E35" s="2764" t="s">
        <v>728</v>
      </c>
      <c r="F35" s="2858" t="s">
        <v>667</v>
      </c>
      <c r="G35" s="2764" t="s">
        <v>1487</v>
      </c>
      <c r="H35" s="2859">
        <v>44</v>
      </c>
      <c r="I35" s="2860"/>
      <c r="J35" s="2861">
        <v>36</v>
      </c>
      <c r="K35" s="2862">
        <v>6</v>
      </c>
      <c r="L35" s="2863">
        <v>2.375</v>
      </c>
      <c r="M35" s="2864"/>
      <c r="N35" s="2865"/>
      <c r="O35" s="2866"/>
      <c r="P35" s="2867"/>
      <c r="Q35" s="1409" t="b">
        <v>0</v>
      </c>
      <c r="R35" s="470" t="b">
        <v>0</v>
      </c>
      <c r="S35" s="464" t="b">
        <f t="shared" si="1"/>
        <v>0</v>
      </c>
      <c r="T35" s="464" t="b">
        <f t="shared" si="2"/>
        <v>0</v>
      </c>
      <c r="U35" s="628" t="s">
        <v>814</v>
      </c>
      <c r="V35" s="378"/>
      <c r="W35" s="378" t="s">
        <v>706</v>
      </c>
      <c r="X35" s="378" t="b">
        <v>0</v>
      </c>
      <c r="Y35" s="378" t="b">
        <v>0</v>
      </c>
      <c r="Z35" s="378" t="b">
        <v>0</v>
      </c>
      <c r="AA35" s="378" t="b">
        <v>0</v>
      </c>
      <c r="AB35" s="378" t="s">
        <v>1700</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2764" t="s">
        <v>1514</v>
      </c>
      <c r="B36" s="2766"/>
      <c r="C36" s="2765">
        <v>12</v>
      </c>
      <c r="D36" s="2857">
        <v>1210</v>
      </c>
      <c r="E36" s="2764" t="s">
        <v>729</v>
      </c>
      <c r="F36" s="2858" t="s">
        <v>667</v>
      </c>
      <c r="G36" s="2764" t="s">
        <v>1488</v>
      </c>
      <c r="H36" s="2859">
        <v>44</v>
      </c>
      <c r="I36" s="2860" t="s">
        <v>1488</v>
      </c>
      <c r="J36" s="2861">
        <v>44</v>
      </c>
      <c r="K36" s="2862">
        <v>4</v>
      </c>
      <c r="L36" s="2863">
        <v>10.625</v>
      </c>
      <c r="M36" s="2864"/>
      <c r="N36" s="2865"/>
      <c r="O36" s="2866"/>
      <c r="P36" s="2867"/>
      <c r="Q36" s="1409" t="b">
        <v>0</v>
      </c>
      <c r="R36" s="470" t="b">
        <v>0</v>
      </c>
      <c r="S36" s="464" t="b">
        <f t="shared" si="1"/>
        <v>0</v>
      </c>
      <c r="T36" s="464" t="b">
        <f t="shared" si="2"/>
        <v>0</v>
      </c>
      <c r="U36" s="628" t="s">
        <v>815</v>
      </c>
      <c r="V36" s="378"/>
      <c r="W36" s="378"/>
      <c r="X36" s="378"/>
      <c r="Y36" s="378"/>
      <c r="Z36" s="378"/>
      <c r="AA36" s="378"/>
      <c r="AB36" s="378" t="s">
        <v>1701</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2764"/>
      <c r="B37" s="2766"/>
      <c r="C37" s="2765"/>
      <c r="D37" s="2857"/>
      <c r="E37" s="2764"/>
      <c r="F37" s="2858"/>
      <c r="G37" s="2764"/>
      <c r="H37" s="2859"/>
      <c r="I37" s="2860"/>
      <c r="J37" s="2861"/>
      <c r="K37" s="2862"/>
      <c r="L37" s="2863"/>
      <c r="M37" s="2864"/>
      <c r="N37" s="2865"/>
      <c r="O37" s="2866"/>
      <c r="P37" s="2867"/>
      <c r="Q37" s="1409" t="b">
        <v>0</v>
      </c>
      <c r="R37" s="470" t="b">
        <v>0</v>
      </c>
      <c r="S37" s="464" t="b">
        <f t="shared" si="1"/>
        <v>0</v>
      </c>
      <c r="T37" s="464" t="b">
        <f t="shared" si="2"/>
        <v>0</v>
      </c>
      <c r="U37" s="628" t="s">
        <v>816</v>
      </c>
      <c r="V37" s="378"/>
      <c r="W37" s="378"/>
      <c r="X37" s="378"/>
      <c r="Y37" s="378"/>
      <c r="Z37" s="378"/>
      <c r="AA37" s="378"/>
      <c r="AB37" s="378" t="s">
        <v>1702</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2764"/>
      <c r="B38" s="2766"/>
      <c r="C38" s="2765"/>
      <c r="D38" s="2857"/>
      <c r="E38" s="2764"/>
      <c r="F38" s="2858"/>
      <c r="G38" s="2764"/>
      <c r="H38" s="2859"/>
      <c r="I38" s="2860"/>
      <c r="J38" s="2861"/>
      <c r="K38" s="2862"/>
      <c r="L38" s="2863"/>
      <c r="M38" s="2864"/>
      <c r="N38" s="2865"/>
      <c r="O38" s="2866"/>
      <c r="P38" s="2867"/>
      <c r="Q38" s="1409" t="b">
        <v>0</v>
      </c>
      <c r="R38" s="470" t="b">
        <v>0</v>
      </c>
      <c r="S38" s="464" t="b">
        <f t="shared" si="1"/>
        <v>0</v>
      </c>
      <c r="T38" s="464" t="b">
        <f t="shared" si="2"/>
        <v>0</v>
      </c>
      <c r="U38" s="628" t="s">
        <v>817</v>
      </c>
      <c r="V38" s="378"/>
      <c r="W38" s="378"/>
      <c r="X38" s="378"/>
      <c r="Y38" s="378"/>
      <c r="Z38" s="378"/>
      <c r="AA38" s="378"/>
      <c r="AB38" s="378" t="s">
        <v>1703</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2764"/>
      <c r="B39" s="2766"/>
      <c r="C39" s="2765"/>
      <c r="D39" s="2857"/>
      <c r="E39" s="2764"/>
      <c r="F39" s="2858"/>
      <c r="G39" s="2764"/>
      <c r="H39" s="2859"/>
      <c r="I39" s="2860"/>
      <c r="J39" s="2861"/>
      <c r="K39" s="2862"/>
      <c r="L39" s="2863"/>
      <c r="M39" s="2864"/>
      <c r="N39" s="2865"/>
      <c r="O39" s="2866"/>
      <c r="P39" s="2867"/>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2764"/>
      <c r="B40" s="2766"/>
      <c r="C40" s="2765"/>
      <c r="D40" s="2857"/>
      <c r="E40" s="2764"/>
      <c r="F40" s="2858"/>
      <c r="G40" s="2764"/>
      <c r="H40" s="2859"/>
      <c r="I40" s="2860"/>
      <c r="J40" s="2861"/>
      <c r="K40" s="2862"/>
      <c r="L40" s="2863"/>
      <c r="M40" s="2864"/>
      <c r="N40" s="2865"/>
      <c r="O40" s="2866"/>
      <c r="P40" s="2867"/>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2764"/>
      <c r="B41" s="2766"/>
      <c r="C41" s="2765"/>
      <c r="D41" s="2857"/>
      <c r="E41" s="2764"/>
      <c r="F41" s="2858"/>
      <c r="G41" s="2764"/>
      <c r="H41" s="2859"/>
      <c r="I41" s="2860"/>
      <c r="J41" s="2861"/>
      <c r="K41" s="2862"/>
      <c r="L41" s="2863"/>
      <c r="M41" s="2864"/>
      <c r="N41" s="2865"/>
      <c r="O41" s="2866"/>
      <c r="P41" s="2867"/>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2782"/>
      <c r="B42" s="2784"/>
      <c r="C42" s="2783"/>
      <c r="D42" s="2870"/>
      <c r="E42" s="2782"/>
      <c r="F42" s="2871"/>
      <c r="G42" s="2782"/>
      <c r="H42" s="2872"/>
      <c r="I42" s="2873"/>
      <c r="J42" s="2874"/>
      <c r="K42" s="2875"/>
      <c r="L42" s="2876"/>
      <c r="M42" s="2877"/>
      <c r="N42" s="2878"/>
      <c r="O42" s="2879"/>
      <c r="P42" s="2880"/>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1695</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p64YRJeCIIonebAsd1zHZvcjDedIYqnwI0pDVYFoyfPTCjV0iMHK/w63l/d08ds/HQZFIqkd1+TpDCdeMwvbgw==" saltValue="8JT05suiq4Hi09Ph/5kaog=="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NOT(OR(COUNTIF(masterFinishList, $I$7) &gt; 0, COUNTIF($I$7, "Other:*") &gt; 0))</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64</vt:i4>
      </vt:variant>
    </vt:vector>
  </HeadingPairs>
  <TitlesOfParts>
    <vt:vector size="101"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K (1)</vt:lpstr>
      <vt:lpstr>S (1)</vt:lpstr>
      <vt:lpstr>S (2)</vt:lpstr>
      <vt:lpstr>S (3)</vt:lpstr>
      <vt:lpstr>S (4)</vt:lpstr>
      <vt:lpstr>G (1)</vt:lpstr>
      <vt:lpstr>G (2)</vt:lpstr>
      <vt:lpstr>J (1)</vt:lpstr>
      <vt:lpstr>J (2)</vt:lpstr>
      <vt:lpstr>J (3)</vt:lpstr>
      <vt:lpstr>J (4)</vt:lpstr>
      <vt:lpstr>B (1)</vt:lpstr>
      <vt:lpstr>'B (1)'!masterFinishList</vt:lpstr>
      <vt:lpstr>'C (1)'!masterFinishList</vt:lpstr>
      <vt:lpstr>'G (1)'!masterFinishList</vt:lpstr>
      <vt:lpstr>'G (2)'!masterFinishList</vt:lpstr>
      <vt:lpstr>'J (1)'!masterFinishList</vt:lpstr>
      <vt:lpstr>'J (2)'!masterFinishList</vt:lpstr>
      <vt:lpstr>'J (3)'!masterFinishList</vt:lpstr>
      <vt:lpstr>'J (4)'!masterFinishList</vt:lpstr>
      <vt:lpstr>'K (1)'!masterFinishList</vt:lpstr>
      <vt:lpstr>'L (1)'!masterFinishList</vt:lpstr>
      <vt:lpstr>'L (2)'!masterFinishList</vt:lpstr>
      <vt:lpstr>'L (3)'!masterFinishList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(2)'!Pos</vt:lpstr>
      <vt:lpstr>'L (3)'!Pos</vt:lpstr>
      <vt:lpstr>Pos</vt:lpstr>
      <vt:lpstr>'B (1)'!Print_Area</vt:lpstr>
      <vt:lpstr>B_A!Print_Area</vt:lpstr>
      <vt:lpstr>B_B!Print_Area</vt:lpstr>
      <vt:lpstr>'C (1)'!Print_Area</vt:lpstr>
      <vt:lpstr>C_A!Print_Area</vt:lpstr>
      <vt:lpstr>'Discrepancy Check'!Print_Area</vt:lpstr>
      <vt:lpstr>'G (1)'!Print_Area</vt:lpstr>
      <vt:lpstr>'G (2)'!Print_Area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(2)'!Print_Area</vt:lpstr>
      <vt:lpstr>'L (3)'!Print_Area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(2)'!Type</vt:lpstr>
      <vt:lpstr>'L (3)'!Type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Martinez, Johnny</cp:lastModifiedBy>
  <cp:lastPrinted>2020-08-05T13:55:21Z</cp:lastPrinted>
  <dcterms:created xsi:type="dcterms:W3CDTF">2000-11-20T22:20:26Z</dcterms:created>
  <dcterms:modified xsi:type="dcterms:W3CDTF">2023-05-04T15:19:16Z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